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NIEL_BARBOSA\Desktop\"/>
    </mc:Choice>
  </mc:AlternateContent>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43277.4844560185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D107" i="1" l="1"/>
  <c r="D105" i="1" l="1"/>
  <c r="D104" i="1"/>
  <c r="A83" i="1" l="1"/>
  <c r="B6" i="9" l="1"/>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J20" i="9"/>
  <c r="K20" i="9"/>
  <c r="L20" i="9"/>
  <c r="M20" i="9"/>
  <c r="N20" i="9"/>
  <c r="O20" i="9"/>
  <c r="P20" i="9"/>
  <c r="Q20" i="9"/>
  <c r="R20" i="9"/>
  <c r="S20" i="9"/>
  <c r="T20" i="9"/>
  <c r="U20" i="9"/>
  <c r="V20" i="9"/>
  <c r="W20" i="9"/>
  <c r="X20" i="9"/>
  <c r="Y20" i="9"/>
  <c r="Z20" i="9"/>
  <c r="AA20" i="9"/>
  <c r="AB20" i="9"/>
  <c r="AC20" i="9"/>
  <c r="AD20" i="9"/>
  <c r="AE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B36" i="9"/>
  <c r="C36" i="9"/>
  <c r="B37" i="9"/>
  <c r="C37" i="9"/>
  <c r="B38" i="9"/>
  <c r="C38" i="9"/>
  <c r="B39" i="9"/>
  <c r="C39" i="9"/>
  <c r="B40" i="9"/>
  <c r="C40" i="9"/>
  <c r="B41" i="9"/>
  <c r="C41" i="9"/>
  <c r="B42" i="9"/>
  <c r="C42" i="9"/>
  <c r="B43" i="9"/>
  <c r="C43" i="9"/>
  <c r="B44" i="9"/>
  <c r="C44" i="9"/>
  <c r="B45" i="9"/>
  <c r="C45" i="9"/>
  <c r="B46" i="9"/>
  <c r="C46" i="9"/>
  <c r="B47" i="9"/>
  <c r="C47" i="9"/>
  <c r="AB47" i="9"/>
  <c r="A48" i="9"/>
  <c r="G9" i="7"/>
  <c r="H89" i="1" s="1"/>
  <c r="H9" i="7"/>
  <c r="I89" i="1" s="1"/>
  <c r="I9" i="7"/>
  <c r="J9" i="7"/>
  <c r="K89" i="1" s="1"/>
  <c r="G10" i="7"/>
  <c r="H90" i="1" s="1"/>
  <c r="H10" i="7"/>
  <c r="I90" i="1" s="1"/>
  <c r="I10" i="7"/>
  <c r="J90" i="1" s="1"/>
  <c r="J10" i="7"/>
  <c r="K90" i="1" s="1"/>
  <c r="G11" i="7"/>
  <c r="H91" i="1" s="1"/>
  <c r="H11" i="7"/>
  <c r="I91" i="1" s="1"/>
  <c r="I11" i="7"/>
  <c r="J11" i="7"/>
  <c r="O11" i="7"/>
  <c r="E19" i="1" s="1"/>
  <c r="G12" i="7"/>
  <c r="H92" i="1" s="1"/>
  <c r="H12" i="7"/>
  <c r="I92" i="1" s="1"/>
  <c r="I12" i="7"/>
  <c r="J92" i="1" s="1"/>
  <c r="J12" i="7"/>
  <c r="K92" i="1" s="1"/>
  <c r="O12" i="7"/>
  <c r="O19" i="7" s="1"/>
  <c r="G13" i="7"/>
  <c r="H13" i="7"/>
  <c r="I93" i="1" s="1"/>
  <c r="I13" i="7"/>
  <c r="J93" i="1" s="1"/>
  <c r="J13" i="7"/>
  <c r="K93" i="1" s="1"/>
  <c r="O13" i="7"/>
  <c r="E21" i="1" s="1"/>
  <c r="G14" i="7"/>
  <c r="H94" i="1" s="1"/>
  <c r="H14" i="7"/>
  <c r="I94" i="1" s="1"/>
  <c r="I14" i="7"/>
  <c r="J94" i="1" s="1"/>
  <c r="J14" i="7"/>
  <c r="O14" i="7"/>
  <c r="N19" i="7" s="1"/>
  <c r="G15" i="7"/>
  <c r="H15" i="7"/>
  <c r="I95" i="1" s="1"/>
  <c r="I15" i="7"/>
  <c r="J95" i="1" s="1"/>
  <c r="J15" i="7"/>
  <c r="K95" i="1" s="1"/>
  <c r="G16" i="7"/>
  <c r="H96" i="1" s="1"/>
  <c r="H16" i="7"/>
  <c r="I96" i="1" s="1"/>
  <c r="I16" i="7"/>
  <c r="J16" i="7"/>
  <c r="K96" i="1" s="1"/>
  <c r="G17" i="7"/>
  <c r="H97" i="1" s="1"/>
  <c r="H17" i="7"/>
  <c r="I97" i="1" s="1"/>
  <c r="I17" i="7"/>
  <c r="J97" i="1" s="1"/>
  <c r="J17" i="7"/>
  <c r="K97" i="1" s="1"/>
  <c r="G18" i="7"/>
  <c r="H98" i="1" s="1"/>
  <c r="H18" i="7"/>
  <c r="I98" i="1" s="1"/>
  <c r="I18" i="7"/>
  <c r="J18" i="7"/>
  <c r="G19" i="7"/>
  <c r="H99" i="1" s="1"/>
  <c r="H19" i="7"/>
  <c r="I99" i="1" s="1"/>
  <c r="I19" i="7"/>
  <c r="J99" i="1" s="1"/>
  <c r="J19" i="7"/>
  <c r="K99" i="1" s="1"/>
  <c r="G20" i="7"/>
  <c r="H20" i="7"/>
  <c r="I100" i="1" s="1"/>
  <c r="I20" i="7"/>
  <c r="J20" i="7"/>
  <c r="J25" i="7" s="1"/>
  <c r="J50" i="7" s="1"/>
  <c r="B25" i="7"/>
  <c r="B50" i="7" s="1"/>
  <c r="C25" i="7"/>
  <c r="C50" i="7" s="1"/>
  <c r="D25" i="7"/>
  <c r="D50" i="7" s="1"/>
  <c r="E25" i="7"/>
  <c r="E50" i="7" s="1"/>
  <c r="G25" i="7"/>
  <c r="G50" i="7" s="1"/>
  <c r="H25" i="7"/>
  <c r="H50" i="7" s="1"/>
  <c r="I25" i="7"/>
  <c r="I50" i="7" s="1"/>
  <c r="G76" i="7"/>
  <c r="H76" i="7"/>
  <c r="I76" i="7"/>
  <c r="J76" i="7"/>
  <c r="O76" i="7"/>
  <c r="G77" i="7"/>
  <c r="H77" i="7"/>
  <c r="I77" i="7"/>
  <c r="J77" i="7"/>
  <c r="O77" i="7"/>
  <c r="G78" i="7"/>
  <c r="H78" i="7"/>
  <c r="I78" i="7"/>
  <c r="J78" i="7"/>
  <c r="O78" i="7"/>
  <c r="G79" i="7"/>
  <c r="H79" i="7"/>
  <c r="I79" i="7"/>
  <c r="J79" i="7"/>
  <c r="O79" i="7"/>
  <c r="G80" i="7"/>
  <c r="H80" i="7"/>
  <c r="I80" i="7"/>
  <c r="J80" i="7"/>
  <c r="G81" i="7"/>
  <c r="H81" i="7"/>
  <c r="I81" i="7"/>
  <c r="J81" i="7"/>
  <c r="G82" i="7"/>
  <c r="H82" i="7"/>
  <c r="I82" i="7"/>
  <c r="J82" i="7"/>
  <c r="G83" i="7"/>
  <c r="H83" i="7"/>
  <c r="I83" i="7"/>
  <c r="J83" i="7"/>
  <c r="G84" i="7"/>
  <c r="H84" i="7"/>
  <c r="I84" i="7"/>
  <c r="J84" i="7"/>
  <c r="G85" i="7"/>
  <c r="H85" i="7"/>
  <c r="I85" i="7"/>
  <c r="J85" i="7"/>
  <c r="G86" i="7"/>
  <c r="H86" i="7"/>
  <c r="I86" i="7"/>
  <c r="J86" i="7"/>
  <c r="G87" i="7"/>
  <c r="H87" i="7"/>
  <c r="I87" i="7"/>
  <c r="J87" i="7"/>
  <c r="G96" i="7"/>
  <c r="H96" i="7"/>
  <c r="I96" i="7"/>
  <c r="J96" i="7"/>
  <c r="O96" i="7"/>
  <c r="G97" i="7"/>
  <c r="H97" i="7"/>
  <c r="I97" i="7"/>
  <c r="J97" i="7"/>
  <c r="O97" i="7"/>
  <c r="G98" i="7"/>
  <c r="H98" i="7"/>
  <c r="I98" i="7"/>
  <c r="J98" i="7"/>
  <c r="O98" i="7"/>
  <c r="G99" i="7"/>
  <c r="H99" i="7"/>
  <c r="I99" i="7"/>
  <c r="J99" i="7"/>
  <c r="O99" i="7"/>
  <c r="G100" i="7"/>
  <c r="H100" i="7"/>
  <c r="I100" i="7"/>
  <c r="J100" i="7"/>
  <c r="G101" i="7"/>
  <c r="H101" i="7"/>
  <c r="I101" i="7"/>
  <c r="J101" i="7"/>
  <c r="G102" i="7"/>
  <c r="H102" i="7"/>
  <c r="I102" i="7"/>
  <c r="J102" i="7"/>
  <c r="G103" i="7"/>
  <c r="H103" i="7"/>
  <c r="I103" i="7"/>
  <c r="J103" i="7"/>
  <c r="G104" i="7"/>
  <c r="H104" i="7"/>
  <c r="I104" i="7"/>
  <c r="J104" i="7"/>
  <c r="G105" i="7"/>
  <c r="H105" i="7"/>
  <c r="I105" i="7"/>
  <c r="J105" i="7"/>
  <c r="G106" i="7"/>
  <c r="H106" i="7"/>
  <c r="I106" i="7"/>
  <c r="J106" i="7"/>
  <c r="G107" i="7"/>
  <c r="H107" i="7"/>
  <c r="I107" i="7"/>
  <c r="J107" i="7"/>
  <c r="O216" i="7"/>
  <c r="G217" i="7"/>
  <c r="H217" i="7"/>
  <c r="I217" i="7"/>
  <c r="J217" i="7"/>
  <c r="O217" i="7"/>
  <c r="G218" i="7"/>
  <c r="H218" i="7"/>
  <c r="I218" i="7"/>
  <c r="J218" i="7"/>
  <c r="O218" i="7"/>
  <c r="G219" i="7"/>
  <c r="H219" i="7"/>
  <c r="I219" i="7"/>
  <c r="J219" i="7"/>
  <c r="O219" i="7"/>
  <c r="G220" i="7"/>
  <c r="H220" i="7"/>
  <c r="I220" i="7"/>
  <c r="J220" i="7"/>
  <c r="G221" i="7"/>
  <c r="H221" i="7"/>
  <c r="I221" i="7"/>
  <c r="J221" i="7"/>
  <c r="G222" i="7"/>
  <c r="H222" i="7"/>
  <c r="I222" i="7"/>
  <c r="J222" i="7"/>
  <c r="G223" i="7"/>
  <c r="H223" i="7"/>
  <c r="I223" i="7"/>
  <c r="J223" i="7"/>
  <c r="G224" i="7"/>
  <c r="H224" i="7"/>
  <c r="I224" i="7"/>
  <c r="J224" i="7"/>
  <c r="G225" i="7"/>
  <c r="H225" i="7"/>
  <c r="I225" i="7"/>
  <c r="J225" i="7"/>
  <c r="G226" i="7"/>
  <c r="H226" i="7"/>
  <c r="I226" i="7"/>
  <c r="J226" i="7"/>
  <c r="G227" i="7"/>
  <c r="H227" i="7"/>
  <c r="I227" i="7"/>
  <c r="J227" i="7"/>
  <c r="G286" i="7"/>
  <c r="H286" i="7"/>
  <c r="I286" i="7"/>
  <c r="J286"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294" i="7"/>
  <c r="H294" i="7"/>
  <c r="I294" i="7"/>
  <c r="J294" i="7"/>
  <c r="G295" i="7"/>
  <c r="H295" i="7"/>
  <c r="I295" i="7"/>
  <c r="J295" i="7"/>
  <c r="G296" i="7"/>
  <c r="H296" i="7"/>
  <c r="I296" i="7"/>
  <c r="J296" i="7"/>
  <c r="G302" i="7"/>
  <c r="H302" i="7"/>
  <c r="I302" i="7"/>
  <c r="J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10" i="7"/>
  <c r="H310" i="7"/>
  <c r="I310" i="7"/>
  <c r="J310" i="7"/>
  <c r="G311" i="7"/>
  <c r="H311" i="7"/>
  <c r="I311" i="7"/>
  <c r="J311" i="7"/>
  <c r="G312" i="7"/>
  <c r="H312" i="7"/>
  <c r="I312" i="7"/>
  <c r="J312" i="7"/>
  <c r="G334" i="7"/>
  <c r="H334" i="7"/>
  <c r="I334" i="7"/>
  <c r="J334" i="7"/>
  <c r="G335" i="7"/>
  <c r="H335" i="7"/>
  <c r="I335" i="7"/>
  <c r="J335" i="7"/>
  <c r="G336" i="7"/>
  <c r="H336" i="7"/>
  <c r="I336" i="7"/>
  <c r="J336" i="7"/>
  <c r="G337" i="7"/>
  <c r="H337" i="7"/>
  <c r="I337" i="7"/>
  <c r="J337" i="7"/>
  <c r="G338" i="7"/>
  <c r="H338" i="7"/>
  <c r="I338" i="7"/>
  <c r="J338" i="7"/>
  <c r="G339" i="7"/>
  <c r="H339" i="7"/>
  <c r="I339" i="7"/>
  <c r="J339" i="7"/>
  <c r="G340" i="7"/>
  <c r="H340" i="7"/>
  <c r="I340" i="7"/>
  <c r="J340" i="7"/>
  <c r="G341" i="7"/>
  <c r="H341" i="7"/>
  <c r="I341" i="7"/>
  <c r="J341" i="7"/>
  <c r="G342" i="7"/>
  <c r="H342" i="7"/>
  <c r="I342" i="7"/>
  <c r="J342" i="7"/>
  <c r="G343" i="7"/>
  <c r="H343" i="7"/>
  <c r="I343" i="7"/>
  <c r="J343" i="7"/>
  <c r="G344" i="7"/>
  <c r="H344" i="7"/>
  <c r="I344" i="7"/>
  <c r="J344"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57" i="7"/>
  <c r="H357" i="7"/>
  <c r="I357" i="7"/>
  <c r="J357" i="7"/>
  <c r="G358" i="7"/>
  <c r="H358" i="7"/>
  <c r="I358" i="7"/>
  <c r="J358" i="7"/>
  <c r="G359" i="7"/>
  <c r="H359" i="7"/>
  <c r="I359" i="7"/>
  <c r="J359" i="7"/>
  <c r="G360" i="7"/>
  <c r="H360" i="7"/>
  <c r="I360" i="7"/>
  <c r="J360"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73" i="7"/>
  <c r="H373" i="7"/>
  <c r="I373" i="7"/>
  <c r="J373" i="7"/>
  <c r="G374" i="7"/>
  <c r="H374" i="7"/>
  <c r="I374" i="7"/>
  <c r="J374" i="7"/>
  <c r="G375" i="7"/>
  <c r="H375" i="7"/>
  <c r="I375" i="7"/>
  <c r="J375" i="7"/>
  <c r="G381" i="7"/>
  <c r="H381" i="7"/>
  <c r="I381" i="7"/>
  <c r="J381" i="7"/>
  <c r="G382" i="7"/>
  <c r="H382" i="7"/>
  <c r="I382" i="7"/>
  <c r="J382" i="7"/>
  <c r="G383" i="7"/>
  <c r="H383" i="7"/>
  <c r="I383" i="7"/>
  <c r="J383" i="7"/>
  <c r="G384" i="7"/>
  <c r="H384" i="7"/>
  <c r="I384" i="7"/>
  <c r="J384" i="7"/>
  <c r="G385" i="7"/>
  <c r="H385" i="7"/>
  <c r="I385" i="7"/>
  <c r="J385" i="7"/>
  <c r="G386" i="7"/>
  <c r="H386" i="7"/>
  <c r="I386" i="7"/>
  <c r="J386" i="7"/>
  <c r="G387" i="7"/>
  <c r="H387" i="7"/>
  <c r="I387" i="7"/>
  <c r="J387" i="7"/>
  <c r="G388" i="7"/>
  <c r="H388" i="7"/>
  <c r="I388" i="7"/>
  <c r="J388" i="7"/>
  <c r="G389" i="7"/>
  <c r="H389" i="7"/>
  <c r="I389" i="7"/>
  <c r="J389" i="7"/>
  <c r="G390" i="7"/>
  <c r="H390" i="7"/>
  <c r="I390" i="7"/>
  <c r="J390" i="7"/>
  <c r="G391" i="7"/>
  <c r="H391" i="7"/>
  <c r="I391" i="7"/>
  <c r="J391"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4" i="7"/>
  <c r="H404" i="7"/>
  <c r="I404" i="7"/>
  <c r="J404" i="7"/>
  <c r="G405" i="7"/>
  <c r="H405" i="7"/>
  <c r="I405" i="7"/>
  <c r="J405" i="7"/>
  <c r="G406" i="7"/>
  <c r="H406" i="7"/>
  <c r="I406" i="7"/>
  <c r="J406" i="7"/>
  <c r="G407" i="7"/>
  <c r="H407" i="7"/>
  <c r="I407" i="7"/>
  <c r="J407"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0" i="7"/>
  <c r="H420" i="7"/>
  <c r="I420" i="7"/>
  <c r="J420" i="7"/>
  <c r="G421" i="7"/>
  <c r="H421" i="7"/>
  <c r="I421" i="7"/>
  <c r="J421" i="7"/>
  <c r="G422" i="7"/>
  <c r="H422" i="7"/>
  <c r="I422" i="7"/>
  <c r="J422" i="7"/>
  <c r="G423" i="7"/>
  <c r="H423" i="7"/>
  <c r="I423" i="7"/>
  <c r="J423"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36" i="7"/>
  <c r="H436" i="7"/>
  <c r="I436" i="7"/>
  <c r="J436" i="7"/>
  <c r="G437" i="7"/>
  <c r="H437" i="7"/>
  <c r="I437" i="7"/>
  <c r="J437" i="7"/>
  <c r="G438" i="7"/>
  <c r="H438" i="7"/>
  <c r="I438" i="7"/>
  <c r="J438" i="7"/>
  <c r="G439" i="7"/>
  <c r="H439" i="7"/>
  <c r="I439" i="7"/>
  <c r="J439"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2" i="7"/>
  <c r="H452" i="7"/>
  <c r="I452" i="7"/>
  <c r="J452" i="7"/>
  <c r="G453" i="7"/>
  <c r="H453" i="7"/>
  <c r="I453" i="7"/>
  <c r="J453" i="7"/>
  <c r="G454" i="7"/>
  <c r="H454" i="7"/>
  <c r="I454" i="7"/>
  <c r="J454" i="7"/>
  <c r="G455" i="7"/>
  <c r="H455" i="7"/>
  <c r="I455" i="7"/>
  <c r="J455" i="7"/>
  <c r="AZ19" i="6"/>
  <c r="BA19" i="6"/>
  <c r="BB19" i="6"/>
  <c r="BC19" i="6"/>
  <c r="BD19" i="6"/>
  <c r="BE19" i="6"/>
  <c r="BF19" i="6"/>
  <c r="BG19" i="6"/>
  <c r="BH19" i="6"/>
  <c r="BI19" i="6"/>
  <c r="CI19" i="6"/>
  <c r="A3" i="1"/>
  <c r="A15" i="1"/>
  <c r="A16" i="1"/>
  <c r="A17" i="1"/>
  <c r="A18" i="1"/>
  <c r="D18" i="1"/>
  <c r="E18" i="1"/>
  <c r="A19" i="1"/>
  <c r="D19" i="1"/>
  <c r="A20" i="1"/>
  <c r="D20" i="1"/>
  <c r="A21" i="1"/>
  <c r="D21" i="1"/>
  <c r="A22" i="1"/>
  <c r="D22" i="1"/>
  <c r="E22" i="1"/>
  <c r="C47" i="1"/>
  <c r="E47" i="1"/>
  <c r="G47" i="1"/>
  <c r="I47" i="1"/>
  <c r="K47" i="1"/>
  <c r="M47" i="1"/>
  <c r="C48" i="1"/>
  <c r="E48" i="1"/>
  <c r="G48" i="1"/>
  <c r="I48" i="1"/>
  <c r="K48" i="1"/>
  <c r="M48" i="1"/>
  <c r="C49" i="1"/>
  <c r="E49" i="1"/>
  <c r="G49" i="1"/>
  <c r="I49" i="1"/>
  <c r="K49" i="1"/>
  <c r="M49" i="1"/>
  <c r="C50" i="1"/>
  <c r="E50" i="1"/>
  <c r="G50" i="1"/>
  <c r="I50" i="1"/>
  <c r="K50" i="1"/>
  <c r="M50" i="1"/>
  <c r="C51" i="1"/>
  <c r="E51" i="1"/>
  <c r="G51" i="1"/>
  <c r="I51" i="1"/>
  <c r="K51" i="1"/>
  <c r="M51" i="1"/>
  <c r="C52" i="1"/>
  <c r="E52" i="1"/>
  <c r="G52" i="1"/>
  <c r="I52" i="1"/>
  <c r="K52" i="1"/>
  <c r="M52" i="1"/>
  <c r="C53" i="1"/>
  <c r="E53" i="1"/>
  <c r="G53" i="1"/>
  <c r="I53" i="1"/>
  <c r="K53" i="1"/>
  <c r="M53" i="1"/>
  <c r="C54" i="1"/>
  <c r="E54" i="1"/>
  <c r="G54" i="1"/>
  <c r="I54" i="1"/>
  <c r="K54" i="1"/>
  <c r="M54" i="1"/>
  <c r="C55" i="1"/>
  <c r="E55" i="1"/>
  <c r="G55" i="1"/>
  <c r="I55" i="1"/>
  <c r="K55" i="1"/>
  <c r="M55" i="1"/>
  <c r="C56" i="1"/>
  <c r="E56" i="1"/>
  <c r="G56" i="1"/>
  <c r="I56" i="1"/>
  <c r="K56" i="1"/>
  <c r="M56" i="1"/>
  <c r="C57" i="1"/>
  <c r="E57" i="1"/>
  <c r="G57" i="1"/>
  <c r="I57" i="1"/>
  <c r="K57" i="1"/>
  <c r="M57" i="1"/>
  <c r="C58" i="1"/>
  <c r="E58" i="1"/>
  <c r="G58" i="1"/>
  <c r="I58" i="1"/>
  <c r="K58" i="1"/>
  <c r="M58" i="1"/>
  <c r="C65" i="1"/>
  <c r="B66" i="1"/>
  <c r="C66" i="1"/>
  <c r="J71" i="1"/>
  <c r="J72" i="1"/>
  <c r="J73" i="1"/>
  <c r="J74" i="1"/>
  <c r="B78" i="1"/>
  <c r="B79" i="1" s="1"/>
  <c r="C78" i="1"/>
  <c r="C80" i="1" s="1"/>
  <c r="D78" i="1"/>
  <c r="E78" i="1"/>
  <c r="E80" i="1" s="1"/>
  <c r="F78" i="1"/>
  <c r="F79" i="1" s="1"/>
  <c r="G78" i="1"/>
  <c r="J78" i="1"/>
  <c r="D79" i="1"/>
  <c r="E79" i="1"/>
  <c r="G79" i="1"/>
  <c r="J79" i="1"/>
  <c r="B80" i="1"/>
  <c r="D80" i="1"/>
  <c r="G80" i="1"/>
  <c r="J80" i="1"/>
  <c r="A84" i="1"/>
  <c r="A85" i="1"/>
  <c r="A86" i="1"/>
  <c r="C87" i="1"/>
  <c r="H87" i="1"/>
  <c r="A88" i="1"/>
  <c r="C88" i="1"/>
  <c r="D88" i="1"/>
  <c r="E88" i="1"/>
  <c r="F88" i="1"/>
  <c r="H88" i="1"/>
  <c r="I88" i="1"/>
  <c r="J88" i="1"/>
  <c r="K88" i="1"/>
  <c r="A89" i="1"/>
  <c r="C89" i="1"/>
  <c r="D89" i="1"/>
  <c r="E89" i="1"/>
  <c r="F89" i="1"/>
  <c r="J89" i="1"/>
  <c r="A90" i="1"/>
  <c r="C90" i="1"/>
  <c r="D90" i="1"/>
  <c r="E90" i="1"/>
  <c r="F90" i="1"/>
  <c r="A91" i="1"/>
  <c r="C91" i="1"/>
  <c r="D91" i="1"/>
  <c r="E91" i="1"/>
  <c r="F91" i="1"/>
  <c r="J91" i="1"/>
  <c r="K91" i="1"/>
  <c r="A92" i="1"/>
  <c r="C92" i="1"/>
  <c r="D92" i="1"/>
  <c r="E92" i="1"/>
  <c r="F92" i="1"/>
  <c r="A93" i="1"/>
  <c r="C93" i="1"/>
  <c r="D93" i="1"/>
  <c r="E93" i="1"/>
  <c r="F93" i="1"/>
  <c r="H93" i="1"/>
  <c r="A94" i="1"/>
  <c r="C94" i="1"/>
  <c r="D94" i="1"/>
  <c r="E94" i="1"/>
  <c r="F94" i="1"/>
  <c r="K94" i="1"/>
  <c r="A95" i="1"/>
  <c r="C95" i="1"/>
  <c r="D95" i="1"/>
  <c r="E95" i="1"/>
  <c r="F95" i="1"/>
  <c r="H95" i="1"/>
  <c r="A96" i="1"/>
  <c r="C96" i="1"/>
  <c r="D96" i="1"/>
  <c r="E96" i="1"/>
  <c r="F96" i="1"/>
  <c r="J96" i="1"/>
  <c r="A97" i="1"/>
  <c r="C97" i="1"/>
  <c r="D97" i="1"/>
  <c r="E97" i="1"/>
  <c r="F97" i="1"/>
  <c r="A98" i="1"/>
  <c r="C98" i="1"/>
  <c r="D98" i="1"/>
  <c r="E98" i="1"/>
  <c r="F98" i="1"/>
  <c r="J98" i="1"/>
  <c r="K98" i="1"/>
  <c r="A99" i="1"/>
  <c r="C99" i="1"/>
  <c r="D99" i="1"/>
  <c r="E99" i="1"/>
  <c r="F99" i="1"/>
  <c r="A100" i="1"/>
  <c r="C100" i="1"/>
  <c r="D100" i="1"/>
  <c r="E100" i="1"/>
  <c r="F100" i="1"/>
  <c r="H100" i="1"/>
  <c r="J100" i="1"/>
  <c r="K100" i="1"/>
  <c r="D106" i="1"/>
  <c r="C115" i="1"/>
  <c r="C116" i="1"/>
  <c r="C117" i="1"/>
  <c r="C118" i="1"/>
  <c r="J115" i="1"/>
  <c r="G115" i="1" s="1"/>
  <c r="C119" i="1"/>
  <c r="J116" i="1"/>
  <c r="G116" i="1" s="1"/>
  <c r="C120" i="1"/>
  <c r="J117" i="1"/>
  <c r="G117" i="1" s="1"/>
  <c r="C121" i="1"/>
  <c r="I121" i="1" s="1"/>
  <c r="D121" i="1"/>
  <c r="J118" i="1" s="1"/>
  <c r="G118" i="1" s="1"/>
  <c r="I124" i="1"/>
  <c r="F124" i="1" s="1"/>
  <c r="J124" i="1"/>
  <c r="G124" i="1"/>
  <c r="I125" i="1"/>
  <c r="F125" i="1"/>
  <c r="J125" i="1"/>
  <c r="G125" i="1"/>
  <c r="I126" i="1"/>
  <c r="F126" i="1" s="1"/>
  <c r="J126" i="1"/>
  <c r="G126" i="1"/>
  <c r="I127" i="1"/>
  <c r="F127" i="1"/>
  <c r="J127" i="1"/>
  <c r="G127" i="1"/>
  <c r="I128" i="1"/>
  <c r="F128" i="1" s="1"/>
  <c r="J128" i="1"/>
  <c r="G128" i="1"/>
  <c r="I129" i="1"/>
  <c r="F129" i="1"/>
  <c r="J129" i="1"/>
  <c r="G129" i="1"/>
  <c r="I130" i="1"/>
  <c r="F130" i="1" s="1"/>
  <c r="J130" i="1"/>
  <c r="G130" i="1"/>
  <c r="I131" i="1"/>
  <c r="F131" i="1"/>
  <c r="J131" i="1"/>
  <c r="G131" i="1"/>
  <c r="I132" i="1"/>
  <c r="F132" i="1" s="1"/>
  <c r="J132" i="1"/>
  <c r="G132" i="1"/>
  <c r="I133" i="1"/>
  <c r="F133" i="1"/>
  <c r="J133" i="1"/>
  <c r="G133" i="1"/>
  <c r="I134" i="1"/>
  <c r="F134" i="1" s="1"/>
  <c r="J134" i="1"/>
  <c r="G134" i="1"/>
  <c r="I135" i="1"/>
  <c r="F135" i="1"/>
  <c r="J135" i="1"/>
  <c r="G135" i="1"/>
  <c r="I136" i="1"/>
  <c r="F136" i="1" s="1"/>
  <c r="J136" i="1"/>
  <c r="G136" i="1"/>
  <c r="I137" i="1"/>
  <c r="F137" i="1"/>
  <c r="J137" i="1"/>
  <c r="G137" i="1"/>
  <c r="I138" i="1"/>
  <c r="F138" i="1" s="1"/>
  <c r="J138" i="1"/>
  <c r="G138" i="1"/>
  <c r="I139" i="1"/>
  <c r="F139" i="1"/>
  <c r="J139" i="1"/>
  <c r="G139" i="1"/>
  <c r="I140" i="1"/>
  <c r="F140" i="1" s="1"/>
  <c r="J140" i="1"/>
  <c r="G140" i="1"/>
  <c r="I141" i="1"/>
  <c r="F141" i="1"/>
  <c r="J141" i="1"/>
  <c r="G141" i="1"/>
  <c r="I142" i="1"/>
  <c r="F142" i="1" s="1"/>
  <c r="J142" i="1"/>
  <c r="G142" i="1"/>
  <c r="I143" i="1"/>
  <c r="F143" i="1"/>
  <c r="J143" i="1"/>
  <c r="G143" i="1"/>
  <c r="I144" i="1"/>
  <c r="F144" i="1" s="1"/>
  <c r="J144" i="1"/>
  <c r="G144" i="1"/>
  <c r="I145" i="1"/>
  <c r="F145" i="1"/>
  <c r="J145" i="1"/>
  <c r="G145" i="1"/>
  <c r="I146" i="1"/>
  <c r="F146" i="1" s="1"/>
  <c r="J146" i="1"/>
  <c r="G146" i="1"/>
  <c r="I147" i="1"/>
  <c r="F147" i="1"/>
  <c r="J147" i="1"/>
  <c r="G147" i="1"/>
  <c r="I148" i="1"/>
  <c r="F148" i="1" s="1"/>
  <c r="J148" i="1"/>
  <c r="G148" i="1"/>
  <c r="I149" i="1"/>
  <c r="F149" i="1"/>
  <c r="J149" i="1"/>
  <c r="G149" i="1"/>
  <c r="I150" i="1"/>
  <c r="F150" i="1" s="1"/>
  <c r="J150" i="1"/>
  <c r="G150" i="1"/>
  <c r="I151" i="1"/>
  <c r="F151" i="1"/>
  <c r="J151" i="1"/>
  <c r="G151" i="1"/>
  <c r="I152" i="1"/>
  <c r="F152" i="1" s="1"/>
  <c r="J152" i="1"/>
  <c r="G152" i="1"/>
  <c r="I153" i="1"/>
  <c r="F153" i="1"/>
  <c r="J153" i="1"/>
  <c r="G153" i="1"/>
  <c r="I154" i="1"/>
  <c r="F154" i="1" s="1"/>
  <c r="J154" i="1"/>
  <c r="G154" i="1"/>
  <c r="I155" i="1"/>
  <c r="F155" i="1"/>
  <c r="J155" i="1"/>
  <c r="G155" i="1"/>
  <c r="I156" i="1"/>
  <c r="F156" i="1" s="1"/>
  <c r="J156" i="1"/>
  <c r="G156" i="1"/>
  <c r="I157" i="1"/>
  <c r="F157" i="1"/>
  <c r="J157" i="1"/>
  <c r="G157" i="1"/>
  <c r="I158" i="1"/>
  <c r="F158" i="1" s="1"/>
  <c r="J158" i="1"/>
  <c r="G158" i="1"/>
  <c r="I159" i="1"/>
  <c r="F159" i="1"/>
  <c r="J159" i="1"/>
  <c r="G159" i="1"/>
  <c r="I160" i="1"/>
  <c r="F160" i="1" s="1"/>
  <c r="J160" i="1"/>
  <c r="G160" i="1"/>
  <c r="I161" i="1"/>
  <c r="F161" i="1"/>
  <c r="J161" i="1"/>
  <c r="G161" i="1"/>
  <c r="I162" i="1"/>
  <c r="F162" i="1" s="1"/>
  <c r="J162" i="1"/>
  <c r="G162" i="1"/>
  <c r="I163" i="1"/>
  <c r="F163" i="1"/>
  <c r="J163" i="1"/>
  <c r="G163" i="1"/>
  <c r="I164" i="1"/>
  <c r="F164" i="1" s="1"/>
  <c r="J164" i="1"/>
  <c r="G164" i="1"/>
  <c r="I165" i="1"/>
  <c r="F165" i="1"/>
  <c r="J165" i="1"/>
  <c r="G165" i="1"/>
  <c r="I166" i="1"/>
  <c r="F166" i="1" s="1"/>
  <c r="J166" i="1"/>
  <c r="G166" i="1"/>
  <c r="I167" i="1"/>
  <c r="F167" i="1"/>
  <c r="J167" i="1"/>
  <c r="G167" i="1"/>
  <c r="I168" i="1"/>
  <c r="F168" i="1" s="1"/>
  <c r="J168" i="1"/>
  <c r="G168" i="1"/>
  <c r="I169" i="1"/>
  <c r="F169" i="1"/>
  <c r="J169" i="1"/>
  <c r="G169" i="1"/>
  <c r="I170" i="1"/>
  <c r="F170" i="1" s="1"/>
  <c r="J170" i="1"/>
  <c r="G170" i="1"/>
  <c r="I171" i="1"/>
  <c r="F171" i="1"/>
  <c r="J171" i="1"/>
  <c r="G171" i="1"/>
  <c r="I172" i="1"/>
  <c r="F172" i="1" s="1"/>
  <c r="J172" i="1"/>
  <c r="G172" i="1"/>
  <c r="I173" i="1"/>
  <c r="F173" i="1"/>
  <c r="J173" i="1"/>
  <c r="G173" i="1"/>
  <c r="I174" i="1"/>
  <c r="F174" i="1" s="1"/>
  <c r="J174" i="1"/>
  <c r="G174" i="1"/>
  <c r="I175" i="1"/>
  <c r="F175" i="1"/>
  <c r="J175" i="1"/>
  <c r="G175" i="1"/>
  <c r="I176" i="1"/>
  <c r="F176" i="1" s="1"/>
  <c r="J176" i="1"/>
  <c r="G176" i="1"/>
  <c r="I177" i="1"/>
  <c r="F177" i="1"/>
  <c r="J177" i="1"/>
  <c r="G177" i="1"/>
  <c r="I178" i="1"/>
  <c r="F178" i="1" s="1"/>
  <c r="J178" i="1"/>
  <c r="G178" i="1"/>
  <c r="I179" i="1"/>
  <c r="F179" i="1"/>
  <c r="J179" i="1"/>
  <c r="G179" i="1"/>
  <c r="I180" i="1"/>
  <c r="F180" i="1" s="1"/>
  <c r="J180" i="1"/>
  <c r="G180" i="1"/>
  <c r="I181" i="1"/>
  <c r="F181" i="1"/>
  <c r="J181" i="1"/>
  <c r="G181" i="1"/>
  <c r="I182" i="1"/>
  <c r="F182" i="1" s="1"/>
  <c r="J182" i="1"/>
  <c r="G182" i="1"/>
  <c r="I183" i="1"/>
  <c r="F183" i="1"/>
  <c r="J183" i="1"/>
  <c r="G183" i="1"/>
  <c r="I184" i="1"/>
  <c r="F184" i="1" s="1"/>
  <c r="J184" i="1"/>
  <c r="G184" i="1"/>
  <c r="I185" i="1"/>
  <c r="F185" i="1"/>
  <c r="J185" i="1"/>
  <c r="G185" i="1"/>
  <c r="I186" i="1"/>
  <c r="F186" i="1" s="1"/>
  <c r="J186" i="1"/>
  <c r="G186" i="1"/>
  <c r="I187" i="1"/>
  <c r="F187" i="1"/>
  <c r="J187" i="1"/>
  <c r="G187" i="1"/>
  <c r="I188" i="1"/>
  <c r="F188" i="1" s="1"/>
  <c r="J188" i="1"/>
  <c r="G188" i="1"/>
  <c r="I189" i="1"/>
  <c r="F189" i="1"/>
  <c r="J189" i="1"/>
  <c r="G189" i="1"/>
  <c r="I190" i="1"/>
  <c r="F190" i="1" s="1"/>
  <c r="J190" i="1"/>
  <c r="G190" i="1"/>
  <c r="I191" i="1"/>
  <c r="F191" i="1"/>
  <c r="J191" i="1"/>
  <c r="G191" i="1"/>
  <c r="I192" i="1"/>
  <c r="F192" i="1" s="1"/>
  <c r="J192" i="1"/>
  <c r="G192" i="1"/>
  <c r="I193" i="1"/>
  <c r="F193" i="1"/>
  <c r="J193" i="1"/>
  <c r="G193" i="1"/>
  <c r="I194" i="1"/>
  <c r="F194" i="1" s="1"/>
  <c r="J194" i="1"/>
  <c r="G194" i="1"/>
  <c r="I195" i="1"/>
  <c r="F195" i="1"/>
  <c r="J195" i="1"/>
  <c r="G195" i="1"/>
  <c r="I196" i="1"/>
  <c r="F196" i="1" s="1"/>
  <c r="J196" i="1"/>
  <c r="G196" i="1"/>
  <c r="I197" i="1"/>
  <c r="F197" i="1"/>
  <c r="J197" i="1"/>
  <c r="G197" i="1"/>
  <c r="I198" i="1"/>
  <c r="F198" i="1" s="1"/>
  <c r="J198" i="1"/>
  <c r="G198" i="1"/>
  <c r="I199" i="1"/>
  <c r="F199" i="1"/>
  <c r="J199" i="1"/>
  <c r="G199" i="1"/>
  <c r="I200" i="1"/>
  <c r="F200" i="1" s="1"/>
  <c r="J200" i="1"/>
  <c r="G200" i="1"/>
  <c r="I201" i="1"/>
  <c r="F201" i="1"/>
  <c r="J201" i="1"/>
  <c r="G201" i="1"/>
  <c r="I202" i="1"/>
  <c r="F202" i="1" s="1"/>
  <c r="J202" i="1"/>
  <c r="G202" i="1"/>
  <c r="I203" i="1"/>
  <c r="F203" i="1"/>
  <c r="J203" i="1"/>
  <c r="G203" i="1"/>
  <c r="I204" i="1"/>
  <c r="F204" i="1" s="1"/>
  <c r="J204" i="1"/>
  <c r="G204" i="1"/>
  <c r="I205" i="1"/>
  <c r="F205" i="1"/>
  <c r="J205" i="1"/>
  <c r="G205" i="1"/>
  <c r="I206" i="1"/>
  <c r="F206" i="1" s="1"/>
  <c r="J206" i="1"/>
  <c r="G206" i="1"/>
  <c r="I207" i="1"/>
  <c r="F207" i="1"/>
  <c r="J207" i="1"/>
  <c r="G207" i="1"/>
  <c r="I208" i="1"/>
  <c r="F208" i="1" s="1"/>
  <c r="J208" i="1"/>
  <c r="G208" i="1"/>
  <c r="I209" i="1"/>
  <c r="F209" i="1"/>
  <c r="J209" i="1"/>
  <c r="G209" i="1"/>
  <c r="I210" i="1"/>
  <c r="F210" i="1" s="1"/>
  <c r="J210" i="1"/>
  <c r="G210" i="1"/>
  <c r="I211" i="1"/>
  <c r="F211" i="1"/>
  <c r="J211" i="1"/>
  <c r="G211" i="1"/>
  <c r="I212" i="1"/>
  <c r="F212" i="1" s="1"/>
  <c r="J212" i="1"/>
  <c r="G212" i="1"/>
  <c r="I213" i="1"/>
  <c r="F213" i="1"/>
  <c r="J213" i="1"/>
  <c r="G213" i="1"/>
  <c r="I214" i="1"/>
  <c r="F214" i="1" s="1"/>
  <c r="J214" i="1"/>
  <c r="G214" i="1"/>
  <c r="I215" i="1"/>
  <c r="F215" i="1"/>
  <c r="J215" i="1"/>
  <c r="G215" i="1"/>
  <c r="I216" i="1"/>
  <c r="F216" i="1" s="1"/>
  <c r="J216" i="1"/>
  <c r="G216" i="1"/>
  <c r="I217" i="1"/>
  <c r="F217" i="1"/>
  <c r="J217" i="1"/>
  <c r="G217" i="1"/>
  <c r="I218" i="1"/>
  <c r="F218" i="1" s="1"/>
  <c r="J218" i="1"/>
  <c r="G218" i="1"/>
  <c r="I219" i="1"/>
  <c r="F219" i="1"/>
  <c r="J219" i="1"/>
  <c r="G219" i="1"/>
  <c r="I220" i="1"/>
  <c r="F220" i="1" s="1"/>
  <c r="J220" i="1"/>
  <c r="G220" i="1"/>
  <c r="I221" i="1"/>
  <c r="F221" i="1"/>
  <c r="J221" i="1"/>
  <c r="G221" i="1"/>
  <c r="I222" i="1"/>
  <c r="F222" i="1" s="1"/>
  <c r="J222" i="1"/>
  <c r="G222" i="1"/>
  <c r="I223" i="1"/>
  <c r="F223" i="1"/>
  <c r="J223" i="1"/>
  <c r="G223" i="1"/>
  <c r="I224" i="1"/>
  <c r="F224" i="1" s="1"/>
  <c r="J224" i="1"/>
  <c r="G224" i="1"/>
  <c r="I225" i="1"/>
  <c r="F225" i="1"/>
  <c r="J225" i="1"/>
  <c r="G225" i="1"/>
  <c r="I226" i="1"/>
  <c r="F226" i="1" s="1"/>
  <c r="J226" i="1"/>
  <c r="G226" i="1"/>
  <c r="I227" i="1"/>
  <c r="F227" i="1"/>
  <c r="J227" i="1"/>
  <c r="G227" i="1"/>
  <c r="I228" i="1"/>
  <c r="F228" i="1" s="1"/>
  <c r="J228" i="1"/>
  <c r="G228" i="1"/>
  <c r="I229" i="1"/>
  <c r="F229" i="1"/>
  <c r="J229" i="1"/>
  <c r="G229" i="1"/>
  <c r="I230" i="1"/>
  <c r="F230" i="1" s="1"/>
  <c r="J230" i="1"/>
  <c r="G230" i="1"/>
  <c r="I231" i="1"/>
  <c r="F231" i="1"/>
  <c r="J231" i="1"/>
  <c r="G231" i="1"/>
  <c r="I232" i="1"/>
  <c r="F232" i="1" s="1"/>
  <c r="J232" i="1"/>
  <c r="G232" i="1"/>
  <c r="I233" i="1"/>
  <c r="F233" i="1"/>
  <c r="J233" i="1"/>
  <c r="G233" i="1"/>
  <c r="I234" i="1"/>
  <c r="F234" i="1" s="1"/>
  <c r="J234" i="1"/>
  <c r="G234" i="1"/>
  <c r="I235" i="1"/>
  <c r="F235" i="1"/>
  <c r="J235" i="1"/>
  <c r="G235" i="1"/>
  <c r="I236" i="1"/>
  <c r="F236" i="1" s="1"/>
  <c r="J236" i="1"/>
  <c r="G236" i="1"/>
  <c r="I237" i="1"/>
  <c r="F237" i="1"/>
  <c r="J237" i="1"/>
  <c r="G237" i="1"/>
  <c r="I238" i="1"/>
  <c r="F238" i="1" s="1"/>
  <c r="J238" i="1"/>
  <c r="G238" i="1"/>
  <c r="I239" i="1"/>
  <c r="F239" i="1"/>
  <c r="J239" i="1"/>
  <c r="G239" i="1"/>
  <c r="I240" i="1"/>
  <c r="F240" i="1" s="1"/>
  <c r="J240" i="1"/>
  <c r="G240" i="1"/>
  <c r="I241" i="1"/>
  <c r="F241" i="1"/>
  <c r="J241" i="1"/>
  <c r="G241" i="1"/>
  <c r="I117" i="1" l="1"/>
  <c r="F117" i="1" s="1"/>
  <c r="I118" i="1"/>
  <c r="F118" i="1" s="1"/>
  <c r="C79" i="1"/>
  <c r="I115" i="1"/>
  <c r="F115" i="1" s="1"/>
  <c r="I116" i="1"/>
  <c r="F116" i="1" s="1"/>
  <c r="E20" i="1"/>
  <c r="F122" i="1"/>
  <c r="F121" i="1"/>
  <c r="I120" i="1"/>
  <c r="F120" i="1" s="1"/>
  <c r="J119" i="1"/>
  <c r="G119" i="1" s="1"/>
  <c r="I119" i="1"/>
  <c r="F119" i="1" s="1"/>
  <c r="I78" i="1"/>
  <c r="F80" i="1"/>
  <c r="H78" i="1"/>
  <c r="J121" i="1"/>
  <c r="J120" i="1"/>
  <c r="G120" i="1" s="1"/>
  <c r="H80" i="1" l="1"/>
  <c r="H79" i="1"/>
  <c r="I79" i="1"/>
  <c r="I80" i="1"/>
  <c r="G121" i="1"/>
  <c r="G122" i="1"/>
</calcChain>
</file>

<file path=xl/sharedStrings.xml><?xml version="1.0" encoding="utf-8"?>
<sst xmlns="http://schemas.openxmlformats.org/spreadsheetml/2006/main" count="1842" uniqueCount="691">
  <si>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</si>
  <si>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</si>
  <si>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</si>
  <si>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</si>
  <si>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</si>
  <si>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</si>
  <si>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</si>
  <si>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</si>
  <si>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</si>
  <si>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</si>
  <si>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</si>
  <si>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</si>
  <si>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</si>
  <si>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</si>
  <si>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</si>
  <si>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</si>
  <si>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</si>
  <si>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</si>
  <si>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</si>
  <si>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</si>
  <si>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</si>
  <si>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ACTUAL</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</si>
  <si>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</si>
  <si>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</si>
  <si>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</si>
  <si>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</si>
  <si>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</si>
  <si>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</si>
  <si>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</si>
  <si>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</si>
  <si>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</si>
  <si>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</si>
  <si>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</si>
  <si>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</si>
  <si>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</si>
  <si>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</si>
  <si>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</si>
  <si>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</si>
  <si>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</si>
  <si>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</si>
  <si>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</si>
  <si>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</si>
  <si>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</si>
  <si>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</si>
  <si>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</si>
  <si>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</si>
  <si>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</si>
  <si>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</si>
  <si>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</si>
  <si>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</si>
  <si>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</si>
  <si>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</si>
  <si>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</si>
  <si>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</si>
  <si>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</si>
  <si>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</si>
  <si>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</si>
  <si>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</si>
  <si>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</si>
  <si>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</si>
  <si>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</si>
  <si>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</si>
  <si>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</si>
  <si>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</si>
  <si>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</si>
  <si>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</si>
  <si>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</si>
  <si>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</si>
  <si>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</si>
  <si>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</si>
  <si>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</si>
  <si>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</si>
  <si>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</si>
  <si>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</si>
  <si>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</si>
  <si>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</si>
  <si>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</si>
  <si>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</si>
  <si>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</si>
  <si>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</si>
  <si>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</si>
  <si>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</si>
  <si>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</si>
  <si>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</si>
  <si>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</si>
  <si>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</si>
  <si>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</si>
  <si>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</si>
  <si>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</si>
  <si>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</si>
  <si>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</si>
  <si>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</si>
  <si>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</si>
  <si>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</si>
  <si>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</si>
  <si>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</si>
  <si>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</si>
  <si>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</si>
  <si>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</si>
  <si>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</si>
  <si>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</si>
  <si>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</si>
  <si>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</si>
  <si>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</si>
  <si>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</si>
  <si>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</si>
  <si>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</si>
  <si>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</si>
  <si>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</si>
  <si>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</si>
  <si>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</si>
  <si>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</si>
  <si>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</si>
  <si>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</si>
  <si>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</si>
  <si>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</si>
  <si>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</si>
  <si>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</si>
  <si>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</si>
  <si>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</si>
  <si>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</si>
  <si>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</si>
  <si>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</si>
  <si>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</si>
  <si>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</si>
  <si>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</si>
  <si>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</si>
  <si>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</si>
  <si>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</si>
  <si>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</si>
  <si>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</si>
  <si>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</si>
  <si>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</si>
  <si>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</si>
  <si>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</si>
  <si>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</si>
  <si>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</si>
  <si>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</si>
  <si>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</si>
  <si>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</si>
  <si>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</si>
  <si>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</si>
  <si>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</si>
  <si>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</si>
  <si>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</si>
  <si>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</si>
  <si>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</si>
  <si>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</si>
  <si>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</si>
  <si>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</si>
  <si>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</si>
  <si>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</si>
  <si>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</si>
  <si>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</si>
  <si>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</si>
  <si>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</si>
  <si>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</si>
  <si>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</si>
  <si>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</si>
  <si>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</si>
  <si>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</si>
  <si>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</si>
  <si>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</si>
  <si>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</si>
  <si>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</si>
  <si>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</si>
  <si>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</si>
  <si>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</si>
  <si>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</si>
  <si>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</si>
  <si>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</si>
  <si>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</si>
  <si>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</si>
  <si>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</si>
  <si>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</si>
  <si>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</si>
  <si>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</si>
  <si>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</si>
  <si>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</si>
  <si>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</si>
  <si>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S&amp;P 500 Q4,'12 OPER EPS</t>
  </si>
  <si>
    <t>2014 Q1</t>
  </si>
  <si>
    <t>2014 Q2</t>
  </si>
  <si>
    <t>2014 Q3</t>
  </si>
  <si>
    <t>2014 Q4</t>
  </si>
  <si>
    <t>2014 EPS</t>
  </si>
  <si>
    <t>2014 P/E</t>
  </si>
  <si>
    <t>S&amp;P 500 Q1,'13 OPER EPS</t>
  </si>
  <si>
    <t xml:space="preserve">   howard.silverblatt@spdji.com</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</si>
  <si>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</si>
  <si>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</si>
  <si>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</si>
  <si>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</si>
  <si>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</si>
  <si>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</si>
  <si>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</si>
  <si>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</si>
  <si>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</si>
  <si>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</si>
  <si>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</si>
  <si>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</si>
  <si>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</si>
  <si>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</si>
  <si>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</si>
  <si>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</si>
  <si>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</si>
  <si>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</si>
  <si>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</si>
  <si>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</si>
  <si>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</si>
  <si>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</si>
  <si>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</si>
  <si>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</si>
  <si>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</si>
  <si>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</si>
  <si>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</si>
  <si>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</si>
  <si>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</si>
  <si>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</si>
  <si>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</si>
  <si>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</si>
  <si>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</si>
  <si>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</si>
  <si>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</si>
  <si>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</si>
  <si>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</si>
  <si>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</si>
  <si>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</si>
  <si>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</si>
  <si>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</si>
  <si>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</si>
  <si>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</si>
  <si>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</si>
  <si>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</si>
  <si>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</si>
  <si>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</si>
  <si>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</si>
  <si>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</si>
  <si>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</si>
  <si>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</si>
  <si>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</si>
  <si>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</si>
  <si>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</si>
  <si>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</si>
  <si>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</si>
  <si>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</si>
  <si>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</si>
  <si>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</si>
  <si>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</si>
  <si>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</si>
  <si>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</si>
  <si>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</si>
  <si>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</si>
  <si>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</si>
  <si>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</si>
  <si>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</si>
  <si>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</si>
  <si>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</si>
  <si>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</si>
  <si>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</si>
  <si>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</si>
  <si>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</si>
  <si>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</si>
  <si>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</si>
  <si>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</si>
  <si>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</si>
  <si>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</si>
  <si>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</si>
  <si>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</si>
  <si>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</si>
  <si>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</si>
  <si>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</si>
  <si>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</si>
  <si>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</si>
  <si>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</si>
  <si>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</si>
  <si>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</si>
  <si>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</si>
  <si>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</si>
  <si>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</si>
  <si>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</si>
  <si>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</si>
  <si>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</si>
  <si>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</si>
  <si>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</si>
  <si>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</si>
  <si>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</si>
  <si>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</si>
  <si>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</si>
  <si>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</si>
  <si>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</si>
  <si>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</si>
  <si>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</si>
  <si>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</si>
  <si>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</si>
  <si>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</si>
  <si>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</si>
  <si>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</si>
  <si>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</si>
  <si>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</si>
  <si>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</si>
  <si>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</si>
  <si>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</si>
  <si>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</si>
  <si>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</si>
  <si>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</si>
  <si>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</si>
  <si>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</si>
  <si>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</si>
  <si>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</si>
  <si>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</si>
  <si>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PMI Service Index, 9:45 a.m.</t>
  </si>
  <si>
    <t>Retail Sales</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</si>
  <si>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</si>
  <si>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</si>
  <si>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</si>
  <si>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</si>
  <si>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</si>
  <si>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</si>
  <si>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</si>
  <si>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</si>
  <si>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</si>
  <si>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</si>
  <si>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</si>
  <si>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</si>
  <si>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</si>
  <si>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</si>
  <si>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</si>
  <si>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</si>
  <si>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</si>
  <si>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</si>
  <si>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</si>
  <si>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</si>
  <si>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</si>
  <si>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</si>
  <si>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</si>
  <si>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</si>
  <si>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</si>
  <si>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</si>
  <si>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</si>
  <si>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</si>
  <si>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</si>
  <si>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</si>
  <si>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</si>
  <si>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</si>
  <si>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</si>
  <si>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</si>
  <si>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</si>
  <si>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</si>
  <si>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</si>
  <si>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</si>
  <si>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</si>
  <si>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</si>
  <si>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</si>
  <si>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</si>
  <si>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Factory Orders, 10 a.m.</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</si>
  <si>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</si>
  <si>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</si>
  <si>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</si>
  <si>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</si>
  <si>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</si>
  <si>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</si>
  <si>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</si>
  <si>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</si>
  <si>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</si>
  <si>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</si>
  <si>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Q4,'16 lower shares than Q4,'15</t>
  </si>
  <si>
    <t>Q4,'16 higher sharers than Q4,'15</t>
  </si>
  <si>
    <t>S&amp;P 500 Q4,'16 OPER EPS</t>
  </si>
  <si>
    <t>12/31/2018</t>
  </si>
  <si>
    <t>9/30/2018</t>
  </si>
  <si>
    <t>Consumer Sentiment, 10 a.m.</t>
  </si>
  <si>
    <t>PMI Manufacturing Index, 9:45 a.m.</t>
  </si>
  <si>
    <t>ISM Manufacturing Index, 10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</si>
  <si>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</si>
  <si>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</si>
  <si>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</si>
  <si>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</si>
  <si>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</si>
  <si>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</si>
  <si>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</si>
  <si>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</si>
  <si>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</si>
  <si>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</si>
  <si>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</si>
  <si>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</si>
  <si>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</si>
  <si>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</si>
  <si>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</si>
  <si>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</si>
  <si>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</si>
  <si>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2018E P/E</t>
  </si>
  <si>
    <t>372 beat, 95 missed, and 36 met their estimates; 320 of 501 (63.9%) beat on sales</t>
  </si>
  <si>
    <t>337 beat, 110 missed, and 54 met their estimates; 256 of 498 beat on sales</t>
  </si>
  <si>
    <t>JOLTS, 10 a.m.</t>
  </si>
  <si>
    <t xml:space="preserve">Of the 503 issues (505 in the index) with full operating comparative data </t>
  </si>
  <si>
    <t xml:space="preserve">Issues with diluted share counts for Q2 2017 over Q2 2016 EPS </t>
  </si>
  <si>
    <t>THU</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</si>
  <si>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</si>
  <si>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</si>
  <si>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</si>
  <si>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</si>
  <si>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</si>
  <si>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</si>
  <si>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</si>
  <si>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</si>
  <si>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</si>
  <si>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</si>
  <si>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Retail Inventories</t>
  </si>
  <si>
    <t>Consumer Confidence, 10 a.m.</t>
  </si>
  <si>
    <t>TUE</t>
  </si>
  <si>
    <t>Q4 2017</t>
  </si>
  <si>
    <t>2019 Q1</t>
  </si>
  <si>
    <t>2019 Q2</t>
  </si>
  <si>
    <t>2019 Q3</t>
  </si>
  <si>
    <t>2019 Q4</t>
  </si>
  <si>
    <t>2019EPS</t>
  </si>
  <si>
    <t>2019 P/E</t>
  </si>
  <si>
    <t>2019 EPS</t>
  </si>
  <si>
    <t>PRICE 12/17</t>
  </si>
  <si>
    <t>3/31/2019</t>
  </si>
  <si>
    <t>6/30/2019</t>
  </si>
  <si>
    <t>9/30/2019</t>
  </si>
  <si>
    <t>2019 EST</t>
  </si>
  <si>
    <t>2019E P/E</t>
  </si>
  <si>
    <t xml:space="preserve">Q3 </t>
  </si>
  <si>
    <t xml:space="preserve">Issues with diluted share counts for Q4 2017 over Q4 2016 EPS </t>
  </si>
  <si>
    <t>12/31/2019</t>
  </si>
  <si>
    <t>Q4,'17 lower shares than Q4,'16</t>
  </si>
  <si>
    <t>Q4,'17 higher sharers than Q4,'16</t>
  </si>
  <si>
    <t>Estimated P/Es are based on the current price, unless otherwise noted.</t>
  </si>
  <si>
    <t>S&amp;P CoreLogics Case-Shiller</t>
  </si>
  <si>
    <t>Motor Vehicle Sales</t>
  </si>
  <si>
    <t xml:space="preserve">Of the 500 issues (505 in the index) with full operating comparative data </t>
  </si>
  <si>
    <t>375 beat, 82 missed, and 43 met their estimates; 377 of 497 (75.9%) beat on sales</t>
  </si>
  <si>
    <t>Q4</t>
  </si>
  <si>
    <t>2018</t>
  </si>
  <si>
    <t>Change QTD</t>
  </si>
  <si>
    <t>Change YTD</t>
  </si>
  <si>
    <t>Wholesale Inventories</t>
  </si>
  <si>
    <t>WED</t>
  </si>
  <si>
    <t>ISM non-Manufacturing Index, 10 a.m.</t>
  </si>
  <si>
    <t>Employment Report</t>
  </si>
  <si>
    <t>Imports and Exports</t>
  </si>
  <si>
    <t>WED-ATC</t>
  </si>
  <si>
    <t>THU-ATC</t>
  </si>
  <si>
    <t xml:space="preserve">Issues with diluted share counts for Q2 2018 over Q2 2017 EPS </t>
  </si>
  <si>
    <t xml:space="preserve">Q2 2018 </t>
  </si>
  <si>
    <t>Q2,'18 lower shares than Q2,'17</t>
  </si>
  <si>
    <t>Q2,'18 higher sharers than Q2,'17</t>
  </si>
  <si>
    <t>Jun-18 Est</t>
  </si>
  <si>
    <t>% CHG Q2/Q1</t>
  </si>
  <si>
    <t>% CHG Q2/Q2</t>
  </si>
  <si>
    <t>Data based on a combination of reported and estimated sales for Q2,'18</t>
  </si>
  <si>
    <t>3/31/2018</t>
  </si>
  <si>
    <t>(P/E on Jun,'18 price)</t>
  </si>
  <si>
    <t>Q2 (Q2,'18 est)</t>
  </si>
  <si>
    <t>Q1</t>
  </si>
  <si>
    <t>Productivity and Costs</t>
  </si>
  <si>
    <t>Leading Indicators, 10 a.m.</t>
  </si>
  <si>
    <t>Existing Home Sales, 10 a.m.</t>
  </si>
  <si>
    <t>International Trade in Goods</t>
  </si>
  <si>
    <t>GDP</t>
  </si>
  <si>
    <t>Corporate Profits</t>
  </si>
  <si>
    <t>COMMENTARY (which is different than fact)</t>
  </si>
  <si>
    <t>Dividend yield (last 12 months: Aug,'18)</t>
  </si>
  <si>
    <t>U.S. holiday, banks and market closed</t>
  </si>
  <si>
    <t>International Sales</t>
  </si>
  <si>
    <t>Chain Store Sales</t>
  </si>
  <si>
    <t>ADP Private Employment</t>
  </si>
  <si>
    <t>17 years</t>
  </si>
  <si>
    <t>Wholesales Trade, 10 a.m.</t>
  </si>
  <si>
    <t>Beige Book, 2 p.m.</t>
  </si>
  <si>
    <t>BoE and ECB meeting</t>
  </si>
  <si>
    <t>Industrial production, 9:45 a.m.</t>
  </si>
  <si>
    <t>BoJ meeting</t>
  </si>
  <si>
    <t>Housing Market Index, 10 a.m.</t>
  </si>
  <si>
    <t>Housing Starts, 10 a.m.</t>
  </si>
  <si>
    <t>Quadruple Witching</t>
  </si>
  <si>
    <t>PMI Composite Flash</t>
  </si>
  <si>
    <t>FOMC 2-day meeting starts</t>
  </si>
  <si>
    <t>FHFA Housing Price Index</t>
  </si>
  <si>
    <t>New Home Sales, 10 a.m.</t>
  </si>
  <si>
    <t>FOMC announcement and forecast, 2 p.m.</t>
  </si>
  <si>
    <t>Fed Chair press conference, 2:30 p.m.</t>
  </si>
  <si>
    <t>Scheduled S&amp;P 500 earnings release for 9/24-28/18; ATC stands for after-the-close</t>
  </si>
  <si>
    <t xml:space="preserve">8 issues, 1.3% of the market value </t>
  </si>
  <si>
    <t>CCL</t>
  </si>
  <si>
    <t>Carnival Corp</t>
  </si>
  <si>
    <t>INFO</t>
  </si>
  <si>
    <t>IHS Markit</t>
  </si>
  <si>
    <t>TUE-ATC</t>
  </si>
  <si>
    <t>CTAS</t>
  </si>
  <si>
    <t>Cintas Corp</t>
  </si>
  <si>
    <t>NKE</t>
  </si>
  <si>
    <t>NIKE, Inc'B'</t>
  </si>
  <si>
    <t>KMX</t>
  </si>
  <si>
    <t>CarMax Inc</t>
  </si>
  <si>
    <t>ACN</t>
  </si>
  <si>
    <t>Accenture Plc'A'</t>
  </si>
  <si>
    <t>CAG</t>
  </si>
  <si>
    <t>Conagra Brands</t>
  </si>
  <si>
    <t>MKC</t>
  </si>
  <si>
    <t>McCormick &amp; Co</t>
  </si>
  <si>
    <t>Scheduled S&amp;P 500 earnings release for 10/1-5/18; ATC stands for after-the-close</t>
  </si>
  <si>
    <t xml:space="preserve">4 issues, 1.3% of the market value </t>
  </si>
  <si>
    <t>PAYX</t>
  </si>
  <si>
    <t>Paychex Inc</t>
  </si>
  <si>
    <t>PEP</t>
  </si>
  <si>
    <t>PepsiCo Inc</t>
  </si>
  <si>
    <t>COST</t>
  </si>
  <si>
    <t>Costco Wholesale</t>
  </si>
  <si>
    <t>FRI</t>
  </si>
  <si>
    <t>STZ</t>
  </si>
  <si>
    <t>Constellation Brands'A'</t>
  </si>
  <si>
    <t xml:space="preserve">Of the 499 issues (505 in the index) with full operating comparative data </t>
  </si>
  <si>
    <t>Operating beat rate historically high at 73.8%,  average 67%</t>
  </si>
  <si>
    <t>399 beat, 74 missed, and 26 met their estimates; 365 of 496 (73.6%) beat on sales</t>
  </si>
  <si>
    <t>Q2 2018 sales were strong again (adding to EPS beat), 11.2% Y/Y, new record, 73.6% beat</t>
  </si>
  <si>
    <t>Operating Margins at record 11.55%, 20 year average is 8.08% (helped by higher EPS increases than sales increases)</t>
  </si>
  <si>
    <t>Q3 &amp; Q4 estimated hold their ground, expected to set more records, guidance remains positive</t>
  </si>
  <si>
    <t>Hotels, Resorts &amp; Cruise Lines</t>
  </si>
  <si>
    <t>Research &amp; Consulting Services</t>
  </si>
  <si>
    <t>Diversified Support Services</t>
  </si>
  <si>
    <t>Footwear</t>
  </si>
  <si>
    <t>Automotive Retail</t>
  </si>
  <si>
    <t>IT Consulting &amp; Other Services</t>
  </si>
  <si>
    <t>Packaged Foods &amp; Meats</t>
  </si>
  <si>
    <t>Data Processing &amp; Outsourced Services</t>
  </si>
  <si>
    <t>Soft Drinks</t>
  </si>
  <si>
    <t>Distillers &amp; Vintners</t>
  </si>
  <si>
    <t>Hypermarkets &amp; Super Centers</t>
  </si>
  <si>
    <t>Scheduled S&amp;P 500 earnings release for 10/8-12/18; ATC stands for after-the-close</t>
  </si>
  <si>
    <t xml:space="preserve">8 issues, 4.3% of the market value </t>
  </si>
  <si>
    <t>FAST</t>
  </si>
  <si>
    <t>Fastenal Co</t>
  </si>
  <si>
    <t>Trading Companies &amp; Distributors</t>
  </si>
  <si>
    <t>BLK</t>
  </si>
  <si>
    <t>BlackRock Inc</t>
  </si>
  <si>
    <t>Asset Management &amp; Custody Banks</t>
  </si>
  <si>
    <t>DAL</t>
  </si>
  <si>
    <t>Delta Air Lines</t>
  </si>
  <si>
    <t>Airlines</t>
  </si>
  <si>
    <t>WBA</t>
  </si>
  <si>
    <t>Walgreens Boots Alliance</t>
  </si>
  <si>
    <t>Drug Retail</t>
  </si>
  <si>
    <t>C</t>
  </si>
  <si>
    <t>Citigroup Inc</t>
  </si>
  <si>
    <t>Diversified Banks</t>
  </si>
  <si>
    <t>JPM</t>
  </si>
  <si>
    <t>JPMorgan Chase &amp; Co</t>
  </si>
  <si>
    <t>PNC</t>
  </si>
  <si>
    <t>PNC Financial Services Gr</t>
  </si>
  <si>
    <t>Regional Banks</t>
  </si>
  <si>
    <t>WFC</t>
  </si>
  <si>
    <t>Wells Fargo</t>
  </si>
  <si>
    <t>Scheduled S&amp;P 500 earnings release for 10/15-19/18; ATC stands for after-the-close</t>
  </si>
  <si>
    <t xml:space="preserve">52 issues, 13.4% of the market value </t>
  </si>
  <si>
    <t>MON</t>
  </si>
  <si>
    <t>BAC</t>
  </si>
  <si>
    <t>Bank of America</t>
  </si>
  <si>
    <t>SCHW</t>
  </si>
  <si>
    <t>Schwab(Charles)Corp</t>
  </si>
  <si>
    <t>Investment Banking &amp; Brokerage</t>
  </si>
  <si>
    <t>CMA</t>
  </si>
  <si>
    <t>Comerica Inc</t>
  </si>
  <si>
    <t>GS</t>
  </si>
  <si>
    <t>Goldman Sachs Group</t>
  </si>
  <si>
    <t>GWW</t>
  </si>
  <si>
    <t>Grainger (W.W.)</t>
  </si>
  <si>
    <t>JBHT</t>
  </si>
  <si>
    <t>Hunt(J.B.)Transport</t>
  </si>
  <si>
    <t>Trucking</t>
  </si>
  <si>
    <t>JNJ</t>
  </si>
  <si>
    <t>Johnson &amp; Johnson</t>
  </si>
  <si>
    <t>Pharmaceuticals</t>
  </si>
  <si>
    <t>MS</t>
  </si>
  <si>
    <t>Morgan Stanley</t>
  </si>
  <si>
    <t>OMC</t>
  </si>
  <si>
    <t>Omnicom Group</t>
  </si>
  <si>
    <t>Advertising</t>
  </si>
  <si>
    <t>PGR</t>
  </si>
  <si>
    <t>Progressive Corp,Ohio</t>
  </si>
  <si>
    <t>Property &amp; Casualty Insurance</t>
  </si>
  <si>
    <t>PLD</t>
  </si>
  <si>
    <t>Prologis Inc</t>
  </si>
  <si>
    <t>Industrial REITs</t>
  </si>
  <si>
    <t>UNH</t>
  </si>
  <si>
    <t>UnitedHealth Group</t>
  </si>
  <si>
    <t>Managed Health Care</t>
  </si>
  <si>
    <t>CSX</t>
  </si>
  <si>
    <t>CSX Corp</t>
  </si>
  <si>
    <t>Railroads</t>
  </si>
  <si>
    <t>IBM</t>
  </si>
  <si>
    <t>Intl Bus. Machines</t>
  </si>
  <si>
    <t>LRCX</t>
  </si>
  <si>
    <t>Lam Research</t>
  </si>
  <si>
    <t>Semiconductor Equipment</t>
  </si>
  <si>
    <t>NFLX</t>
  </si>
  <si>
    <t>NetFlix Inc</t>
  </si>
  <si>
    <t>Internet Retail</t>
  </si>
  <si>
    <t>ABT</t>
  </si>
  <si>
    <t>Abbott Laboratories</t>
  </si>
  <si>
    <t>Health Care Equipment</t>
  </si>
  <si>
    <t>MTB</t>
  </si>
  <si>
    <t>M&amp;T Bank</t>
  </si>
  <si>
    <t>NTRS</t>
  </si>
  <si>
    <t>Northern Trust</t>
  </si>
  <si>
    <t>USB</t>
  </si>
  <si>
    <t>U.S. Bancorp</t>
  </si>
  <si>
    <t>AXP</t>
  </si>
  <si>
    <t>Amer Express</t>
  </si>
  <si>
    <t>Consumer Finance</t>
  </si>
  <si>
    <t>CCI</t>
  </si>
  <si>
    <t>Crown Castle Intl</t>
  </si>
  <si>
    <t>Specialized REITs</t>
  </si>
  <si>
    <t>EBAY</t>
  </si>
  <si>
    <t>eBay Inc</t>
  </si>
  <si>
    <t>Internet Software &amp; Services</t>
  </si>
  <si>
    <t>KMI</t>
  </si>
  <si>
    <t>Kinder Morgan</t>
  </si>
  <si>
    <t>Oil &amp; Gas Storage &amp; Transportation</t>
  </si>
  <si>
    <t>SLG</t>
  </si>
  <si>
    <t>SL Green Realty</t>
  </si>
  <si>
    <t>Office REITs</t>
  </si>
  <si>
    <t>UAL</t>
  </si>
  <si>
    <t>United Continental Holdin</t>
  </si>
  <si>
    <t>URI</t>
  </si>
  <si>
    <t>United Rentals</t>
  </si>
  <si>
    <t>ADS</t>
  </si>
  <si>
    <t>Alliance Data Systems</t>
  </si>
  <si>
    <t>BBT</t>
  </si>
  <si>
    <t>BB&amp;T Corp</t>
  </si>
  <si>
    <t>BK</t>
  </si>
  <si>
    <t>Bank of New York Mellon</t>
  </si>
  <si>
    <t>DHR</t>
  </si>
  <si>
    <t>Danaher Corp</t>
  </si>
  <si>
    <t>DOV</t>
  </si>
  <si>
    <t>Dover Corp</t>
  </si>
  <si>
    <t>Industrial Machinery</t>
  </si>
  <si>
    <t>GPC</t>
  </si>
  <si>
    <t>Genuine Parts</t>
  </si>
  <si>
    <t>Distributors</t>
  </si>
  <si>
    <t>KEY</t>
  </si>
  <si>
    <t>KeyCorp</t>
  </si>
  <si>
    <t>NUE</t>
  </si>
  <si>
    <t>Nucor Corp</t>
  </si>
  <si>
    <t>Steel</t>
  </si>
  <si>
    <t>PBCT</t>
  </si>
  <si>
    <t>People's United Financial</t>
  </si>
  <si>
    <t>PM</t>
  </si>
  <si>
    <t>Philip Morris Intl</t>
  </si>
  <si>
    <t>Tobacco</t>
  </si>
  <si>
    <t>PPG</t>
  </si>
  <si>
    <t>PPG Indus</t>
  </si>
  <si>
    <t>Specialty Chemicals</t>
  </si>
  <si>
    <t>DGX</t>
  </si>
  <si>
    <t>Quest Diagnostics</t>
  </si>
  <si>
    <t>Health Care Services</t>
  </si>
  <si>
    <t>SNA</t>
  </si>
  <si>
    <t>Snap-On Inc</t>
  </si>
  <si>
    <t>TXT</t>
  </si>
  <si>
    <t>Textron, Inc</t>
  </si>
  <si>
    <t>Aerospace &amp; Defense</t>
  </si>
  <si>
    <t>TRV</t>
  </si>
  <si>
    <t>Travelers Cos</t>
  </si>
  <si>
    <t>ETFC</t>
  </si>
  <si>
    <t>E Trade Financial</t>
  </si>
  <si>
    <t>ISRG</t>
  </si>
  <si>
    <t>Intuitive Surgical</t>
  </si>
  <si>
    <t>PYPL</t>
  </si>
  <si>
    <t>PayPal Holdings</t>
  </si>
  <si>
    <t>CFG</t>
  </si>
  <si>
    <t>Citizens Financial Group</t>
  </si>
  <si>
    <t>HON</t>
  </si>
  <si>
    <t>Honeywell Intl</t>
  </si>
  <si>
    <t>Industrial Conglomerates</t>
  </si>
  <si>
    <t>KSU</t>
  </si>
  <si>
    <t>Kansas City Southern</t>
  </si>
  <si>
    <t>PG</t>
  </si>
  <si>
    <t>Procter &amp; Gamble</t>
  </si>
  <si>
    <t>Household Products</t>
  </si>
  <si>
    <t>SLB</t>
  </si>
  <si>
    <t>Schlumberger Ltd</t>
  </si>
  <si>
    <t>Oil &amp; Gas Equipment &amp; Services</t>
  </si>
  <si>
    <t>STI</t>
  </si>
  <si>
    <t>SunTrust Banks</t>
  </si>
  <si>
    <t>SYF</t>
  </si>
  <si>
    <t>Synchrony Financial</t>
  </si>
  <si>
    <t>Its started: 8 issue for Q3 2018 have reported, with 7 beating and 1 missing, as 4 of the 8 have beaten on sales</t>
  </si>
  <si>
    <t>6/30/2018 (Prelim.)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</si>
</sst>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name val="Arial"/>
      <family val="2"/>
    </font>
    <font>
      <b/>
      <sz val="16"/>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51">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7" fontId="7" fillId="0" borderId="0" xfId="42"/>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2" fontId="7" fillId="0" borderId="0" xfId="228" applyNumberFormat="1" applyFont="1" applyBorder="1"/>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0" fontId="70" fillId="0" borderId="0" xfId="0" applyNumberFormat="1" applyFont="1"/>
    <xf numFmtId="167" fontId="68" fillId="0" borderId="0" xfId="0" applyFont="1"/>
    <xf numFmtId="167" fontId="70" fillId="0" borderId="0" xfId="0"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0" fontId="68" fillId="0" borderId="0" xfId="0" applyNumberFormat="1" applyFont="1"/>
    <xf numFmtId="172" fontId="68" fillId="0" borderId="0" xfId="0" applyNumberFormat="1" applyFont="1" applyAlignment="1">
      <alignment horizontal="center"/>
    </xf>
    <xf numFmtId="1" fontId="70" fillId="0" borderId="0" xfId="0" applyNumberFormat="1" applyFont="1" applyAlignment="1">
      <alignment horizontal="left"/>
    </xf>
    <xf numFmtId="173" fontId="70" fillId="0" borderId="0" xfId="0" applyNumberFormat="1" applyFont="1" applyAlignment="1">
      <alignment horizontal="center"/>
    </xf>
    <xf numFmtId="174" fontId="0" fillId="0" borderId="0" xfId="0" applyNumberFormat="1"/>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2" fontId="71" fillId="0" borderId="0" xfId="1" applyNumberFormat="1" applyFont="1"/>
    <xf numFmtId="164" fontId="0" fillId="0" borderId="0" xfId="0" applyNumberFormat="1"/>
    <xf numFmtId="167" fontId="70" fillId="0" borderId="0" xfId="0" applyFont="1" applyAlignment="1">
      <alignment horizontal="center"/>
    </xf>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2"/>
  <sheetViews>
    <sheetView tabSelected="1" zoomScaleNormal="100" workbookViewId="0">
      <selection activeCell="L5" sqref="L5"/>
    </sheetView>
  </sheetViews>
  <sheetFormatPr defaultRowHeight="12.75" x14ac:dyDescent="0.2"/>
  <cols>
    <col min="1" max="1" width="18" customWidth="1"/>
    <col min="2" max="2" width="11.28515625" customWidth="1"/>
    <col min="3" max="3" width="13.5703125" customWidth="1"/>
    <col min="4" max="4" width="14.140625" customWidth="1"/>
    <col min="5" max="5" width="14.5703125" customWidth="1"/>
    <col min="6" max="6" width="11.5703125" customWidth="1"/>
    <col min="7" max="7" width="15.140625" customWidth="1"/>
    <col min="8" max="8" width="14.28515625" customWidth="1"/>
    <col min="9" max="9" width="13.85546875" customWidth="1"/>
    <col min="10" max="10" width="12.42578125" customWidth="1"/>
    <col min="11" max="11" width="11.140625" customWidth="1"/>
    <col min="12" max="12" width="15.42578125" bestFit="1" customWidth="1"/>
    <col min="13" max="13" width="11.85546875" bestFit="1" customWidth="1"/>
    <col min="14" max="14" width="11.140625" customWidth="1"/>
    <col min="15" max="19" width="8.28515625" bestFit="1" customWidth="1"/>
  </cols>
  <sheetData>
    <row r="1" spans="1:11" s="7" customFormat="1" ht="15" x14ac:dyDescent="0.3">
      <c r="A1" s="172" t="s">
        <v>157</v>
      </c>
      <c r="B1" s="6"/>
      <c r="C1" s="6"/>
      <c r="D1" s="6"/>
      <c r="F1" s="46"/>
      <c r="G1" s="46"/>
      <c r="H1" s="47"/>
      <c r="I1" s="40"/>
      <c r="J1" s="41"/>
    </row>
    <row r="2" spans="1:11" s="28" customFormat="1" x14ac:dyDescent="0.2">
      <c r="A2" s="5" t="s">
        <v>7</v>
      </c>
      <c r="B2" s="22"/>
      <c r="C2" s="22"/>
      <c r="D2" s="22"/>
      <c r="E2" s="126"/>
      <c r="F2" s="22"/>
      <c r="G2" s="22"/>
      <c r="H2" s="22"/>
      <c r="I2" s="40"/>
      <c r="J2" s="41"/>
    </row>
    <row r="3" spans="1:11" s="28" customFormat="1" x14ac:dyDescent="0.2">
      <c r="A3" s="37">
        <f>D104</f>
        <v>43363</v>
      </c>
      <c r="B3" s="22"/>
      <c r="C3" s="22"/>
      <c r="D3" s="22"/>
      <c r="E3" s="22"/>
      <c r="F3" s="22"/>
      <c r="G3" s="22"/>
      <c r="H3" s="22"/>
      <c r="I3" s="40"/>
      <c r="J3" s="41"/>
    </row>
    <row r="4" spans="1:11" s="7" customFormat="1" x14ac:dyDescent="0.2">
      <c r="A4" s="6"/>
      <c r="B4" s="6"/>
      <c r="C4" s="6" t="s">
        <v>23</v>
      </c>
      <c r="D4" s="6"/>
      <c r="E4" s="6" t="s">
        <v>188</v>
      </c>
      <c r="F4" s="6"/>
      <c r="G4" s="6"/>
      <c r="H4" s="6"/>
      <c r="I4" s="6"/>
      <c r="J4" s="97"/>
      <c r="K4" s="98"/>
    </row>
    <row r="5" spans="1:11" s="7" customFormat="1" x14ac:dyDescent="0.2">
      <c r="A5" s="6"/>
      <c r="B5" s="6"/>
      <c r="C5" s="6"/>
      <c r="D5" s="6"/>
      <c r="E5" s="6"/>
      <c r="F5" s="6"/>
      <c r="G5" s="6"/>
      <c r="H5" s="6"/>
      <c r="I5" s="6"/>
      <c r="J5" s="97"/>
      <c r="K5" s="98"/>
    </row>
    <row r="6" spans="1:11" s="7" customFormat="1" x14ac:dyDescent="0.2">
      <c r="A6" s="6"/>
      <c r="B6" s="6"/>
      <c r="C6" s="6"/>
      <c r="D6" s="6"/>
      <c r="E6" s="6"/>
      <c r="F6" s="6"/>
      <c r="G6" s="6"/>
      <c r="H6" s="6"/>
      <c r="I6" s="6"/>
      <c r="J6" s="97"/>
      <c r="K6" s="98"/>
    </row>
    <row r="7" spans="1:11" s="7" customFormat="1" x14ac:dyDescent="0.2">
      <c r="A7" s="6"/>
      <c r="B7" s="6"/>
      <c r="C7" s="6"/>
      <c r="D7" s="6"/>
      <c r="E7" s="6"/>
      <c r="F7" s="6"/>
      <c r="G7" s="6"/>
      <c r="H7" s="6"/>
      <c r="I7" s="6"/>
      <c r="J7" s="97"/>
      <c r="K7" s="98"/>
    </row>
    <row r="8" spans="1:11" s="7" customFormat="1" ht="20.25" x14ac:dyDescent="0.3">
      <c r="A8" s="247" t="s">
        <v>464</v>
      </c>
      <c r="B8" s="6"/>
      <c r="C8" s="6"/>
      <c r="D8" s="6"/>
      <c r="E8" s="6"/>
      <c r="F8" s="6"/>
      <c r="G8" s="6"/>
      <c r="H8" s="6"/>
      <c r="I8" s="6"/>
      <c r="J8" s="97"/>
      <c r="K8" s="98"/>
    </row>
    <row r="9" spans="1:11" s="7" customFormat="1" ht="20.25" x14ac:dyDescent="0.3">
      <c r="A9" s="247" t="s">
        <v>518</v>
      </c>
      <c r="B9" s="6"/>
      <c r="C9" s="6"/>
      <c r="D9" s="6"/>
      <c r="E9" s="6"/>
      <c r="F9" s="6"/>
      <c r="G9" s="6"/>
      <c r="H9" s="6"/>
      <c r="I9" s="6"/>
      <c r="J9" s="97"/>
      <c r="K9" s="98"/>
    </row>
    <row r="10" spans="1:11" s="7" customFormat="1" ht="20.25" x14ac:dyDescent="0.3">
      <c r="A10" s="247" t="s">
        <v>516</v>
      </c>
      <c r="B10" s="6"/>
      <c r="C10" s="6"/>
      <c r="D10" s="6"/>
      <c r="E10" s="6"/>
      <c r="F10" s="6"/>
      <c r="G10" s="6"/>
      <c r="H10" s="6"/>
      <c r="I10" s="6"/>
      <c r="J10" s="97"/>
      <c r="K10" s="98"/>
    </row>
    <row r="11" spans="1:11" s="7" customFormat="1" ht="20.25" x14ac:dyDescent="0.3">
      <c r="A11" s="247" t="s">
        <v>519</v>
      </c>
      <c r="B11" s="6"/>
      <c r="C11" s="6"/>
      <c r="D11" s="6"/>
      <c r="E11" s="6"/>
      <c r="F11" s="6"/>
      <c r="G11" s="6"/>
      <c r="H11" s="6"/>
      <c r="I11" s="6"/>
      <c r="J11" s="97"/>
      <c r="K11" s="98"/>
    </row>
    <row r="12" spans="1:11" s="7" customFormat="1" ht="20.25" x14ac:dyDescent="0.3">
      <c r="A12" s="247" t="s">
        <v>520</v>
      </c>
      <c r="B12" s="6"/>
      <c r="C12" s="6"/>
      <c r="D12" s="6"/>
      <c r="E12" s="6"/>
      <c r="F12" s="6"/>
      <c r="G12" s="6"/>
      <c r="H12" s="6"/>
      <c r="I12" s="6"/>
      <c r="J12" s="97"/>
      <c r="K12" s="98"/>
    </row>
    <row r="13" spans="1:11" s="7" customFormat="1" x14ac:dyDescent="0.2">
      <c r="A13" s="6"/>
      <c r="B13" s="6"/>
      <c r="C13" s="6"/>
      <c r="D13" s="6"/>
      <c r="E13" s="6"/>
      <c r="F13" s="6"/>
      <c r="G13" s="6"/>
      <c r="H13" s="6"/>
      <c r="I13" s="6"/>
      <c r="J13" s="97"/>
      <c r="K13" s="98"/>
    </row>
    <row r="14" spans="1:11" s="7" customFormat="1" x14ac:dyDescent="0.2">
      <c r="A14" s="6"/>
      <c r="B14" s="6"/>
      <c r="C14" s="6"/>
      <c r="D14" s="6"/>
      <c r="E14" s="6"/>
      <c r="F14" s="6"/>
      <c r="G14" s="6"/>
      <c r="H14" s="6"/>
      <c r="I14" s="6"/>
      <c r="J14" s="97"/>
      <c r="K14" s="98"/>
    </row>
    <row r="15" spans="1:11" s="7" customFormat="1" x14ac:dyDescent="0.2">
      <c r="A15" s="6" t="str">
        <f>'BEATS AND SHARES'!M7</f>
        <v>Q2 2018</v>
      </c>
      <c r="B15" s="6"/>
      <c r="C15" s="6"/>
      <c r="D15" s="6"/>
      <c r="E15" s="6"/>
      <c r="F15" s="6"/>
      <c r="G15" s="6"/>
      <c r="H15" s="6"/>
      <c r="I15" s="6"/>
      <c r="J15" s="97"/>
      <c r="K15" s="98"/>
    </row>
    <row r="16" spans="1:11" s="7" customFormat="1" ht="15" x14ac:dyDescent="0.25">
      <c r="A16" s="6" t="str">
        <f>'BEATS AND SHARES'!M8</f>
        <v xml:space="preserve">Issues with diluted share counts for Q2 2018 over Q2 2017 EPS </v>
      </c>
      <c r="B16" s="6"/>
      <c r="C16" s="6"/>
      <c r="D16" s="6"/>
      <c r="E16" s="6"/>
      <c r="F16" s="6"/>
      <c r="G16" s="6"/>
      <c r="H16" s="176"/>
      <c r="I16" s="183"/>
      <c r="J16"/>
      <c r="K16" s="89"/>
    </row>
    <row r="17" spans="1:30" s="7" customFormat="1" ht="15" x14ac:dyDescent="0.25">
      <c r="A17" s="6" t="str">
        <f>'BEATS AND SHARES'!M9</f>
        <v xml:space="preserve">   -&gt; Therefore adding at least a 4% tailwind to their  current EPS</v>
      </c>
      <c r="B17" s="6"/>
      <c r="C17" s="6"/>
      <c r="D17" s="6"/>
      <c r="E17" s="6"/>
      <c r="F17" s="6"/>
      <c r="G17" s="6"/>
      <c r="H17" s="176"/>
      <c r="I17" s="183"/>
      <c r="J17"/>
      <c r="K17" s="89"/>
      <c r="L17" s="98"/>
    </row>
    <row r="18" spans="1:30" s="7" customFormat="1" ht="15" x14ac:dyDescent="0.25">
      <c r="A18" s="6" t="str">
        <f>'BEATS AND SHARES'!M10</f>
        <v xml:space="preserve">Issues   </v>
      </c>
      <c r="B18" s="6"/>
      <c r="C18" s="6"/>
      <c r="D18" s="153">
        <f>'BEATS AND SHARES'!N10</f>
        <v>500</v>
      </c>
      <c r="E18" s="153" t="str">
        <f>'BEATS AND SHARES'!O10</f>
        <v>% of issues</v>
      </c>
      <c r="F18" s="6"/>
      <c r="G18" s="6"/>
      <c r="H18" s="176"/>
      <c r="I18" s="184"/>
      <c r="J18" s="188"/>
      <c r="K18" s="97"/>
      <c r="L18" s="98"/>
    </row>
    <row r="19" spans="1:30" s="133" customFormat="1" ht="15.75" x14ac:dyDescent="0.25">
      <c r="A19" s="6" t="str">
        <f>'BEATS AND SHARES'!M11</f>
        <v>Q2,'18 lower shares than Q2,'17</v>
      </c>
      <c r="B19" s="6"/>
      <c r="C19" s="6"/>
      <c r="D19" s="153">
        <f>'BEATS AND SHARES'!N11</f>
        <v>311</v>
      </c>
      <c r="E19" s="105">
        <f>'BEATS AND SHARES'!O11</f>
        <v>0.622</v>
      </c>
      <c r="F19" s="6"/>
      <c r="G19" s="125"/>
      <c r="H19" s="176"/>
      <c r="I19" s="184"/>
      <c r="J19" s="189"/>
      <c r="K19" s="143"/>
    </row>
    <row r="20" spans="1:30" s="133" customFormat="1" ht="15.75" x14ac:dyDescent="0.25">
      <c r="A20" s="6" t="str">
        <f>'BEATS AND SHARES'!M12</f>
        <v xml:space="preserve">    4% lower shares</v>
      </c>
      <c r="B20" s="6"/>
      <c r="C20" s="6"/>
      <c r="D20" s="153">
        <f>'BEATS AND SHARES'!N12</f>
        <v>78</v>
      </c>
      <c r="E20" s="105">
        <f>'BEATS AND SHARES'!O12</f>
        <v>0.156</v>
      </c>
      <c r="F20" s="246"/>
      <c r="G20" s="125"/>
      <c r="H20" s="176"/>
      <c r="I20" s="184"/>
      <c r="J20" s="189"/>
      <c r="K20" s="143"/>
    </row>
    <row r="21" spans="1:30" s="133" customFormat="1" ht="15.75" x14ac:dyDescent="0.25">
      <c r="A21" s="6" t="str">
        <f>'BEATS AND SHARES'!M13</f>
        <v>Q2,'18 higher sharers than Q2,'17</v>
      </c>
      <c r="B21" s="6"/>
      <c r="C21" s="6"/>
      <c r="D21" s="153">
        <f>'BEATS AND SHARES'!N13</f>
        <v>183</v>
      </c>
      <c r="E21" s="105">
        <f>'BEATS AND SHARES'!O13</f>
        <v>0.36599999999999999</v>
      </c>
      <c r="F21" s="6"/>
      <c r="G21" s="125"/>
      <c r="H21" s="176"/>
      <c r="I21" s="184"/>
      <c r="J21" s="189"/>
      <c r="K21" s="143"/>
    </row>
    <row r="22" spans="1:30" s="133" customFormat="1" ht="15.75" x14ac:dyDescent="0.25">
      <c r="A22" s="6" t="str">
        <f>'BEATS AND SHARES'!M14</f>
        <v xml:space="preserve">    4% higher shares</v>
      </c>
      <c r="B22" s="6"/>
      <c r="C22" s="6"/>
      <c r="D22" s="153">
        <f>'BEATS AND SHARES'!N14</f>
        <v>31</v>
      </c>
      <c r="E22" s="105">
        <f>'BEATS AND SHARES'!O14</f>
        <v>6.2E-2</v>
      </c>
      <c r="F22" s="6"/>
      <c r="G22" s="125"/>
      <c r="H22" s="176"/>
      <c r="I22" s="184"/>
      <c r="J22" s="189"/>
      <c r="K22" s="143"/>
    </row>
    <row r="23" spans="1:30" s="133" customFormat="1" ht="15.75" x14ac:dyDescent="0.25">
      <c r="A23" s="6"/>
      <c r="B23" s="6"/>
      <c r="C23" s="6"/>
      <c r="D23" s="153"/>
      <c r="E23" s="105"/>
      <c r="F23" s="6"/>
      <c r="G23" s="125"/>
      <c r="H23" s="176"/>
      <c r="I23" s="184"/>
      <c r="J23" s="189"/>
      <c r="K23" s="143"/>
    </row>
    <row r="24" spans="1:30" s="133" customFormat="1" ht="15.75" x14ac:dyDescent="0.25">
      <c r="A24" s="6" t="s">
        <v>3</v>
      </c>
      <c r="B24" s="6"/>
      <c r="C24" s="6"/>
      <c r="D24" s="83"/>
      <c r="E24" s="105"/>
      <c r="F24" s="6"/>
      <c r="G24" s="125"/>
      <c r="H24" s="176"/>
      <c r="I24" s="184"/>
      <c r="J24" s="189"/>
      <c r="K24" s="143"/>
    </row>
    <row r="25" spans="1:30" s="133" customFormat="1" ht="15.75" x14ac:dyDescent="0.25">
      <c r="A25" s="6"/>
      <c r="B25" s="154"/>
      <c r="C25" s="155"/>
      <c r="D25" s="6"/>
      <c r="E25" s="125"/>
      <c r="F25" s="125"/>
      <c r="G25" s="125"/>
      <c r="H25"/>
      <c r="I25" s="185"/>
      <c r="J25" s="186"/>
    </row>
    <row r="26" spans="1:30" s="7" customFormat="1" x14ac:dyDescent="0.2">
      <c r="A26" s="6" t="s">
        <v>218</v>
      </c>
      <c r="B26" s="148"/>
      <c r="C26" s="148"/>
      <c r="D26" s="148"/>
      <c r="E26" s="148"/>
      <c r="F26" s="148"/>
      <c r="G26" s="144"/>
      <c r="H26" s="144"/>
      <c r="I26" s="144"/>
      <c r="J26" s="144"/>
      <c r="K26" s="144"/>
      <c r="L26" s="144"/>
      <c r="M26" s="98"/>
    </row>
    <row r="27" spans="1:30" s="7" customFormat="1" x14ac:dyDescent="0.2">
      <c r="A27" s="6"/>
      <c r="B27" s="6"/>
      <c r="C27" s="148" t="s">
        <v>219</v>
      </c>
      <c r="D27" s="148" t="s">
        <v>219</v>
      </c>
      <c r="E27" s="148" t="s">
        <v>219</v>
      </c>
      <c r="F27" s="148" t="s">
        <v>219</v>
      </c>
      <c r="G27" s="148" t="s">
        <v>219</v>
      </c>
      <c r="H27" s="148" t="s">
        <v>219</v>
      </c>
      <c r="I27" s="148" t="s">
        <v>219</v>
      </c>
      <c r="J27" s="148"/>
      <c r="K27" s="148"/>
      <c r="L27" s="148"/>
      <c r="M27" s="148"/>
      <c r="N27" s="148"/>
      <c r="O27" s="148"/>
      <c r="P27" s="148"/>
      <c r="Q27" s="148"/>
      <c r="R27" s="148"/>
      <c r="S27" s="148"/>
      <c r="T27" s="148"/>
      <c r="U27" s="148"/>
      <c r="V27" s="148"/>
      <c r="W27" s="148"/>
      <c r="X27" s="144"/>
      <c r="Y27" s="144"/>
      <c r="Z27" s="144"/>
      <c r="AA27" s="144"/>
      <c r="AB27" s="144"/>
      <c r="AC27" s="144"/>
      <c r="AD27" s="98"/>
    </row>
    <row r="28" spans="1:30" s="7" customFormat="1" x14ac:dyDescent="0.2">
      <c r="A28" s="145"/>
      <c r="B28" s="145"/>
      <c r="C28" s="146">
        <v>43800</v>
      </c>
      <c r="D28" s="146">
        <v>43709</v>
      </c>
      <c r="E28" s="146">
        <v>43617</v>
      </c>
      <c r="F28" s="146">
        <v>43525</v>
      </c>
      <c r="G28" s="146">
        <v>43435</v>
      </c>
      <c r="H28" s="146">
        <v>43344</v>
      </c>
      <c r="I28" s="146">
        <v>43252</v>
      </c>
      <c r="J28" s="146">
        <v>43160</v>
      </c>
      <c r="K28" s="146">
        <v>43070</v>
      </c>
      <c r="L28" s="146">
        <v>42979</v>
      </c>
      <c r="M28" s="146">
        <v>42887</v>
      </c>
      <c r="N28" s="146">
        <v>42795</v>
      </c>
      <c r="O28" s="146">
        <v>42705</v>
      </c>
      <c r="P28" s="146"/>
      <c r="Q28" s="146"/>
      <c r="R28" s="146"/>
      <c r="S28" s="146"/>
      <c r="T28" s="146"/>
      <c r="U28" s="146"/>
      <c r="V28" s="146"/>
      <c r="W28" s="146"/>
      <c r="X28" s="146"/>
      <c r="Y28" s="146"/>
      <c r="Z28" s="146"/>
      <c r="AA28" s="146"/>
      <c r="AB28" s="146"/>
      <c r="AC28" s="146"/>
      <c r="AD28" s="98"/>
    </row>
    <row r="29" spans="1:30" s="7" customFormat="1" x14ac:dyDescent="0.2">
      <c r="A29" s="151" t="s">
        <v>135</v>
      </c>
      <c r="B29" s="151"/>
      <c r="C29" s="147">
        <v>6.0535906952266877E-2</v>
      </c>
      <c r="D29" s="147">
        <v>6.5517446264113571E-2</v>
      </c>
      <c r="E29" s="147">
        <v>6.3352317961681212E-2</v>
      </c>
      <c r="F29" s="147">
        <v>6.128262047511069E-2</v>
      </c>
      <c r="G29" s="147">
        <v>5.7947577766196232E-2</v>
      </c>
      <c r="H29" s="147">
        <v>6.025223878221167E-2</v>
      </c>
      <c r="I29" s="147">
        <v>5.2825464291241214E-2</v>
      </c>
      <c r="J29" s="147">
        <v>5.2430331703197469E-2</v>
      </c>
      <c r="K29" s="147">
        <v>2.6347491234089668E-2</v>
      </c>
      <c r="L29" s="147">
        <v>3.6211496437787809E-2</v>
      </c>
      <c r="M29" s="147">
        <v>2.74715969542122E-2</v>
      </c>
      <c r="N29" s="147">
        <v>4.0747437481075142E-2</v>
      </c>
      <c r="O29" s="147">
        <v>4.4951597469814909E-3</v>
      </c>
      <c r="P29" s="147"/>
      <c r="Q29" s="147"/>
      <c r="R29" s="147"/>
      <c r="S29" s="147"/>
      <c r="T29" s="147"/>
      <c r="U29" s="147"/>
      <c r="V29" s="147"/>
      <c r="W29" s="147"/>
      <c r="X29" s="147"/>
      <c r="Y29" s="147"/>
      <c r="Z29" s="147"/>
      <c r="AA29" s="147"/>
      <c r="AB29" s="147"/>
      <c r="AC29" s="147"/>
      <c r="AD29" s="98"/>
    </row>
    <row r="30" spans="1:30" s="7" customFormat="1" x14ac:dyDescent="0.2">
      <c r="A30" s="151" t="s">
        <v>136</v>
      </c>
      <c r="B30" s="151"/>
      <c r="C30" s="147">
        <v>2.5416277028255607E-2</v>
      </c>
      <c r="D30" s="147">
        <v>2.6060760593131914E-2</v>
      </c>
      <c r="E30" s="147">
        <v>3.0482385642455076E-2</v>
      </c>
      <c r="F30" s="147">
        <v>2.7623892472036008E-2</v>
      </c>
      <c r="G30" s="147">
        <v>2.5803041658977035E-2</v>
      </c>
      <c r="H30" s="147">
        <v>2.7208114009574021E-2</v>
      </c>
      <c r="I30" s="147">
        <v>3.3374222199375435E-2</v>
      </c>
      <c r="J30" s="147">
        <v>3.1815857401026305E-2</v>
      </c>
      <c r="K30" s="147">
        <v>2.2282424878145995E-2</v>
      </c>
      <c r="L30" s="147">
        <v>2.7678152193693926E-2</v>
      </c>
      <c r="M30" s="147">
        <v>3.2781303037115302E-2</v>
      </c>
      <c r="N30" s="147">
        <v>3.2704575157271043E-2</v>
      </c>
      <c r="O30" s="147">
        <v>1.9829068217427085E-2</v>
      </c>
      <c r="P30" s="147"/>
      <c r="Q30" s="147"/>
      <c r="R30" s="147"/>
      <c r="S30" s="147"/>
      <c r="T30" s="147"/>
      <c r="U30" s="147"/>
      <c r="V30" s="147"/>
      <c r="W30" s="147"/>
      <c r="X30" s="147"/>
      <c r="Y30" s="147"/>
      <c r="Z30" s="147"/>
      <c r="AA30" s="147"/>
      <c r="AB30" s="147"/>
      <c r="AC30" s="147"/>
      <c r="AD30" s="98"/>
    </row>
    <row r="31" spans="1:30" s="7" customFormat="1" x14ac:dyDescent="0.2">
      <c r="A31" s="151" t="s">
        <v>137</v>
      </c>
      <c r="B31" s="151"/>
      <c r="C31" s="147">
        <v>9.8592785789928625E-2</v>
      </c>
      <c r="D31" s="147">
        <v>0.10224392083796022</v>
      </c>
      <c r="E31" s="147">
        <v>0.10681971427188001</v>
      </c>
      <c r="F31" s="147">
        <v>9.257410473219975E-2</v>
      </c>
      <c r="G31" s="147">
        <v>9.7921164062835311E-2</v>
      </c>
      <c r="H31" s="147">
        <v>0.10110222732025528</v>
      </c>
      <c r="I31" s="147">
        <v>0.10772261307125268</v>
      </c>
      <c r="J31" s="147">
        <v>0.10544355326855227</v>
      </c>
      <c r="K31" s="147">
        <v>9.969216136023662E-2</v>
      </c>
      <c r="L31" s="147">
        <v>0.1096084950393862</v>
      </c>
      <c r="M31" s="147">
        <v>0.11233856875509095</v>
      </c>
      <c r="N31" s="147">
        <v>9.4070947345975736E-2</v>
      </c>
      <c r="O31" s="147">
        <v>0.10059156705430716</v>
      </c>
      <c r="P31" s="147"/>
      <c r="Q31" s="147"/>
      <c r="R31" s="147"/>
      <c r="S31" s="147"/>
      <c r="T31" s="147"/>
      <c r="U31" s="147"/>
      <c r="V31" s="147"/>
      <c r="W31" s="147"/>
      <c r="X31" s="147"/>
      <c r="Y31" s="147"/>
      <c r="Z31" s="147"/>
      <c r="AA31" s="147"/>
      <c r="AB31" s="147"/>
      <c r="AC31" s="147"/>
      <c r="AD31" s="98"/>
    </row>
    <row r="32" spans="1:30" s="7" customFormat="1" x14ac:dyDescent="0.2">
      <c r="A32" s="151" t="s">
        <v>138</v>
      </c>
      <c r="B32" s="151"/>
      <c r="C32" s="147">
        <v>0.10599809780604307</v>
      </c>
      <c r="D32" s="147">
        <v>0.10412047346691246</v>
      </c>
      <c r="E32" s="147">
        <v>0.10761064388195243</v>
      </c>
      <c r="F32" s="147">
        <v>9.568917861675022E-2</v>
      </c>
      <c r="G32" s="147">
        <v>0.10127916421706908</v>
      </c>
      <c r="H32" s="147">
        <v>9.864887447998387E-2</v>
      </c>
      <c r="I32" s="147">
        <v>0.10927777809436073</v>
      </c>
      <c r="J32" s="147">
        <v>0.10451149127244919</v>
      </c>
      <c r="K32" s="147">
        <v>0.11804384888076383</v>
      </c>
      <c r="L32" s="147">
        <v>0.11766202543041054</v>
      </c>
      <c r="M32" s="147">
        <v>0.11891426782263842</v>
      </c>
      <c r="N32" s="147">
        <v>0.11616214305930433</v>
      </c>
      <c r="O32" s="147">
        <v>0.12701301590218272</v>
      </c>
      <c r="P32" s="147"/>
      <c r="Q32" s="147"/>
      <c r="R32" s="147"/>
      <c r="S32" s="147"/>
      <c r="T32" s="147"/>
      <c r="U32" s="147"/>
      <c r="V32" s="147"/>
      <c r="W32" s="147"/>
      <c r="X32" s="147"/>
      <c r="Y32" s="147"/>
      <c r="Z32" s="147"/>
      <c r="AA32" s="147"/>
      <c r="AB32" s="147"/>
      <c r="AC32" s="147"/>
      <c r="AD32" s="98"/>
    </row>
    <row r="33" spans="1:30" s="7" customFormat="1" x14ac:dyDescent="0.2">
      <c r="A33" s="151" t="s">
        <v>139</v>
      </c>
      <c r="B33" s="151"/>
      <c r="C33" s="147">
        <v>6.249012000909912E-2</v>
      </c>
      <c r="D33" s="147">
        <v>6.401821299113232E-2</v>
      </c>
      <c r="E33" s="147">
        <v>6.3778281348462862E-2</v>
      </c>
      <c r="F33" s="147">
        <v>6.0967370115502802E-2</v>
      </c>
      <c r="G33" s="147">
        <v>6.4433293253379639E-2</v>
      </c>
      <c r="H33" s="147">
        <v>6.6447732578357024E-2</v>
      </c>
      <c r="I33" s="147">
        <v>7.0573511619759624E-2</v>
      </c>
      <c r="J33" s="147">
        <v>6.9102925416155703E-2</v>
      </c>
      <c r="K33" s="147">
        <v>8.1896564612056508E-2</v>
      </c>
      <c r="L33" s="147">
        <v>8.587823202549788E-2</v>
      </c>
      <c r="M33" s="147">
        <v>8.5185820777006746E-2</v>
      </c>
      <c r="N33" s="147">
        <v>8.1286160501234481E-2</v>
      </c>
      <c r="O33" s="147">
        <v>9.2564549467520588E-2</v>
      </c>
      <c r="P33" s="147"/>
      <c r="Q33" s="147"/>
      <c r="R33" s="147"/>
      <c r="S33" s="147"/>
      <c r="T33" s="147"/>
      <c r="U33" s="147"/>
      <c r="V33" s="147"/>
      <c r="W33" s="147"/>
      <c r="X33" s="147"/>
      <c r="Y33" s="147"/>
      <c r="Z33" s="147"/>
      <c r="AA33" s="147"/>
      <c r="AB33" s="147"/>
      <c r="AC33" s="147"/>
      <c r="AD33" s="98"/>
    </row>
    <row r="34" spans="1:30" s="7" customFormat="1" x14ac:dyDescent="0.2">
      <c r="A34" s="151" t="s">
        <v>140</v>
      </c>
      <c r="B34" s="151"/>
      <c r="C34" s="147">
        <v>0.14431883292428788</v>
      </c>
      <c r="D34" s="147">
        <v>0.15039726330270517</v>
      </c>
      <c r="E34" s="147">
        <v>0.1536475406544392</v>
      </c>
      <c r="F34" s="147">
        <v>0.15948150897936259</v>
      </c>
      <c r="G34" s="147">
        <v>0.14484753138719103</v>
      </c>
      <c r="H34" s="147">
        <v>0.15293325093816881</v>
      </c>
      <c r="I34" s="147">
        <v>0.1279625618923424</v>
      </c>
      <c r="J34" s="147">
        <v>0.12797955277847906</v>
      </c>
      <c r="K34" s="147">
        <v>0.13049291992149478</v>
      </c>
      <c r="L34" s="147">
        <v>0.13986105947197025</v>
      </c>
      <c r="M34" s="147">
        <v>0.14801553740230794</v>
      </c>
      <c r="N34" s="147">
        <v>0.13949322599925071</v>
      </c>
      <c r="O34" s="147">
        <v>0.14199118886070228</v>
      </c>
      <c r="P34" s="147"/>
      <c r="Q34" s="147"/>
      <c r="R34" s="147"/>
      <c r="S34" s="147"/>
      <c r="T34" s="147"/>
      <c r="U34" s="147"/>
      <c r="V34" s="147"/>
      <c r="W34" s="147"/>
      <c r="X34" s="147"/>
      <c r="Y34" s="147"/>
      <c r="Z34" s="147"/>
      <c r="AA34" s="147"/>
      <c r="AB34" s="147"/>
      <c r="AC34" s="147"/>
      <c r="AD34" s="98"/>
    </row>
    <row r="35" spans="1:30" s="7" customFormat="1" x14ac:dyDescent="0.2">
      <c r="A35" s="151" t="s">
        <v>141</v>
      </c>
      <c r="B35" s="151"/>
      <c r="C35" s="147">
        <v>0.18059707902897526</v>
      </c>
      <c r="D35" s="147">
        <v>0.18320169480846274</v>
      </c>
      <c r="E35" s="147">
        <v>0.18571949922616421</v>
      </c>
      <c r="F35" s="147">
        <v>0.1949374004036776</v>
      </c>
      <c r="G35" s="147">
        <v>0.17999798473666639</v>
      </c>
      <c r="H35" s="147">
        <v>0.18366333246581384</v>
      </c>
      <c r="I35" s="147">
        <v>0.20095418412400351</v>
      </c>
      <c r="J35" s="147">
        <v>0.1833858831049775</v>
      </c>
      <c r="K35" s="147">
        <v>0.16709251923129997</v>
      </c>
      <c r="L35" s="147">
        <v>0.16810815659007675</v>
      </c>
      <c r="M35" s="147">
        <v>0.19687803485349586</v>
      </c>
      <c r="N35" s="147">
        <v>0.20374428461098973</v>
      </c>
      <c r="O35" s="147">
        <v>0.18062341571383961</v>
      </c>
      <c r="P35" s="147"/>
      <c r="Q35" s="147"/>
      <c r="R35" s="147"/>
      <c r="S35" s="147"/>
      <c r="T35" s="147"/>
      <c r="U35" s="147"/>
      <c r="V35" s="147"/>
      <c r="W35" s="147"/>
      <c r="X35" s="147"/>
      <c r="Y35" s="147"/>
      <c r="Z35" s="147"/>
      <c r="AA35" s="147"/>
      <c r="AB35" s="147"/>
      <c r="AC35" s="147"/>
      <c r="AD35" s="98"/>
    </row>
    <row r="36" spans="1:30" s="7" customFormat="1" x14ac:dyDescent="0.2">
      <c r="A36" s="151" t="s">
        <v>142</v>
      </c>
      <c r="B36" s="151"/>
      <c r="C36" s="147">
        <v>0.2585261730066517</v>
      </c>
      <c r="D36" s="147">
        <v>0.22627169942357359</v>
      </c>
      <c r="E36" s="147">
        <v>0.21994717051634005</v>
      </c>
      <c r="F36" s="147">
        <v>0.23016156589793882</v>
      </c>
      <c r="G36" s="147">
        <v>0.26287273248788851</v>
      </c>
      <c r="H36" s="147">
        <v>0.22576524079270299</v>
      </c>
      <c r="I36" s="147">
        <v>0.21850928224223107</v>
      </c>
      <c r="J36" s="147">
        <v>0.24093360612082121</v>
      </c>
      <c r="K36" s="147">
        <v>0.29312846490399547</v>
      </c>
      <c r="L36" s="147">
        <v>0.22298959791937992</v>
      </c>
      <c r="M36" s="147">
        <v>0.20328606939414143</v>
      </c>
      <c r="N36" s="147">
        <v>0.20572515952733486</v>
      </c>
      <c r="O36" s="147">
        <v>0.2574479868308342</v>
      </c>
      <c r="P36" s="147"/>
      <c r="Q36" s="147"/>
      <c r="R36" s="147"/>
      <c r="S36" s="147"/>
      <c r="T36" s="147"/>
      <c r="U36" s="147"/>
      <c r="V36" s="147"/>
      <c r="W36" s="147"/>
      <c r="X36" s="147"/>
      <c r="Y36" s="147"/>
      <c r="Z36" s="147"/>
      <c r="AA36" s="147"/>
      <c r="AB36" s="147"/>
      <c r="AC36" s="147"/>
      <c r="AD36" s="98"/>
    </row>
    <row r="37" spans="1:30" s="7" customFormat="1" x14ac:dyDescent="0.2">
      <c r="A37" s="151" t="s">
        <v>143</v>
      </c>
      <c r="B37" s="151"/>
      <c r="C37" s="147">
        <v>2.8487081808733269E-2</v>
      </c>
      <c r="D37" s="147">
        <v>3.2640611096019685E-2</v>
      </c>
      <c r="E37" s="147">
        <v>3.1916224658380427E-2</v>
      </c>
      <c r="F37" s="147">
        <v>3.3765939894163523E-2</v>
      </c>
      <c r="G37" s="147">
        <v>3.044205868257779E-2</v>
      </c>
      <c r="H37" s="147">
        <v>3.5473863603865965E-2</v>
      </c>
      <c r="I37" s="147">
        <v>3.6913527147291909E-2</v>
      </c>
      <c r="J37" s="147">
        <v>3.2879814535201939E-2</v>
      </c>
      <c r="K37" s="147">
        <v>1.9034224156584026E-2</v>
      </c>
      <c r="L37" s="147">
        <v>2.9511749222325023E-2</v>
      </c>
      <c r="M37" s="147">
        <v>3.0919941395021862E-2</v>
      </c>
      <c r="N37" s="147">
        <v>3.1473780894965775E-2</v>
      </c>
      <c r="O37" s="147">
        <v>3.0754401284244743E-2</v>
      </c>
      <c r="P37" s="147"/>
      <c r="Q37" s="147"/>
      <c r="R37" s="147"/>
      <c r="S37" s="147"/>
      <c r="T37" s="147"/>
      <c r="U37" s="147"/>
      <c r="V37" s="147"/>
      <c r="W37" s="147"/>
      <c r="X37" s="147"/>
      <c r="Y37" s="147"/>
      <c r="Z37" s="147"/>
      <c r="AA37" s="147"/>
      <c r="AB37" s="147"/>
      <c r="AC37" s="147"/>
      <c r="AD37" s="98"/>
    </row>
    <row r="38" spans="1:30" s="7" customFormat="1" x14ac:dyDescent="0.2">
      <c r="A38" s="151" t="s">
        <v>144</v>
      </c>
      <c r="B38" s="151"/>
      <c r="C38" s="147">
        <v>2.2913921646741581E-2</v>
      </c>
      <c r="D38" s="147">
        <v>3.3778762760122732E-2</v>
      </c>
      <c r="E38" s="147">
        <v>2.4666401019004407E-2</v>
      </c>
      <c r="F38" s="147">
        <v>3.1859383889094192E-2</v>
      </c>
      <c r="G38" s="147">
        <v>2.2151919071878183E-2</v>
      </c>
      <c r="H38" s="147">
        <v>3.6857378628150514E-2</v>
      </c>
      <c r="I38" s="147">
        <v>2.7471074642868624E-2</v>
      </c>
      <c r="J38" s="147">
        <v>3.5927350452101992E-2</v>
      </c>
      <c r="K38" s="147">
        <v>2.6523354938518255E-2</v>
      </c>
      <c r="L38" s="147">
        <v>4.3636754884616796E-2</v>
      </c>
      <c r="M38" s="147">
        <v>2.9146139642136075E-2</v>
      </c>
      <c r="N38" s="147">
        <v>3.7694063960913501E-2</v>
      </c>
      <c r="O38" s="147">
        <v>2.4819687209606624E-2</v>
      </c>
      <c r="P38" s="147"/>
      <c r="Q38" s="147"/>
      <c r="R38" s="147"/>
      <c r="S38" s="147"/>
      <c r="T38" s="147"/>
      <c r="U38" s="147"/>
      <c r="V38" s="147"/>
      <c r="W38" s="147"/>
      <c r="X38" s="147"/>
      <c r="Y38" s="147"/>
      <c r="Z38" s="147"/>
      <c r="AA38" s="147"/>
      <c r="AB38" s="147"/>
      <c r="AC38" s="147"/>
      <c r="AD38" s="98"/>
    </row>
    <row r="39" spans="1:30" s="7" customFormat="1" x14ac:dyDescent="0.2">
      <c r="A39" s="151" t="s">
        <v>333</v>
      </c>
      <c r="B39" s="151"/>
      <c r="C39" s="147">
        <v>1.212372399901707E-2</v>
      </c>
      <c r="D39" s="147">
        <v>1.1749154455865532E-2</v>
      </c>
      <c r="E39" s="147">
        <v>1.2059820819240072E-2</v>
      </c>
      <c r="F39" s="147">
        <v>1.1657034524163654E-2</v>
      </c>
      <c r="G39" s="147">
        <v>1.2303532675340859E-2</v>
      </c>
      <c r="H39" s="147">
        <v>1.1647746400915981E-2</v>
      </c>
      <c r="I39" s="147">
        <v>1.4415780675272754E-2</v>
      </c>
      <c r="J39" s="147">
        <v>1.5589633947037362E-2</v>
      </c>
      <c r="K39" s="147">
        <v>1.5466025882814859E-2</v>
      </c>
      <c r="L39" s="147">
        <v>1.8854280784854974E-2</v>
      </c>
      <c r="M39" s="147">
        <v>1.5062719966833256E-2</v>
      </c>
      <c r="N39" s="147">
        <v>1.689822146168472E-2</v>
      </c>
      <c r="O39" s="147">
        <v>1.9869959712353395E-2</v>
      </c>
      <c r="P39" s="147"/>
      <c r="Q39" s="147"/>
      <c r="R39" s="147"/>
      <c r="S39" s="147"/>
      <c r="T39" s="147"/>
      <c r="U39" s="147"/>
      <c r="V39" s="147"/>
      <c r="W39" s="147"/>
      <c r="X39" s="147"/>
      <c r="Y39" s="147"/>
      <c r="Z39" s="147"/>
      <c r="AA39" s="147"/>
      <c r="AB39" s="147"/>
      <c r="AC39" s="147"/>
      <c r="AD39" s="98"/>
    </row>
    <row r="40" spans="1:30" s="7" customFormat="1" x14ac:dyDescent="0.2">
      <c r="A40" s="151" t="s">
        <v>25</v>
      </c>
      <c r="B40" s="151"/>
      <c r="C40" s="147">
        <v>1</v>
      </c>
      <c r="D40" s="147">
        <v>0.99999999999999989</v>
      </c>
      <c r="E40" s="147">
        <v>1</v>
      </c>
      <c r="F40" s="147">
        <v>0.99999999999999978</v>
      </c>
      <c r="G40" s="147">
        <v>1.0000000000000002</v>
      </c>
      <c r="H40" s="147">
        <v>1</v>
      </c>
      <c r="I40" s="147">
        <v>0.99999999999999978</v>
      </c>
      <c r="J40" s="147">
        <v>1</v>
      </c>
      <c r="K40" s="147">
        <v>1</v>
      </c>
      <c r="L40" s="147">
        <v>1.0000000000000002</v>
      </c>
      <c r="M40" s="147">
        <v>1</v>
      </c>
      <c r="N40" s="147">
        <v>1</v>
      </c>
      <c r="O40" s="147">
        <v>0.99999999999999989</v>
      </c>
      <c r="P40" s="147"/>
      <c r="Q40" s="147"/>
      <c r="R40" s="147"/>
      <c r="S40" s="147"/>
      <c r="T40" s="147"/>
      <c r="U40" s="147"/>
      <c r="V40" s="147"/>
      <c r="W40" s="147"/>
      <c r="X40" s="147"/>
      <c r="Y40" s="147"/>
      <c r="Z40" s="147"/>
      <c r="AA40" s="147"/>
      <c r="AB40" s="147"/>
      <c r="AC40" s="147"/>
      <c r="AD40" s="98"/>
    </row>
    <row r="41" spans="1:30" s="7" customFormat="1" x14ac:dyDescent="0.2">
      <c r="A41" s="151"/>
      <c r="B41" s="151"/>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98"/>
    </row>
    <row r="42" spans="1:30" s="7" customFormat="1" x14ac:dyDescent="0.2">
      <c r="A42" s="151"/>
      <c r="B42" s="151"/>
      <c r="C42" s="147"/>
      <c r="D42" s="147"/>
      <c r="E42" s="147"/>
      <c r="F42" s="147"/>
      <c r="G42" s="147"/>
      <c r="H42" s="147"/>
      <c r="I42" s="147"/>
      <c r="J42" s="147"/>
      <c r="K42" s="147"/>
      <c r="L42" s="147"/>
      <c r="M42" s="147"/>
      <c r="N42" s="147"/>
      <c r="O42" s="147"/>
      <c r="P42" s="147"/>
      <c r="Q42" s="147"/>
      <c r="R42" s="147"/>
      <c r="S42" s="147"/>
      <c r="T42" s="147"/>
      <c r="U42" s="147"/>
      <c r="V42" s="98"/>
    </row>
    <row r="43" spans="1:30" s="7" customFormat="1" x14ac:dyDescent="0.2">
      <c r="A43" s="151"/>
      <c r="B43" s="151"/>
      <c r="C43" s="147"/>
      <c r="D43" s="147"/>
      <c r="E43" s="147"/>
      <c r="F43" s="147"/>
      <c r="G43" s="147"/>
      <c r="H43" s="147"/>
      <c r="I43" s="147"/>
      <c r="J43" s="147"/>
      <c r="K43" s="147"/>
      <c r="L43" s="147"/>
      <c r="M43" s="147"/>
      <c r="N43" s="147"/>
      <c r="O43" s="147"/>
      <c r="P43" s="147"/>
      <c r="Q43" s="147"/>
      <c r="R43" s="98"/>
    </row>
    <row r="44" spans="1:30" s="161" customFormat="1" x14ac:dyDescent="0.2">
      <c r="A44" s="157"/>
      <c r="B44" s="157"/>
      <c r="C44" s="158" t="s">
        <v>25</v>
      </c>
      <c r="D44" s="158" t="s">
        <v>223</v>
      </c>
      <c r="E44" s="158" t="s">
        <v>25</v>
      </c>
      <c r="F44" s="158"/>
      <c r="G44" s="158" t="s">
        <v>224</v>
      </c>
      <c r="H44" s="158" t="s">
        <v>225</v>
      </c>
      <c r="I44" s="158" t="s">
        <v>224</v>
      </c>
      <c r="J44" s="159"/>
      <c r="K44" s="160" t="s">
        <v>226</v>
      </c>
      <c r="L44" s="160" t="s">
        <v>227</v>
      </c>
      <c r="M44" s="160" t="s">
        <v>226</v>
      </c>
      <c r="O44" s="162"/>
      <c r="P44" s="162"/>
      <c r="Q44" s="162"/>
      <c r="R44" s="162"/>
      <c r="S44" s="162"/>
      <c r="T44" s="162"/>
      <c r="U44" s="162"/>
    </row>
    <row r="45" spans="1:30" s="161" customFormat="1" x14ac:dyDescent="0.2">
      <c r="A45" s="157"/>
      <c r="B45" s="157"/>
      <c r="C45" s="158" t="s">
        <v>365</v>
      </c>
      <c r="D45" s="158" t="s">
        <v>228</v>
      </c>
      <c r="E45" s="158" t="s">
        <v>229</v>
      </c>
      <c r="F45" s="158"/>
      <c r="G45" s="158" t="s">
        <v>365</v>
      </c>
      <c r="H45" s="158" t="s">
        <v>228</v>
      </c>
      <c r="I45" s="158" t="s">
        <v>229</v>
      </c>
      <c r="J45" s="158"/>
      <c r="K45" s="158" t="s">
        <v>365</v>
      </c>
      <c r="L45" s="158" t="s">
        <v>228</v>
      </c>
      <c r="M45" s="158" t="s">
        <v>229</v>
      </c>
      <c r="O45" s="162"/>
      <c r="P45" s="162"/>
      <c r="Q45" s="162"/>
      <c r="R45" s="162"/>
      <c r="S45" s="162"/>
      <c r="T45" s="162"/>
      <c r="U45" s="162"/>
    </row>
    <row r="46" spans="1:30" s="161" customFormat="1" x14ac:dyDescent="0.2">
      <c r="A46" s="157"/>
      <c r="B46" s="157"/>
      <c r="C46" s="158" t="s">
        <v>230</v>
      </c>
      <c r="D46" s="158" t="s">
        <v>231</v>
      </c>
      <c r="E46" s="158"/>
      <c r="F46" s="158"/>
      <c r="G46" s="158" t="s">
        <v>230</v>
      </c>
      <c r="H46" s="158" t="s">
        <v>231</v>
      </c>
      <c r="I46" s="158"/>
      <c r="J46" s="158"/>
      <c r="K46" s="158" t="s">
        <v>230</v>
      </c>
      <c r="L46" s="158" t="s">
        <v>231</v>
      </c>
      <c r="M46" s="158"/>
      <c r="O46" s="162"/>
      <c r="P46" s="162"/>
      <c r="Q46" s="162"/>
      <c r="R46" s="162"/>
      <c r="S46" s="162"/>
      <c r="T46" s="162"/>
      <c r="U46" s="162"/>
    </row>
    <row r="47" spans="1:30" s="161" customFormat="1" x14ac:dyDescent="0.2">
      <c r="A47" s="163" t="s">
        <v>232</v>
      </c>
      <c r="B47" s="164"/>
      <c r="C47" s="164">
        <f>'SECTOR EPS'!BU8</f>
        <v>18.59</v>
      </c>
      <c r="D47" s="101">
        <v>13.843784156483</v>
      </c>
      <c r="E47" s="164">
        <f>C47/D47</f>
        <v>1.3428409306204303</v>
      </c>
      <c r="F47" s="164"/>
      <c r="G47" s="164">
        <f>'SECTOR EPS'!BU21</f>
        <v>19.66</v>
      </c>
      <c r="H47" s="101">
        <v>12.8770446408643</v>
      </c>
      <c r="I47" s="164">
        <f t="shared" ref="I47:I57" si="0">G47/H47</f>
        <v>1.5267478329313637</v>
      </c>
      <c r="J47" s="164"/>
      <c r="K47" s="165">
        <f>'SECTOR EPS'!BU34</f>
        <v>23.28</v>
      </c>
      <c r="L47" s="101">
        <v>14.6012712885016</v>
      </c>
      <c r="M47" s="164">
        <f t="shared" ref="M47:M57" si="1">K47/L47</f>
        <v>1.594381717866775</v>
      </c>
      <c r="O47" s="162"/>
      <c r="P47" s="162"/>
      <c r="Q47" s="162"/>
      <c r="R47" s="162"/>
      <c r="S47" s="162"/>
      <c r="T47" s="162"/>
      <c r="U47" s="162"/>
    </row>
    <row r="48" spans="1:30" s="161" customFormat="1" x14ac:dyDescent="0.2">
      <c r="A48" s="163" t="s">
        <v>138</v>
      </c>
      <c r="B48" s="164"/>
      <c r="C48" s="164">
        <f>'SECTOR EPS'!BU9</f>
        <v>23.31</v>
      </c>
      <c r="D48" s="101">
        <v>24.189756050981298</v>
      </c>
      <c r="E48" s="164">
        <f t="shared" ref="E48:E56" si="2">C48/D48</f>
        <v>0.96363104906361341</v>
      </c>
      <c r="F48" s="164"/>
      <c r="G48" s="164">
        <f>'SECTOR EPS'!BU22</f>
        <v>16.309999999999999</v>
      </c>
      <c r="H48" s="101">
        <v>14.6923922345817</v>
      </c>
      <c r="I48" s="164">
        <f t="shared" si="0"/>
        <v>1.1100983243294384</v>
      </c>
      <c r="J48" s="164"/>
      <c r="K48" s="165">
        <f>'SECTOR EPS'!BU35</f>
        <v>17.670000000000002</v>
      </c>
      <c r="L48" s="101">
        <v>17.039095890185699</v>
      </c>
      <c r="M48" s="164">
        <f t="shared" si="1"/>
        <v>1.0370268536476572</v>
      </c>
      <c r="O48" s="162"/>
      <c r="P48" s="162"/>
      <c r="Q48" s="162"/>
      <c r="R48" s="162"/>
      <c r="S48" s="162"/>
      <c r="T48" s="162"/>
      <c r="U48" s="162"/>
    </row>
    <row r="49" spans="1:24" s="161" customFormat="1" x14ac:dyDescent="0.2">
      <c r="A49" s="163" t="s">
        <v>139</v>
      </c>
      <c r="B49" s="164"/>
      <c r="C49" s="164">
        <f>'SECTOR EPS'!BU10</f>
        <v>19.05</v>
      </c>
      <c r="D49" s="101">
        <v>8.5400666104859795</v>
      </c>
      <c r="E49" s="164">
        <f>C49/D49</f>
        <v>2.2306617581424164</v>
      </c>
      <c r="F49" s="164"/>
      <c r="G49" s="164">
        <f>'SECTOR EPS'!BU23</f>
        <v>20.3</v>
      </c>
      <c r="H49" s="101">
        <v>9.9780797245263493</v>
      </c>
      <c r="I49" s="164">
        <f t="shared" si="0"/>
        <v>2.0344595914685</v>
      </c>
      <c r="J49" s="164"/>
      <c r="K49" s="165">
        <f>'SECTOR EPS'!BU36</f>
        <v>23.14</v>
      </c>
      <c r="L49" s="101">
        <v>8.9100631213091503</v>
      </c>
      <c r="M49" s="164">
        <f t="shared" si="1"/>
        <v>2.5970635319809108</v>
      </c>
      <c r="O49" s="162"/>
      <c r="P49" s="162"/>
      <c r="Q49" s="162"/>
      <c r="R49" s="162"/>
      <c r="S49" s="162"/>
      <c r="T49" s="162"/>
      <c r="U49" s="162"/>
    </row>
    <row r="50" spans="1:24" s="161" customFormat="1" x14ac:dyDescent="0.2">
      <c r="A50" s="163" t="s">
        <v>165</v>
      </c>
      <c r="B50" s="164"/>
      <c r="C50" s="164">
        <f>'SECTOR EPS'!BU11</f>
        <v>19.28</v>
      </c>
      <c r="D50" s="101">
        <v>19.7014972945991</v>
      </c>
      <c r="E50" s="164">
        <f t="shared" si="2"/>
        <v>0.97860582430378795</v>
      </c>
      <c r="F50" s="164"/>
      <c r="G50" s="164">
        <f>'SECTOR EPS'!BU24</f>
        <v>166.23</v>
      </c>
      <c r="H50" s="101">
        <v>15.8613004658704</v>
      </c>
      <c r="I50" s="164">
        <f t="shared" si="0"/>
        <v>10.480225146587815</v>
      </c>
      <c r="J50" s="164"/>
      <c r="K50" s="165">
        <f>'SECTOR EPS'!BU37</f>
        <v>122.31</v>
      </c>
      <c r="L50" s="101">
        <v>22.986711418071799</v>
      </c>
      <c r="M50" s="164">
        <f t="shared" si="1"/>
        <v>5.3209003139023077</v>
      </c>
      <c r="O50" s="162"/>
      <c r="P50" s="162"/>
      <c r="Q50" s="162"/>
      <c r="R50" s="162"/>
      <c r="S50" s="162"/>
      <c r="T50" s="162"/>
      <c r="U50" s="162"/>
    </row>
    <row r="51" spans="1:24" s="161" customFormat="1" x14ac:dyDescent="0.2">
      <c r="A51" s="163" t="s">
        <v>160</v>
      </c>
      <c r="B51" s="164"/>
      <c r="C51" s="164">
        <f>'SECTOR EPS'!BU12</f>
        <v>13.84</v>
      </c>
      <c r="D51" s="101">
        <v>10.758208199878901</v>
      </c>
      <c r="E51" s="164">
        <f t="shared" si="2"/>
        <v>1.2864595797798177</v>
      </c>
      <c r="F51" s="164"/>
      <c r="G51" s="164">
        <f>'SECTOR EPS'!BU25</f>
        <v>14.41</v>
      </c>
      <c r="H51" s="101">
        <v>10.208123400261799</v>
      </c>
      <c r="I51" s="164">
        <f t="shared" si="0"/>
        <v>1.4116208665375694</v>
      </c>
      <c r="J51" s="164"/>
      <c r="K51" s="165">
        <f>'SECTOR EPS'!BU38</f>
        <v>15.89</v>
      </c>
      <c r="L51" s="101">
        <v>13.6209575568675</v>
      </c>
      <c r="M51" s="164">
        <f t="shared" si="1"/>
        <v>1.166584649695827</v>
      </c>
      <c r="O51" s="162"/>
      <c r="P51" s="162"/>
      <c r="Q51" s="162"/>
      <c r="R51" s="162"/>
      <c r="S51" s="162"/>
      <c r="T51" s="162"/>
      <c r="U51" s="162"/>
    </row>
    <row r="52" spans="1:24" s="161" customFormat="1" x14ac:dyDescent="0.2">
      <c r="A52" s="163" t="s">
        <v>140</v>
      </c>
      <c r="B52" s="164"/>
      <c r="C52" s="164">
        <f>'SECTOR EPS'!BU13</f>
        <v>19.64</v>
      </c>
      <c r="D52" s="101">
        <v>11.4008775806422</v>
      </c>
      <c r="E52" s="164">
        <f t="shared" si="2"/>
        <v>1.7226744047622427</v>
      </c>
      <c r="F52" s="164"/>
      <c r="G52" s="164">
        <f>'SECTOR EPS'!BU26</f>
        <v>25.7</v>
      </c>
      <c r="H52" s="101">
        <v>15.4308002787768</v>
      </c>
      <c r="I52" s="164">
        <f t="shared" si="0"/>
        <v>1.6655001384048267</v>
      </c>
      <c r="J52" s="164"/>
      <c r="K52" s="165">
        <f>'SECTOR EPS'!BU39</f>
        <v>55.1</v>
      </c>
      <c r="L52" s="101">
        <v>15.912309185053701</v>
      </c>
      <c r="M52" s="164">
        <f t="shared" si="1"/>
        <v>3.4627280905121536</v>
      </c>
      <c r="N52" s="162"/>
      <c r="O52" s="162"/>
      <c r="P52" s="162"/>
      <c r="Q52" s="162"/>
      <c r="R52" s="162"/>
      <c r="S52" s="162"/>
      <c r="T52" s="162"/>
      <c r="U52" s="162"/>
    </row>
    <row r="53" spans="1:24" s="162" customFormat="1" x14ac:dyDescent="0.2">
      <c r="A53" s="163" t="s">
        <v>161</v>
      </c>
      <c r="B53" s="164"/>
      <c r="C53" s="164">
        <f>'SECTOR EPS'!BU14</f>
        <v>17.77</v>
      </c>
      <c r="D53" s="101">
        <v>12.8310965780682</v>
      </c>
      <c r="E53" s="164">
        <f t="shared" si="2"/>
        <v>1.384916705433713</v>
      </c>
      <c r="F53" s="164"/>
      <c r="G53" s="164">
        <f>'SECTOR EPS'!BU27</f>
        <v>19.43</v>
      </c>
      <c r="H53" s="101">
        <v>13.1704926302689</v>
      </c>
      <c r="I53" s="164">
        <f t="shared" si="0"/>
        <v>1.4752675200125223</v>
      </c>
      <c r="J53" s="164"/>
      <c r="K53" s="165">
        <f>'SECTOR EPS'!BU40</f>
        <v>22.19</v>
      </c>
      <c r="L53" s="101">
        <v>15.6302940334546</v>
      </c>
      <c r="M53" s="164">
        <f t="shared" si="1"/>
        <v>1.4196789870046724</v>
      </c>
      <c r="O53" s="89"/>
      <c r="P53" s="89"/>
    </row>
    <row r="54" spans="1:24" s="162" customFormat="1" x14ac:dyDescent="0.2">
      <c r="A54" s="163" t="s">
        <v>159</v>
      </c>
      <c r="B54" s="164"/>
      <c r="C54" s="164">
        <f>'SECTOR EPS'!BU15</f>
        <v>20.34</v>
      </c>
      <c r="D54" s="101">
        <v>14.138121674688801</v>
      </c>
      <c r="E54" s="164">
        <f>C54/D54</f>
        <v>1.4386635274482253</v>
      </c>
      <c r="F54" s="164"/>
      <c r="G54" s="164">
        <f>'SECTOR EPS'!BU28</f>
        <v>24.16</v>
      </c>
      <c r="H54" s="101">
        <v>16.834388713517502</v>
      </c>
      <c r="I54" s="164">
        <f t="shared" si="0"/>
        <v>1.4351575463266009</v>
      </c>
      <c r="J54" s="164"/>
      <c r="K54" s="165">
        <f>'SECTOR EPS'!BU41</f>
        <v>25.32</v>
      </c>
      <c r="L54" s="101">
        <v>14.0453899008098</v>
      </c>
      <c r="M54" s="164">
        <f t="shared" si="1"/>
        <v>1.802726743708279</v>
      </c>
      <c r="N54"/>
      <c r="O54" s="89"/>
      <c r="P54" s="89"/>
      <c r="Q54" s="89"/>
      <c r="R54" s="89"/>
      <c r="S54" s="89"/>
    </row>
    <row r="55" spans="1:24" x14ac:dyDescent="0.2">
      <c r="A55" s="163" t="s">
        <v>162</v>
      </c>
      <c r="B55" s="164"/>
      <c r="C55" s="164">
        <f>'SECTOR EPS'!BU16</f>
        <v>16.329999999999998</v>
      </c>
      <c r="D55" s="101">
        <v>11.9907298017876</v>
      </c>
      <c r="E55" s="164">
        <f t="shared" si="2"/>
        <v>1.361885412309557</v>
      </c>
      <c r="F55" s="164"/>
      <c r="G55" s="164">
        <f>'SECTOR EPS'!BU29</f>
        <v>12.95</v>
      </c>
      <c r="H55" s="101">
        <v>14.398013417594701</v>
      </c>
      <c r="I55" s="164">
        <f t="shared" si="0"/>
        <v>0.89942963827042999</v>
      </c>
      <c r="J55" s="164"/>
      <c r="K55" s="165">
        <f>'SECTOR EPS'!BU42</f>
        <v>18.309999999999999</v>
      </c>
      <c r="L55" s="101">
        <v>17.024596210651701</v>
      </c>
      <c r="M55" s="164">
        <f t="shared" si="1"/>
        <v>1.0755027475214987</v>
      </c>
      <c r="O55" s="89"/>
      <c r="P55" s="89"/>
      <c r="Q55" s="89"/>
      <c r="R55" s="89"/>
      <c r="S55" s="89"/>
      <c r="T55" s="89"/>
      <c r="U55" s="89"/>
    </row>
    <row r="56" spans="1:24" x14ac:dyDescent="0.2">
      <c r="A56" s="163" t="s">
        <v>166</v>
      </c>
      <c r="B56" s="164"/>
      <c r="C56" s="164">
        <f>'SECTOR EPS'!BU17</f>
        <v>10.57</v>
      </c>
      <c r="D56" s="101">
        <v>8.9965793187422705</v>
      </c>
      <c r="E56" s="164">
        <f t="shared" si="2"/>
        <v>1.1748909919551174</v>
      </c>
      <c r="F56" s="164"/>
      <c r="G56" s="164">
        <f>'SECTOR EPS'!BU30</f>
        <v>27.85</v>
      </c>
      <c r="H56" s="101">
        <v>6.1261897870317403</v>
      </c>
      <c r="I56" s="164">
        <f t="shared" si="0"/>
        <v>4.546055699899215</v>
      </c>
      <c r="J56" s="164"/>
      <c r="K56" s="165">
        <f>'SECTOR EPS'!BU43</f>
        <v>-72.180000000000007</v>
      </c>
      <c r="L56" s="101">
        <v>5.0772514412905299</v>
      </c>
      <c r="M56" s="164">
        <f t="shared" si="1"/>
        <v>-14.216353244395037</v>
      </c>
      <c r="O56" s="89"/>
      <c r="P56" s="89"/>
      <c r="Q56" s="89"/>
      <c r="R56" s="89"/>
      <c r="S56" s="89"/>
      <c r="T56" s="89"/>
      <c r="U56" s="89"/>
    </row>
    <row r="57" spans="1:24" x14ac:dyDescent="0.2">
      <c r="A57" s="163" t="s">
        <v>220</v>
      </c>
      <c r="B57" s="164"/>
      <c r="C57" s="164">
        <f>'SECTOR EPS'!BU18</f>
        <v>16.89</v>
      </c>
      <c r="D57" s="101">
        <v>4.0364256798322904</v>
      </c>
      <c r="E57" s="164">
        <f>C57/D57</f>
        <v>4.1843951405793662</v>
      </c>
      <c r="F57" s="164"/>
      <c r="G57" s="164">
        <f>'SECTOR EPS'!BU31</f>
        <v>21.36</v>
      </c>
      <c r="H57" s="101">
        <v>0</v>
      </c>
      <c r="I57" s="164" t="e">
        <f t="shared" si="0"/>
        <v>#DIV/0!</v>
      </c>
      <c r="J57" s="164"/>
      <c r="K57" s="165">
        <f>'SECTOR EPS'!BU44</f>
        <v>23.82</v>
      </c>
      <c r="L57" s="101">
        <v>19.9797533100922</v>
      </c>
      <c r="M57" s="164">
        <f t="shared" si="1"/>
        <v>1.1922069121828451</v>
      </c>
      <c r="O57" s="162"/>
      <c r="P57" s="89"/>
      <c r="Q57" s="89"/>
      <c r="R57" s="89"/>
      <c r="S57" s="89"/>
      <c r="T57" s="89"/>
      <c r="U57" s="89"/>
    </row>
    <row r="58" spans="1:24" x14ac:dyDescent="0.2">
      <c r="A58" s="163" t="s">
        <v>333</v>
      </c>
      <c r="B58" s="164"/>
      <c r="C58" s="164">
        <f>'SECTOR EPS'!BU19</f>
        <v>37.15</v>
      </c>
      <c r="D58" s="101">
        <v>7.2521168616557299</v>
      </c>
      <c r="E58" s="164">
        <f t="shared" ref="E58" si="3">C58/D58</f>
        <v>5.1226422172571402</v>
      </c>
      <c r="F58" s="164"/>
      <c r="G58" s="164">
        <f>'SECTOR EPS'!BU32</f>
        <v>26.09</v>
      </c>
      <c r="H58" s="101">
        <v>5.5652627834442097</v>
      </c>
      <c r="I58" s="164">
        <f t="shared" ref="I58" si="4">G58/H58</f>
        <v>4.6880086377257308</v>
      </c>
      <c r="J58" s="164"/>
      <c r="K58" s="165">
        <f>'SECTOR EPS'!BU45</f>
        <v>196.85</v>
      </c>
      <c r="L58" s="101">
        <v>5.5059067375063302</v>
      </c>
      <c r="M58" s="164">
        <f t="shared" ref="M58" si="5">K58/L58</f>
        <v>35.752512598706851</v>
      </c>
      <c r="O58" s="89"/>
      <c r="P58" s="89"/>
      <c r="Q58" s="89"/>
      <c r="R58" s="89"/>
      <c r="S58" s="89"/>
      <c r="T58" s="89"/>
      <c r="U58" s="89"/>
    </row>
    <row r="59" spans="1:24" x14ac:dyDescent="0.2">
      <c r="A59" s="163"/>
      <c r="B59" s="164"/>
      <c r="C59" s="164"/>
      <c r="D59" s="101"/>
      <c r="E59" s="164"/>
      <c r="F59" s="164"/>
      <c r="G59" s="164"/>
      <c r="H59" s="101"/>
      <c r="I59" s="164"/>
      <c r="J59" s="164"/>
      <c r="K59" s="165"/>
      <c r="L59" s="101"/>
      <c r="M59" s="164"/>
      <c r="O59" s="162"/>
      <c r="P59" s="89"/>
      <c r="Q59" s="89"/>
      <c r="R59" s="89"/>
      <c r="S59" s="89"/>
      <c r="T59" s="89"/>
      <c r="U59" s="89"/>
    </row>
    <row r="60" spans="1:24" s="7" customFormat="1" x14ac:dyDescent="0.2">
      <c r="A60" s="6"/>
      <c r="B60" s="6"/>
      <c r="C60" s="6"/>
      <c r="D60" s="6"/>
      <c r="E60" s="6"/>
      <c r="F60" s="6"/>
      <c r="G60" s="6"/>
      <c r="H60" s="6"/>
      <c r="I60" s="6"/>
      <c r="J60" s="97"/>
      <c r="K60" s="98"/>
    </row>
    <row r="61" spans="1:24" s="7" customFormat="1" x14ac:dyDescent="0.2">
      <c r="A61" s="6"/>
      <c r="B61" s="6"/>
      <c r="C61" s="6"/>
      <c r="D61" s="6"/>
      <c r="E61" s="6"/>
      <c r="F61" s="6"/>
      <c r="G61" s="6"/>
      <c r="H61" s="6"/>
      <c r="I61" s="6"/>
      <c r="J61" s="97"/>
      <c r="K61" s="98"/>
    </row>
    <row r="62" spans="1:24" s="7" customFormat="1" x14ac:dyDescent="0.2">
      <c r="A62" s="6" t="s">
        <v>274</v>
      </c>
      <c r="B62" s="6"/>
      <c r="C62" s="6"/>
      <c r="D62" s="6"/>
      <c r="E62" s="6"/>
      <c r="F62" s="6"/>
      <c r="G62" s="6"/>
      <c r="H62" s="6"/>
      <c r="I62" s="6"/>
      <c r="J62" s="97"/>
      <c r="K62" s="98"/>
      <c r="L62" s="140"/>
      <c r="M62" s="138"/>
      <c r="N62" s="89"/>
      <c r="O62" s="89"/>
      <c r="P62" s="136"/>
      <c r="Q62" s="16"/>
      <c r="R62" s="16"/>
      <c r="S62" s="16"/>
      <c r="T62" s="16"/>
    </row>
    <row r="63" spans="1:24" s="7" customFormat="1" x14ac:dyDescent="0.2">
      <c r="A63" s="167" t="s">
        <v>191</v>
      </c>
      <c r="B63" s="122" t="s">
        <v>436</v>
      </c>
      <c r="C63" s="122" t="s">
        <v>381</v>
      </c>
      <c r="D63" s="122" t="s">
        <v>308</v>
      </c>
      <c r="E63" s="122" t="s">
        <v>255</v>
      </c>
      <c r="F63" s="122" t="s">
        <v>205</v>
      </c>
      <c r="G63" s="122" t="s">
        <v>192</v>
      </c>
      <c r="H63" s="122" t="s">
        <v>193</v>
      </c>
      <c r="I63" s="122" t="s">
        <v>194</v>
      </c>
      <c r="J63" s="122" t="s">
        <v>195</v>
      </c>
      <c r="K63" s="122" t="s">
        <v>196</v>
      </c>
      <c r="L63" s="122" t="s">
        <v>265</v>
      </c>
      <c r="M63" s="122" t="s">
        <v>197</v>
      </c>
      <c r="N63" s="122">
        <v>2006</v>
      </c>
      <c r="O63" s="92"/>
      <c r="P63" s="140"/>
      <c r="Q63" s="138"/>
      <c r="R63" s="89"/>
      <c r="S63" s="89"/>
      <c r="T63" s="136"/>
      <c r="U63" s="16"/>
      <c r="V63" s="16"/>
      <c r="W63" s="16"/>
      <c r="X63" s="16"/>
    </row>
    <row r="64" spans="1:24" s="7" customFormat="1" x14ac:dyDescent="0.2">
      <c r="A64" s="167" t="s">
        <v>435</v>
      </c>
      <c r="B64" s="15"/>
      <c r="C64" s="15">
        <v>0.10273270105034775</v>
      </c>
      <c r="D64" s="15">
        <v>9.2655472320979218E-2</v>
      </c>
      <c r="E64" s="15">
        <v>7.9827003131535332E-2</v>
      </c>
      <c r="F64" s="15">
        <v>8.9825643514267486E-2</v>
      </c>
      <c r="G64" s="15">
        <v>9.7596100527673146E-2</v>
      </c>
      <c r="H64" s="15">
        <v>8.0374891429939588E-2</v>
      </c>
      <c r="I64" s="15">
        <v>8.7037751900159097E-2</v>
      </c>
      <c r="J64" s="15">
        <v>8.6771602794317018E-2</v>
      </c>
      <c r="K64" s="15">
        <v>7.2722331971166995E-2</v>
      </c>
      <c r="L64" s="15">
        <v>-4.0601727380559641E-4</v>
      </c>
      <c r="M64" s="15">
        <v>5.6757159904534601E-2</v>
      </c>
      <c r="N64" s="15">
        <v>8.859790491539081E-2</v>
      </c>
      <c r="O64" s="97"/>
      <c r="P64" s="140"/>
      <c r="Q64" s="138"/>
      <c r="R64" s="89"/>
      <c r="S64" s="89"/>
      <c r="T64" s="136"/>
      <c r="U64" s="16"/>
      <c r="V64" s="16"/>
      <c r="W64" s="16"/>
      <c r="X64" s="16"/>
    </row>
    <row r="65" spans="1:27" s="7" customFormat="1" x14ac:dyDescent="0.2">
      <c r="A65" s="167" t="s">
        <v>425</v>
      </c>
      <c r="B65" s="15"/>
      <c r="C65" s="15">
        <f>SALES!G32</f>
        <v>0.10164749338145562</v>
      </c>
      <c r="D65" s="15">
        <v>9.8641234855432691E-2</v>
      </c>
      <c r="E65" s="15">
        <v>8.9666767807327852E-2</v>
      </c>
      <c r="F65" s="15">
        <v>0.10099287041700378</v>
      </c>
      <c r="G65" s="15">
        <v>9.6345419831311632E-2</v>
      </c>
      <c r="H65" s="15">
        <v>8.9222621802131877E-2</v>
      </c>
      <c r="I65" s="15">
        <v>9.5078937071402136E-2</v>
      </c>
      <c r="J65" s="15">
        <v>8.9519568767415278E-2</v>
      </c>
      <c r="K65" s="15">
        <v>6.9423592264317074E-2</v>
      </c>
      <c r="L65" s="15">
        <v>5.9552238805970152E-2</v>
      </c>
      <c r="M65" s="15">
        <v>8.0638306093273063E-2</v>
      </c>
      <c r="N65" s="15">
        <v>9.6038365304420351E-2</v>
      </c>
      <c r="O65" s="97"/>
      <c r="P65" s="140"/>
      <c r="Q65" s="138"/>
      <c r="R65" s="89"/>
      <c r="S65" s="89"/>
      <c r="T65" s="136"/>
      <c r="U65" s="16"/>
      <c r="V65" s="16"/>
      <c r="W65" s="16"/>
      <c r="X65" s="16"/>
    </row>
    <row r="66" spans="1:27" s="7" customFormat="1" x14ac:dyDescent="0.2">
      <c r="A66" s="167" t="s">
        <v>456</v>
      </c>
      <c r="B66" s="15">
        <f>SALES!D32</f>
        <v>0.11549800920667584</v>
      </c>
      <c r="C66" s="15">
        <f>SALES!H32</f>
        <v>0.10136874401202751</v>
      </c>
      <c r="D66" s="15">
        <v>9.0304491689420285E-2</v>
      </c>
      <c r="E66" s="15">
        <v>9.2909676243833034E-2</v>
      </c>
      <c r="F66" s="15">
        <v>0.10073379317750085</v>
      </c>
      <c r="G66" s="15">
        <v>9.5105041999730258E-2</v>
      </c>
      <c r="H66" s="15">
        <v>9.4089696894151781E-2</v>
      </c>
      <c r="I66" s="15">
        <v>9.4411857923775475E-2</v>
      </c>
      <c r="J66" s="15">
        <v>8.8277449464547783E-2</v>
      </c>
      <c r="K66" s="15">
        <v>6.1877107726682479E-2</v>
      </c>
      <c r="L66" s="15">
        <v>6.1106523534269201E-2</v>
      </c>
      <c r="M66" s="15">
        <v>9.4120408402769626E-2</v>
      </c>
      <c r="N66" s="15">
        <v>9.3519662562310937E-2</v>
      </c>
      <c r="O66" s="97"/>
      <c r="P66" s="139"/>
      <c r="Q66" s="138"/>
      <c r="R66" s="89"/>
      <c r="S66" s="89"/>
      <c r="T66" s="136"/>
      <c r="U66" s="16"/>
      <c r="V66" s="16"/>
      <c r="W66" s="16"/>
      <c r="X66" s="16"/>
    </row>
    <row r="67" spans="1:27" s="7" customFormat="1" x14ac:dyDescent="0.2">
      <c r="A67" s="167" t="s">
        <v>457</v>
      </c>
      <c r="B67" s="15">
        <v>0.1140492079851171</v>
      </c>
      <c r="C67" s="15">
        <v>9.8436000873383014E-2</v>
      </c>
      <c r="D67" s="15">
        <v>8.7472037952982667E-2</v>
      </c>
      <c r="E67" s="15">
        <v>9.4477126926980182E-2</v>
      </c>
      <c r="F67" s="15">
        <v>9.7584898983632068E-2</v>
      </c>
      <c r="G67" s="15">
        <v>9.5171799454255815E-2</v>
      </c>
      <c r="H67" s="15">
        <v>9.0674747758055146E-2</v>
      </c>
      <c r="I67" s="15">
        <v>8.9919776972502266E-2</v>
      </c>
      <c r="J67" s="15">
        <v>8.3401474508591519E-2</v>
      </c>
      <c r="K67" s="15">
        <v>4.560281119508753E-2</v>
      </c>
      <c r="L67" s="15">
        <v>6.2547041999096789E-2</v>
      </c>
      <c r="M67" s="15">
        <v>9.2337512372154415E-2</v>
      </c>
      <c r="N67" s="15">
        <v>9.0295909486510006E-2</v>
      </c>
      <c r="O67" s="97"/>
      <c r="P67" s="89"/>
      <c r="Q67" s="89"/>
      <c r="R67" s="16"/>
      <c r="S67" s="16"/>
      <c r="T67" s="16"/>
      <c r="U67" s="16"/>
      <c r="V67" s="16"/>
      <c r="W67" s="16"/>
      <c r="X67" s="16"/>
    </row>
    <row r="68" spans="1:27" s="7" customFormat="1" x14ac:dyDescent="0.2">
      <c r="A68" s="84"/>
      <c r="B68" s="84"/>
      <c r="C68" s="84"/>
      <c r="D68" s="15"/>
      <c r="E68" s="15"/>
      <c r="F68" s="15"/>
      <c r="G68" s="15"/>
      <c r="H68" s="15"/>
      <c r="I68" s="15"/>
      <c r="J68" s="15"/>
      <c r="K68" s="15" t="s">
        <v>266</v>
      </c>
      <c r="L68" s="15"/>
      <c r="M68" s="15"/>
      <c r="N68" s="15"/>
      <c r="O68" s="15"/>
      <c r="P68" s="6"/>
      <c r="Q68" s="97"/>
      <c r="R68" s="98"/>
      <c r="U68" s="16"/>
      <c r="V68" s="16"/>
      <c r="W68" s="16"/>
      <c r="X68" s="16"/>
      <c r="Y68" s="16"/>
      <c r="Z68" s="16"/>
      <c r="AA68" s="16"/>
    </row>
    <row r="69" spans="1:27" s="7" customFormat="1" x14ac:dyDescent="0.2">
      <c r="A69" s="84"/>
      <c r="B69" s="15"/>
      <c r="C69" s="15"/>
      <c r="D69" s="15"/>
      <c r="E69" s="15"/>
      <c r="F69" s="15"/>
      <c r="G69" s="15"/>
      <c r="H69" s="15"/>
      <c r="I69" s="6"/>
      <c r="J69" s="97"/>
      <c r="K69" s="98"/>
      <c r="N69" s="16"/>
      <c r="O69" s="16"/>
      <c r="P69" s="16"/>
      <c r="Q69" s="16"/>
      <c r="R69" s="16"/>
      <c r="S69" s="16"/>
      <c r="T69" s="16"/>
    </row>
    <row r="70" spans="1:27" x14ac:dyDescent="0.2">
      <c r="A70" s="103"/>
      <c r="B70" s="33"/>
      <c r="C70" s="33"/>
      <c r="D70" s="101"/>
      <c r="E70" s="33"/>
      <c r="F70" s="33"/>
      <c r="G70" s="33"/>
      <c r="H70" s="101"/>
      <c r="I70" s="33"/>
      <c r="J70" s="33"/>
      <c r="K70" s="102"/>
      <c r="L70" s="101"/>
      <c r="M70" s="33"/>
      <c r="N70" s="16"/>
      <c r="O70" s="89"/>
      <c r="P70" s="89"/>
      <c r="Q70" s="89"/>
      <c r="R70" s="89"/>
      <c r="S70" s="89"/>
      <c r="T70" s="89"/>
    </row>
    <row r="71" spans="1:27" x14ac:dyDescent="0.2">
      <c r="A71" s="116" t="s">
        <v>164</v>
      </c>
      <c r="B71" s="117" t="s">
        <v>404</v>
      </c>
      <c r="C71" s="117" t="s">
        <v>405</v>
      </c>
      <c r="D71" s="117" t="s">
        <v>406</v>
      </c>
      <c r="E71" s="117" t="s">
        <v>365</v>
      </c>
      <c r="F71" s="117" t="s">
        <v>423</v>
      </c>
      <c r="G71" s="60" t="s">
        <v>254</v>
      </c>
      <c r="H71" s="169" t="s">
        <v>391</v>
      </c>
      <c r="I71" s="169" t="s">
        <v>424</v>
      </c>
      <c r="J71" s="202" t="str">
        <f>A71</f>
        <v>OBSERVATION</v>
      </c>
      <c r="K71" s="7"/>
      <c r="L71" s="7"/>
      <c r="M71" s="89"/>
      <c r="N71" s="89"/>
      <c r="O71" s="89"/>
      <c r="P71" s="89"/>
      <c r="Q71" s="89"/>
      <c r="R71" s="89"/>
      <c r="S71" s="89"/>
    </row>
    <row r="72" spans="1:27" x14ac:dyDescent="0.2">
      <c r="A72" s="118">
        <v>42825</v>
      </c>
      <c r="B72" s="96">
        <v>35.96</v>
      </c>
      <c r="C72" s="96">
        <v>37.65</v>
      </c>
      <c r="D72" s="96">
        <v>39.08</v>
      </c>
      <c r="E72" s="96">
        <v>146.47999999999999</v>
      </c>
      <c r="F72" s="96"/>
      <c r="G72" s="33">
        <v>2362.7182203972902</v>
      </c>
      <c r="H72" s="175">
        <v>16.1299714663933</v>
      </c>
      <c r="I72" s="175"/>
      <c r="J72" s="166">
        <f>A72</f>
        <v>42825</v>
      </c>
      <c r="M72" s="89"/>
      <c r="N72" s="89"/>
      <c r="O72" s="89"/>
      <c r="P72" s="89"/>
      <c r="Q72" s="89"/>
      <c r="R72" s="89"/>
      <c r="S72" s="89"/>
    </row>
    <row r="73" spans="1:27" x14ac:dyDescent="0.2">
      <c r="A73" s="118">
        <v>42916</v>
      </c>
      <c r="B73" s="96">
        <v>35.590000000000003</v>
      </c>
      <c r="C73" s="96">
        <v>37.450000000000003</v>
      </c>
      <c r="D73" s="96">
        <v>39.11</v>
      </c>
      <c r="E73" s="96">
        <v>145.87</v>
      </c>
      <c r="F73" s="96"/>
      <c r="G73" s="164">
        <v>2423.4088910629698</v>
      </c>
      <c r="H73" s="199">
        <v>16.613483862774867</v>
      </c>
      <c r="I73" s="199"/>
      <c r="J73" s="166">
        <f>A73</f>
        <v>42916</v>
      </c>
      <c r="M73" s="89"/>
      <c r="N73" s="89"/>
      <c r="O73" s="89"/>
      <c r="P73" s="89"/>
      <c r="Q73" s="89"/>
      <c r="R73" s="89"/>
      <c r="S73" s="89"/>
    </row>
    <row r="74" spans="1:27" x14ac:dyDescent="0.2">
      <c r="A74" s="118">
        <v>43007</v>
      </c>
      <c r="B74" s="96">
        <v>35.590000000000003</v>
      </c>
      <c r="C74" s="96">
        <v>36.86</v>
      </c>
      <c r="D74" s="96">
        <v>38.700000000000003</v>
      </c>
      <c r="E74" s="96">
        <v>144.71</v>
      </c>
      <c r="F74" s="96"/>
      <c r="G74" s="33">
        <v>2519.3596719060702</v>
      </c>
      <c r="H74" s="175">
        <v>17.409713716440258</v>
      </c>
      <c r="I74" s="175"/>
      <c r="J74" s="166">
        <f>A74</f>
        <v>43007</v>
      </c>
      <c r="M74" s="89"/>
      <c r="N74" s="89"/>
      <c r="O74" s="89"/>
      <c r="P74" s="89"/>
      <c r="Q74" s="89"/>
      <c r="R74" s="89"/>
      <c r="S74" s="89"/>
    </row>
    <row r="75" spans="1:27" x14ac:dyDescent="0.2">
      <c r="A75" s="118">
        <v>43098</v>
      </c>
      <c r="B75" s="96">
        <v>35.950000000000003</v>
      </c>
      <c r="C75" s="96">
        <v>37.36</v>
      </c>
      <c r="D75" s="96">
        <v>38.51</v>
      </c>
      <c r="E75" s="96">
        <v>145.80000000000001</v>
      </c>
      <c r="F75" s="96">
        <v>160.03</v>
      </c>
      <c r="G75" s="33">
        <v>2673.6105231517399</v>
      </c>
      <c r="H75" s="175">
        <v>18.337520734922769</v>
      </c>
      <c r="I75" s="175">
        <v>16.706933219719676</v>
      </c>
      <c r="J75" s="166">
        <v>43098</v>
      </c>
      <c r="M75" s="89"/>
      <c r="N75" s="89"/>
      <c r="O75" s="89"/>
      <c r="P75" s="89"/>
      <c r="Q75" s="89"/>
      <c r="R75" s="89"/>
      <c r="S75" s="89"/>
    </row>
    <row r="76" spans="1:27" x14ac:dyDescent="0.2">
      <c r="A76" s="118">
        <v>43188</v>
      </c>
      <c r="B76" s="96">
        <v>38.49</v>
      </c>
      <c r="C76" s="96">
        <v>40.15</v>
      </c>
      <c r="D76" s="96">
        <v>41.84</v>
      </c>
      <c r="E76" s="96">
        <v>156.13</v>
      </c>
      <c r="F76" s="96">
        <v>172.62</v>
      </c>
      <c r="G76" s="33">
        <v>2640.8659903292901</v>
      </c>
      <c r="H76" s="175">
        <v>16.914532699220459</v>
      </c>
      <c r="I76" s="175">
        <v>15.298725468249856</v>
      </c>
      <c r="J76" s="166">
        <v>43188</v>
      </c>
      <c r="M76" s="89"/>
      <c r="N76" s="89"/>
      <c r="O76" s="89"/>
      <c r="P76" s="89"/>
      <c r="Q76" s="89"/>
      <c r="R76" s="89"/>
      <c r="S76" s="89"/>
    </row>
    <row r="77" spans="1:27" x14ac:dyDescent="0.2">
      <c r="A77" s="118">
        <v>43280</v>
      </c>
      <c r="B77" s="96">
        <v>38.65</v>
      </c>
      <c r="C77" s="96">
        <v>40.47</v>
      </c>
      <c r="D77" s="96">
        <v>42.16</v>
      </c>
      <c r="E77" s="96">
        <v>157.82</v>
      </c>
      <c r="F77" s="96">
        <v>175.01</v>
      </c>
      <c r="G77" s="33">
        <v>2716.31</v>
      </c>
      <c r="H77" s="175">
        <v>17.211443416550502</v>
      </c>
      <c r="I77" s="175">
        <v>15.520884520884522</v>
      </c>
      <c r="J77" s="166">
        <v>43280</v>
      </c>
      <c r="M77" s="89"/>
      <c r="N77" s="89"/>
      <c r="O77" s="89"/>
      <c r="P77" s="89"/>
      <c r="Q77" s="89"/>
      <c r="R77" s="89"/>
      <c r="S77" s="89"/>
    </row>
    <row r="78" spans="1:27" x14ac:dyDescent="0.2">
      <c r="A78" s="118" t="s">
        <v>209</v>
      </c>
      <c r="B78" s="96">
        <f>'SECTOR EPS'!AR8</f>
        <v>38.65</v>
      </c>
      <c r="C78" s="96">
        <f>'SECTOR EPS'!AS8</f>
        <v>40.130000000000003</v>
      </c>
      <c r="D78" s="96">
        <f>'SECTOR EPS'!AT8</f>
        <v>42.31</v>
      </c>
      <c r="E78" s="96">
        <f>'SECTOR EPS'!BT8</f>
        <v>157.63</v>
      </c>
      <c r="F78" s="96">
        <f>'SECTOR EPS'!BV8</f>
        <v>176.86</v>
      </c>
      <c r="G78" s="33">
        <f>D105</f>
        <v>2930.75</v>
      </c>
      <c r="H78" s="175">
        <f>G78/E78</f>
        <v>18.592590242974055</v>
      </c>
      <c r="I78" s="175">
        <f>G78/F78</f>
        <v>16.571016623317878</v>
      </c>
      <c r="J78" s="166" t="str">
        <f>A78</f>
        <v>Current</v>
      </c>
      <c r="M78" s="89"/>
      <c r="N78" s="89"/>
      <c r="O78" s="89"/>
      <c r="P78" s="89"/>
      <c r="Q78" s="89"/>
      <c r="R78" s="89"/>
      <c r="S78" s="89"/>
    </row>
    <row r="79" spans="1:27" x14ac:dyDescent="0.2">
      <c r="A79" s="118" t="s">
        <v>437</v>
      </c>
      <c r="B79" s="201">
        <f t="shared" ref="B79:I79" si="6">B78/B77-1</f>
        <v>0</v>
      </c>
      <c r="C79" s="201">
        <f>C78/C77-1</f>
        <v>-8.4012849023967773E-3</v>
      </c>
      <c r="D79" s="201">
        <f t="shared" si="6"/>
        <v>3.5578747628084439E-3</v>
      </c>
      <c r="E79" s="201">
        <f t="shared" si="6"/>
        <v>-1.2039031808389611E-3</v>
      </c>
      <c r="F79" s="201">
        <f t="shared" si="6"/>
        <v>1.0570824524313016E-2</v>
      </c>
      <c r="G79" s="201">
        <f t="shared" si="6"/>
        <v>7.8945333927276318E-2</v>
      </c>
      <c r="H79" s="201">
        <f t="shared" si="6"/>
        <v>8.0245845336565091E-2</v>
      </c>
      <c r="I79" s="201">
        <f t="shared" si="6"/>
        <v>6.765929486945943E-2</v>
      </c>
      <c r="J79" s="166" t="str">
        <f>A79</f>
        <v>Change QTD</v>
      </c>
      <c r="L79" s="166"/>
      <c r="M79" s="89"/>
      <c r="N79" s="89"/>
      <c r="O79" s="89"/>
      <c r="P79" s="89"/>
      <c r="Q79" s="89"/>
      <c r="R79" s="89"/>
    </row>
    <row r="80" spans="1:27" x14ac:dyDescent="0.2">
      <c r="A80" s="118" t="s">
        <v>438</v>
      </c>
      <c r="B80" s="238">
        <f t="shared" ref="B80:I80" si="7">B78/B75-1</f>
        <v>7.5104311543810809E-2</v>
      </c>
      <c r="C80" s="238">
        <f t="shared" si="7"/>
        <v>7.4143468950749636E-2</v>
      </c>
      <c r="D80" s="238">
        <f t="shared" si="7"/>
        <v>9.8675668657491666E-2</v>
      </c>
      <c r="E80" s="238">
        <f t="shared" si="7"/>
        <v>8.1138545953360675E-2</v>
      </c>
      <c r="F80" s="238">
        <f t="shared" si="7"/>
        <v>0.10516778104105495</v>
      </c>
      <c r="G80" s="238">
        <f t="shared" si="7"/>
        <v>9.6176864439153853E-2</v>
      </c>
      <c r="H80" s="238">
        <f t="shared" si="7"/>
        <v>1.3909705228881908E-2</v>
      </c>
      <c r="I80" s="238">
        <f t="shared" si="7"/>
        <v>-8.1353408560568274E-3</v>
      </c>
      <c r="J80" s="166" t="str">
        <f>A80</f>
        <v>Change YTD</v>
      </c>
      <c r="L80" s="166"/>
      <c r="M80" s="89"/>
      <c r="N80" s="89"/>
      <c r="O80" s="89"/>
      <c r="P80" s="89"/>
      <c r="Q80" s="89"/>
      <c r="R80" s="89"/>
    </row>
    <row r="81" spans="1:24" x14ac:dyDescent="0.2">
      <c r="A81" s="118"/>
      <c r="B81" s="238"/>
      <c r="C81" s="238"/>
      <c r="D81" s="238"/>
      <c r="E81" s="238"/>
      <c r="F81" s="238"/>
      <c r="G81" s="238"/>
      <c r="H81" s="238"/>
      <c r="I81" s="238"/>
      <c r="J81" s="238"/>
      <c r="M81" s="166"/>
      <c r="N81" s="89"/>
      <c r="O81" s="89"/>
      <c r="P81" s="89"/>
      <c r="Q81" s="89"/>
      <c r="R81" s="89"/>
      <c r="S81" s="89"/>
    </row>
    <row r="82" spans="1:24" x14ac:dyDescent="0.2">
      <c r="A82" s="118"/>
      <c r="B82" s="238"/>
      <c r="C82" s="238"/>
      <c r="D82" s="238"/>
      <c r="E82" s="238"/>
      <c r="F82" s="238"/>
      <c r="G82" s="238"/>
      <c r="H82" s="238"/>
      <c r="I82" s="238"/>
      <c r="J82" s="238"/>
      <c r="M82" s="166"/>
      <c r="N82" s="89"/>
      <c r="O82" s="89"/>
      <c r="P82" s="89"/>
      <c r="Q82" s="89"/>
      <c r="R82" s="89"/>
      <c r="S82" s="89"/>
    </row>
    <row r="83" spans="1:24" x14ac:dyDescent="0.2">
      <c r="A83" s="166" t="str">
        <f>'BEATS AND SHARES'!A3</f>
        <v>Its started: 8 issue for Q3 2018 have reported, with 7 beating and 1 missing, as 4 of the 8 have beaten on sales</v>
      </c>
      <c r="B83" s="96"/>
      <c r="C83" s="201"/>
      <c r="D83" s="201"/>
      <c r="E83" s="201"/>
      <c r="F83" s="201"/>
      <c r="G83" s="201"/>
      <c r="H83" s="201"/>
      <c r="I83" s="175"/>
      <c r="J83" s="90"/>
      <c r="K83" s="7"/>
      <c r="N83" s="166"/>
      <c r="O83" s="89"/>
      <c r="P83" s="89"/>
      <c r="Q83" s="89"/>
      <c r="R83" s="89"/>
      <c r="S83" s="89"/>
      <c r="T83" s="89"/>
    </row>
    <row r="84" spans="1:24" x14ac:dyDescent="0.2">
      <c r="A84" s="166" t="str">
        <f>'BEATS AND SHARES'!A4</f>
        <v xml:space="preserve">Q2 2018 </v>
      </c>
      <c r="B84" s="166"/>
      <c r="C84" s="246"/>
      <c r="D84" s="200"/>
      <c r="E84" s="96"/>
      <c r="F84" s="33"/>
      <c r="G84" s="33"/>
      <c r="H84" s="168"/>
      <c r="I84" s="175"/>
      <c r="J84" s="90"/>
      <c r="K84" s="7"/>
      <c r="N84" s="89"/>
      <c r="O84" s="89"/>
      <c r="P84" s="89"/>
      <c r="Q84" s="89"/>
      <c r="R84" s="89"/>
      <c r="S84" s="89"/>
      <c r="T84" s="89"/>
    </row>
    <row r="85" spans="1:24" x14ac:dyDescent="0.2">
      <c r="A85" s="166" t="str">
        <f>'BEATS AND SHARES'!A5</f>
        <v xml:space="preserve">Of the 499 issues (505 in the index) with full operating comparative data </v>
      </c>
      <c r="B85" s="96"/>
      <c r="C85" s="96"/>
      <c r="D85" s="96"/>
      <c r="E85" s="96"/>
      <c r="F85" s="96"/>
      <c r="G85" s="96"/>
      <c r="H85" s="96"/>
      <c r="I85" s="96"/>
      <c r="J85" s="33"/>
      <c r="K85" s="103"/>
      <c r="L85" s="95"/>
      <c r="M85" s="92"/>
      <c r="N85" s="90"/>
      <c r="O85" s="7"/>
      <c r="R85" s="89"/>
      <c r="S85" s="89"/>
      <c r="T85" s="89"/>
      <c r="U85" s="89"/>
      <c r="V85" s="89"/>
      <c r="W85" s="89"/>
      <c r="X85" s="89"/>
    </row>
    <row r="86" spans="1:24" x14ac:dyDescent="0.2">
      <c r="A86" s="166" t="str">
        <f>'BEATS AND SHARES'!A6</f>
        <v>399 beat, 74 missed, and 26 met their estimates; 365 of 496 (73.6%) beat on sales</v>
      </c>
      <c r="B86" s="96"/>
      <c r="C86" s="96"/>
      <c r="D86" s="96"/>
      <c r="E86" s="96"/>
      <c r="F86" s="96"/>
      <c r="G86" s="96"/>
      <c r="H86" s="96"/>
      <c r="I86" s="96"/>
      <c r="J86" s="33"/>
      <c r="K86" s="103"/>
      <c r="L86" s="95"/>
      <c r="M86" s="92"/>
      <c r="N86" s="90"/>
      <c r="O86" s="7"/>
      <c r="R86" s="89"/>
      <c r="S86" s="89"/>
      <c r="T86" s="89"/>
      <c r="U86" s="89"/>
      <c r="V86" s="89"/>
      <c r="W86" s="89"/>
      <c r="X86" s="89"/>
    </row>
    <row r="87" spans="1:24" x14ac:dyDescent="0.2">
      <c r="A87" s="80"/>
      <c r="B87" s="80"/>
      <c r="C87" s="79" t="str">
        <f>'BEATS AND SHARES'!B427</f>
        <v xml:space="preserve">    ------------- ISSUES --------------------</v>
      </c>
      <c r="D87" s="79"/>
      <c r="E87" s="79"/>
      <c r="F87" s="79"/>
      <c r="G87" s="79"/>
      <c r="H87" s="79" t="str">
        <f>'BEATS AND SHARES'!G427</f>
        <v xml:space="preserve">  ----------- PERCENTAGE --------------------</v>
      </c>
      <c r="I87" s="79"/>
      <c r="J87" s="79"/>
      <c r="K87" s="79"/>
      <c r="N87" s="89"/>
      <c r="O87" s="89"/>
      <c r="P87" s="134"/>
      <c r="Q87" s="89"/>
      <c r="R87" s="89"/>
      <c r="S87" s="89"/>
      <c r="T87" s="89"/>
    </row>
    <row r="88" spans="1:24" x14ac:dyDescent="0.2">
      <c r="A88" s="80" t="str">
        <f>'BEATS AND SHARES'!A428</f>
        <v>SECTOR</v>
      </c>
      <c r="B88" s="80"/>
      <c r="C88" s="78" t="str">
        <f>'BEATS AND SHARES'!B428</f>
        <v>REPORTED</v>
      </c>
      <c r="D88" s="78" t="str">
        <f>'BEATS AND SHARES'!C428</f>
        <v>BEAT</v>
      </c>
      <c r="E88" s="78" t="str">
        <f>'BEATS AND SHARES'!D428</f>
        <v>MISSED</v>
      </c>
      <c r="F88" s="78" t="str">
        <f>'BEATS AND SHARES'!E428</f>
        <v>MET</v>
      </c>
      <c r="G88" s="81"/>
      <c r="H88" s="81" t="str">
        <f>'BEATS AND SHARES'!G428</f>
        <v>REPORTED</v>
      </c>
      <c r="I88" s="81" t="str">
        <f>'BEATS AND SHARES'!H428</f>
        <v>BEAT</v>
      </c>
      <c r="J88" s="81" t="str">
        <f>'BEATS AND SHARES'!I428</f>
        <v>MISSED</v>
      </c>
      <c r="K88" s="81" t="str">
        <f>'BEATS AND SHARES'!J428</f>
        <v>MET</v>
      </c>
      <c r="N88" s="89"/>
      <c r="O88" s="89"/>
      <c r="P88" s="89"/>
      <c r="Q88" s="89"/>
      <c r="R88" s="89"/>
      <c r="S88" s="89"/>
      <c r="T88" s="89"/>
    </row>
    <row r="89" spans="1:24" x14ac:dyDescent="0.2">
      <c r="A89" s="80" t="str">
        <f>'BEATS AND SHARES'!A9</f>
        <v xml:space="preserve">Energy </v>
      </c>
      <c r="B89" s="80"/>
      <c r="C89" s="119">
        <f>'BEATS AND SHARES'!B9</f>
        <v>31</v>
      </c>
      <c r="D89" s="119">
        <f>'BEATS AND SHARES'!C9</f>
        <v>13</v>
      </c>
      <c r="E89" s="119">
        <f>'BEATS AND SHARES'!D9</f>
        <v>16</v>
      </c>
      <c r="F89" s="119">
        <f>'BEATS AND SHARES'!E9</f>
        <v>2</v>
      </c>
      <c r="G89" s="119"/>
      <c r="H89" s="121">
        <f>'BEATS AND SHARES'!G9</f>
        <v>1</v>
      </c>
      <c r="I89" s="121">
        <f>'BEATS AND SHARES'!H9</f>
        <v>0.41935483870967744</v>
      </c>
      <c r="J89" s="121">
        <f>'BEATS AND SHARES'!I9</f>
        <v>0.5161290322580645</v>
      </c>
      <c r="K89" s="121">
        <f>'BEATS AND SHARES'!J9</f>
        <v>6.4516129032258063E-2</v>
      </c>
      <c r="N89" s="89"/>
      <c r="O89" s="89"/>
      <c r="P89" s="89"/>
      <c r="Q89" s="89"/>
      <c r="R89" s="89"/>
      <c r="S89" s="89"/>
      <c r="T89" s="89"/>
    </row>
    <row r="90" spans="1:24" x14ac:dyDescent="0.2">
      <c r="A90" s="80" t="str">
        <f>'BEATS AND SHARES'!A10</f>
        <v xml:space="preserve">Materials  </v>
      </c>
      <c r="B90" s="80"/>
      <c r="C90" s="119">
        <f>'BEATS AND SHARES'!B10</f>
        <v>24</v>
      </c>
      <c r="D90" s="119">
        <f>'BEATS AND SHARES'!C10</f>
        <v>20</v>
      </c>
      <c r="E90" s="119">
        <f>'BEATS AND SHARES'!D10</f>
        <v>2</v>
      </c>
      <c r="F90" s="119">
        <f>'BEATS AND SHARES'!E10</f>
        <v>2</v>
      </c>
      <c r="G90" s="119"/>
      <c r="H90" s="121">
        <f>'BEATS AND SHARES'!G10</f>
        <v>1</v>
      </c>
      <c r="I90" s="121">
        <f>'BEATS AND SHARES'!H10</f>
        <v>0.83333333333333337</v>
      </c>
      <c r="J90" s="121">
        <f>'BEATS AND SHARES'!I10</f>
        <v>8.3333333333333329E-2</v>
      </c>
      <c r="K90" s="121">
        <f>'BEATS AND SHARES'!J10</f>
        <v>8.3333333333333329E-2</v>
      </c>
      <c r="N90" s="89"/>
      <c r="O90" s="89"/>
      <c r="P90" s="89"/>
      <c r="Q90" s="89"/>
      <c r="R90" s="89"/>
      <c r="S90" s="89"/>
      <c r="T90" s="89"/>
    </row>
    <row r="91" spans="1:24" x14ac:dyDescent="0.2">
      <c r="A91" s="80" t="str">
        <f>'BEATS AND SHARES'!A11</f>
        <v xml:space="preserve">Industrials </v>
      </c>
      <c r="B91" s="80"/>
      <c r="C91" s="119">
        <f>'BEATS AND SHARES'!B11</f>
        <v>69</v>
      </c>
      <c r="D91" s="119">
        <f>'BEATS AND SHARES'!C11</f>
        <v>57</v>
      </c>
      <c r="E91" s="119">
        <f>'BEATS AND SHARES'!D11</f>
        <v>10</v>
      </c>
      <c r="F91" s="119">
        <f>'BEATS AND SHARES'!E11</f>
        <v>2</v>
      </c>
      <c r="G91" s="119"/>
      <c r="H91" s="121">
        <f>'BEATS AND SHARES'!G11</f>
        <v>1</v>
      </c>
      <c r="I91" s="121">
        <f>'BEATS AND SHARES'!H11</f>
        <v>0.82608695652173914</v>
      </c>
      <c r="J91" s="121">
        <f>'BEATS AND SHARES'!I11</f>
        <v>0.14492753623188406</v>
      </c>
      <c r="K91" s="121">
        <f>'BEATS AND SHARES'!J11</f>
        <v>2.8985507246376812E-2</v>
      </c>
      <c r="N91" s="89"/>
      <c r="O91" s="89"/>
      <c r="P91" s="89"/>
      <c r="Q91" s="89"/>
      <c r="R91" s="89"/>
      <c r="S91" s="89"/>
      <c r="T91" s="89"/>
    </row>
    <row r="92" spans="1:24" x14ac:dyDescent="0.2">
      <c r="A92" s="80" t="str">
        <f>'BEATS AND SHARES'!A12</f>
        <v>Consumer Discretionary</v>
      </c>
      <c r="B92" s="80"/>
      <c r="C92" s="119">
        <f>'BEATS AND SHARES'!B12</f>
        <v>79</v>
      </c>
      <c r="D92" s="119">
        <f>'BEATS AND SHARES'!C12</f>
        <v>64</v>
      </c>
      <c r="E92" s="119">
        <f>'BEATS AND SHARES'!D12</f>
        <v>12</v>
      </c>
      <c r="F92" s="119">
        <f>'BEATS AND SHARES'!E12</f>
        <v>3</v>
      </c>
      <c r="G92" s="119"/>
      <c r="H92" s="121">
        <f>'BEATS AND SHARES'!G12</f>
        <v>0.98750000000000004</v>
      </c>
      <c r="I92" s="121">
        <f>'BEATS AND SHARES'!H12</f>
        <v>0.810126582278481</v>
      </c>
      <c r="J92" s="121">
        <f>'BEATS AND SHARES'!I12</f>
        <v>0.15189873417721519</v>
      </c>
      <c r="K92" s="121">
        <f>'BEATS AND SHARES'!J12</f>
        <v>3.7974683544303799E-2</v>
      </c>
      <c r="N92" s="89"/>
      <c r="O92" s="89"/>
      <c r="P92" s="89"/>
      <c r="Q92" s="89"/>
      <c r="R92" s="89"/>
      <c r="S92" s="89"/>
      <c r="T92" s="89"/>
    </row>
    <row r="93" spans="1:24" x14ac:dyDescent="0.2">
      <c r="A93" s="80" t="str">
        <f>'BEATS AND SHARES'!A13</f>
        <v>Consumer Staples</v>
      </c>
      <c r="B93" s="80"/>
      <c r="C93" s="119">
        <f>'BEATS AND SHARES'!B13</f>
        <v>32</v>
      </c>
      <c r="D93" s="119">
        <f>'BEATS AND SHARES'!C13</f>
        <v>29</v>
      </c>
      <c r="E93" s="119">
        <f>'BEATS AND SHARES'!D13</f>
        <v>1</v>
      </c>
      <c r="F93" s="119">
        <f>'BEATS AND SHARES'!E13</f>
        <v>2</v>
      </c>
      <c r="G93" s="119"/>
      <c r="H93" s="121">
        <f>'BEATS AND SHARES'!G13</f>
        <v>0.96969696969696972</v>
      </c>
      <c r="I93" s="121">
        <f>'BEATS AND SHARES'!H13</f>
        <v>0.90625</v>
      </c>
      <c r="J93" s="121">
        <f>'BEATS AND SHARES'!I13</f>
        <v>3.125E-2</v>
      </c>
      <c r="K93" s="121">
        <f>'BEATS AND SHARES'!J13</f>
        <v>6.25E-2</v>
      </c>
      <c r="N93" s="89"/>
      <c r="O93" s="89"/>
      <c r="P93" s="89"/>
      <c r="Q93" s="89"/>
      <c r="R93" s="89"/>
      <c r="S93" s="89"/>
      <c r="T93" s="89"/>
    </row>
    <row r="94" spans="1:24" x14ac:dyDescent="0.2">
      <c r="A94" s="80" t="str">
        <f>'BEATS AND SHARES'!A14</f>
        <v>Health Care</v>
      </c>
      <c r="B94" s="80"/>
      <c r="C94" s="119">
        <f>'BEATS AND SHARES'!B14</f>
        <v>63</v>
      </c>
      <c r="D94" s="119">
        <f>'BEATS AND SHARES'!C14</f>
        <v>58</v>
      </c>
      <c r="E94" s="119">
        <f>'BEATS AND SHARES'!D14</f>
        <v>3</v>
      </c>
      <c r="F94" s="119">
        <f>'BEATS AND SHARES'!E14</f>
        <v>2</v>
      </c>
      <c r="G94" s="119"/>
      <c r="H94" s="121">
        <f>'BEATS AND SHARES'!G14</f>
        <v>1</v>
      </c>
      <c r="I94" s="121">
        <f>'BEATS AND SHARES'!H14</f>
        <v>0.92063492063492058</v>
      </c>
      <c r="J94" s="121">
        <f>'BEATS AND SHARES'!I14</f>
        <v>4.7619047619047616E-2</v>
      </c>
      <c r="K94" s="121">
        <f>'BEATS AND SHARES'!J14</f>
        <v>3.1746031746031744E-2</v>
      </c>
      <c r="N94" s="89"/>
      <c r="O94" s="89"/>
      <c r="P94" s="89"/>
      <c r="Q94" s="89"/>
      <c r="R94" s="89"/>
      <c r="S94" s="89"/>
      <c r="T94" s="89"/>
    </row>
    <row r="95" spans="1:24" x14ac:dyDescent="0.2">
      <c r="A95" s="80" t="str">
        <f>'BEATS AND SHARES'!A15</f>
        <v xml:space="preserve">Financials </v>
      </c>
      <c r="B95" s="80"/>
      <c r="C95" s="119">
        <f>'BEATS AND SHARES'!B15</f>
        <v>66</v>
      </c>
      <c r="D95" s="119">
        <f>'BEATS AND SHARES'!C15</f>
        <v>49</v>
      </c>
      <c r="E95" s="119">
        <f>'BEATS AND SHARES'!D15</f>
        <v>12</v>
      </c>
      <c r="F95" s="119">
        <f>'BEATS AND SHARES'!E15</f>
        <v>5</v>
      </c>
      <c r="G95" s="119"/>
      <c r="H95" s="121">
        <f>'BEATS AND SHARES'!G15</f>
        <v>0.97058823529411764</v>
      </c>
      <c r="I95" s="121">
        <f>'BEATS AND SHARES'!H15</f>
        <v>0.74242424242424243</v>
      </c>
      <c r="J95" s="121">
        <f>'BEATS AND SHARES'!I15</f>
        <v>0.18181818181818182</v>
      </c>
      <c r="K95" s="121">
        <f>'BEATS AND SHARES'!J15</f>
        <v>7.575757575757576E-2</v>
      </c>
      <c r="N95" s="89"/>
      <c r="O95" s="89"/>
      <c r="P95" s="89"/>
      <c r="Q95" s="89"/>
      <c r="R95" s="89"/>
      <c r="S95" s="89"/>
      <c r="T95" s="89"/>
    </row>
    <row r="96" spans="1:24" x14ac:dyDescent="0.2">
      <c r="A96" s="80" t="str">
        <f>'BEATS AND SHARES'!A16</f>
        <v xml:space="preserve">Information Technology  </v>
      </c>
      <c r="B96" s="80"/>
      <c r="C96" s="119">
        <f>'BEATS AND SHARES'!B16</f>
        <v>71</v>
      </c>
      <c r="D96" s="119">
        <f>'BEATS AND SHARES'!C16</f>
        <v>65</v>
      </c>
      <c r="E96" s="119">
        <f>'BEATS AND SHARES'!D16</f>
        <v>5</v>
      </c>
      <c r="F96" s="119">
        <f>'BEATS AND SHARES'!E16</f>
        <v>1</v>
      </c>
      <c r="G96" s="119"/>
      <c r="H96" s="121">
        <f>'BEATS AND SHARES'!G16</f>
        <v>0.98611111111111116</v>
      </c>
      <c r="I96" s="121">
        <f>'BEATS AND SHARES'!H16</f>
        <v>0.91549295774647887</v>
      </c>
      <c r="J96" s="121">
        <f>'BEATS AND SHARES'!I16</f>
        <v>7.0422535211267609E-2</v>
      </c>
      <c r="K96" s="121">
        <f>'BEATS AND SHARES'!J16</f>
        <v>1.4084507042253521E-2</v>
      </c>
      <c r="N96" s="142"/>
      <c r="O96" s="142"/>
      <c r="P96" s="89"/>
      <c r="Q96" s="89"/>
      <c r="R96" s="89"/>
      <c r="S96" s="89"/>
      <c r="T96" s="89"/>
    </row>
    <row r="97" spans="1:20" x14ac:dyDescent="0.2">
      <c r="A97" s="80" t="str">
        <f>'BEATS AND SHARES'!A17</f>
        <v xml:space="preserve">Telecommunication Services  </v>
      </c>
      <c r="B97" s="80"/>
      <c r="C97" s="119">
        <f>'BEATS AND SHARES'!B17</f>
        <v>3</v>
      </c>
      <c r="D97" s="119">
        <f>'BEATS AND SHARES'!C17</f>
        <v>2</v>
      </c>
      <c r="E97" s="119">
        <f>'BEATS AND SHARES'!D17</f>
        <v>1</v>
      </c>
      <c r="F97" s="119">
        <f>'BEATS AND SHARES'!E17</f>
        <v>0</v>
      </c>
      <c r="G97" s="119"/>
      <c r="H97" s="121">
        <f>'BEATS AND SHARES'!G17</f>
        <v>1</v>
      </c>
      <c r="I97" s="121">
        <f>'BEATS AND SHARES'!H17</f>
        <v>0.66666666666666663</v>
      </c>
      <c r="J97" s="121">
        <f>'BEATS AND SHARES'!I17</f>
        <v>0.33333333333333331</v>
      </c>
      <c r="K97" s="121">
        <f>'BEATS AND SHARES'!J17</f>
        <v>0</v>
      </c>
      <c r="N97" s="142"/>
      <c r="O97" s="142"/>
      <c r="P97" s="142"/>
      <c r="Q97" s="142"/>
      <c r="R97" s="142"/>
      <c r="S97" s="89"/>
      <c r="T97" s="89"/>
    </row>
    <row r="98" spans="1:20" x14ac:dyDescent="0.2">
      <c r="A98" s="80" t="str">
        <f>'BEATS AND SHARES'!A18</f>
        <v xml:space="preserve">Utilities  </v>
      </c>
      <c r="B98" s="80"/>
      <c r="C98" s="119">
        <f>'BEATS AND SHARES'!B18</f>
        <v>29</v>
      </c>
      <c r="D98" s="119">
        <f>'BEATS AND SHARES'!C18</f>
        <v>21</v>
      </c>
      <c r="E98" s="119">
        <f>'BEATS AND SHARES'!D18</f>
        <v>5</v>
      </c>
      <c r="F98" s="119">
        <f>'BEATS AND SHARES'!E18</f>
        <v>3</v>
      </c>
      <c r="G98" s="119"/>
      <c r="H98" s="121">
        <f>'BEATS AND SHARES'!G18</f>
        <v>1</v>
      </c>
      <c r="I98" s="121">
        <f>'BEATS AND SHARES'!H18</f>
        <v>0.72413793103448276</v>
      </c>
      <c r="J98" s="121">
        <f>'BEATS AND SHARES'!I18</f>
        <v>0.17241379310344829</v>
      </c>
      <c r="K98" s="121">
        <f>'BEATS AND SHARES'!J18</f>
        <v>0.10344827586206896</v>
      </c>
      <c r="M98" s="87"/>
      <c r="N98" s="142"/>
      <c r="O98" s="142"/>
      <c r="P98" s="142"/>
      <c r="Q98" s="142"/>
      <c r="R98" s="142"/>
      <c r="S98" s="89"/>
      <c r="T98" s="89"/>
    </row>
    <row r="99" spans="1:20" x14ac:dyDescent="0.2">
      <c r="A99" s="80" t="str">
        <f>'BEATS AND SHARES'!A19</f>
        <v>Real Estate</v>
      </c>
      <c r="B99" s="80"/>
      <c r="C99" s="119">
        <f>'BEATS AND SHARES'!B19</f>
        <v>32</v>
      </c>
      <c r="D99" s="119">
        <f>'BEATS AND SHARES'!C19</f>
        <v>21</v>
      </c>
      <c r="E99" s="119">
        <f>'BEATS AND SHARES'!D19</f>
        <v>7</v>
      </c>
      <c r="F99" s="119">
        <f>'BEATS AND SHARES'!E19</f>
        <v>4</v>
      </c>
      <c r="G99" s="119"/>
      <c r="H99" s="121">
        <f>'BEATS AND SHARES'!G19</f>
        <v>0.96969696969696972</v>
      </c>
      <c r="I99" s="121">
        <f>'BEATS AND SHARES'!H19</f>
        <v>0.65625</v>
      </c>
      <c r="J99" s="121">
        <f>'BEATS AND SHARES'!I19</f>
        <v>0.21875</v>
      </c>
      <c r="K99" s="121">
        <f>'BEATS AND SHARES'!J19</f>
        <v>0.125</v>
      </c>
      <c r="M99" s="87"/>
      <c r="N99" s="142"/>
      <c r="O99" s="142"/>
      <c r="P99" s="142"/>
      <c r="Q99" s="142"/>
      <c r="R99" s="142"/>
      <c r="S99" s="89"/>
      <c r="T99" s="89"/>
    </row>
    <row r="100" spans="1:20" x14ac:dyDescent="0.2">
      <c r="A100" s="80" t="str">
        <f>'BEATS AND SHARES'!A20</f>
        <v>S&amp;P 500</v>
      </c>
      <c r="B100" s="80"/>
      <c r="C100" s="119">
        <f>'BEATS AND SHARES'!B20</f>
        <v>499</v>
      </c>
      <c r="D100" s="119">
        <f>'BEATS AND SHARES'!C20</f>
        <v>399</v>
      </c>
      <c r="E100" s="119">
        <f>'BEATS AND SHARES'!D20</f>
        <v>74</v>
      </c>
      <c r="F100" s="119">
        <f>'BEATS AND SHARES'!E20</f>
        <v>26</v>
      </c>
      <c r="G100" s="120"/>
      <c r="H100" s="121">
        <f>'BEATS AND SHARES'!G20</f>
        <v>0.98811881188118811</v>
      </c>
      <c r="I100" s="121">
        <f>'BEATS AND SHARES'!H20</f>
        <v>0.79959919839679361</v>
      </c>
      <c r="J100" s="121">
        <f>'BEATS AND SHARES'!I20</f>
        <v>0.14829659318637275</v>
      </c>
      <c r="K100" s="121">
        <f>'BEATS AND SHARES'!J20</f>
        <v>5.2104208416833664E-2</v>
      </c>
      <c r="M100" s="87"/>
      <c r="N100" s="142"/>
      <c r="O100" s="142"/>
      <c r="P100" s="142"/>
      <c r="Q100" s="142"/>
      <c r="R100" s="142"/>
      <c r="S100" s="89"/>
      <c r="T100" s="89"/>
    </row>
    <row r="101" spans="1:20" x14ac:dyDescent="0.2">
      <c r="A101" s="80"/>
      <c r="B101" s="80"/>
      <c r="C101" s="119"/>
      <c r="D101" s="119"/>
      <c r="E101" s="119"/>
      <c r="F101" s="119"/>
      <c r="G101" s="120"/>
      <c r="H101" s="121"/>
      <c r="I101" s="121"/>
      <c r="J101" s="121"/>
      <c r="K101" s="121"/>
      <c r="M101" s="87"/>
      <c r="N101" s="142"/>
      <c r="O101" s="142"/>
      <c r="P101" s="142"/>
      <c r="Q101" s="142"/>
      <c r="R101" s="142"/>
      <c r="S101" s="89"/>
      <c r="T101" s="89"/>
    </row>
    <row r="102" spans="1:20" x14ac:dyDescent="0.2">
      <c r="A102" s="80"/>
      <c r="B102" s="80"/>
      <c r="C102" s="119"/>
      <c r="D102" s="119"/>
      <c r="E102" s="119"/>
      <c r="F102" s="119"/>
      <c r="G102" s="120"/>
      <c r="H102" s="121"/>
      <c r="I102" s="121"/>
      <c r="J102" s="121"/>
      <c r="K102" s="121"/>
      <c r="M102" s="87"/>
      <c r="N102" s="142"/>
      <c r="O102" s="142"/>
      <c r="P102" s="142"/>
      <c r="Q102" s="142"/>
      <c r="R102" s="142"/>
      <c r="S102" s="89"/>
      <c r="T102" s="89"/>
    </row>
    <row r="103" spans="1:20" x14ac:dyDescent="0.2">
      <c r="A103" s="80"/>
      <c r="B103" s="80"/>
      <c r="C103" s="119"/>
      <c r="D103" s="119"/>
      <c r="E103" s="119"/>
      <c r="F103" s="179"/>
      <c r="G103" s="180"/>
      <c r="H103" s="179"/>
      <c r="I103" s="179"/>
      <c r="J103" s="179"/>
      <c r="K103" s="179"/>
      <c r="L103" s="58"/>
      <c r="M103" s="58"/>
      <c r="N103" s="142"/>
      <c r="O103" s="142"/>
      <c r="P103" s="142"/>
      <c r="Q103" s="142"/>
      <c r="R103" s="142"/>
      <c r="S103" s="89"/>
      <c r="T103" s="89"/>
    </row>
    <row r="104" spans="1:20" x14ac:dyDescent="0.2">
      <c r="A104" s="5" t="s">
        <v>5</v>
      </c>
      <c r="B104" s="22"/>
      <c r="C104" s="22"/>
      <c r="D104" s="36">
        <f>'SECTOR EPS'!B2</f>
        <v>43363</v>
      </c>
      <c r="E104" s="171"/>
      <c r="F104" s="171"/>
      <c r="G104" s="171"/>
      <c r="H104" s="171"/>
      <c r="I104" s="171"/>
      <c r="J104" s="171"/>
    </row>
    <row r="105" spans="1:20" x14ac:dyDescent="0.2">
      <c r="A105" s="3" t="s">
        <v>6</v>
      </c>
      <c r="B105" s="1"/>
      <c r="C105" s="1"/>
      <c r="D105" s="14">
        <f>'SECTOR EPS'!B8</f>
        <v>2930.75</v>
      </c>
      <c r="E105" s="171"/>
      <c r="F105" s="171"/>
      <c r="G105" s="171"/>
      <c r="H105" s="171"/>
      <c r="I105" s="171"/>
      <c r="J105" s="171"/>
    </row>
    <row r="106" spans="1:20" x14ac:dyDescent="0.2">
      <c r="A106" s="115" t="s">
        <v>465</v>
      </c>
      <c r="B106" s="1"/>
      <c r="C106" s="1"/>
      <c r="D106" s="15">
        <f>(51.547)/D105</f>
        <v>1.7588330632090761E-2</v>
      </c>
      <c r="E106" s="171"/>
      <c r="F106" s="171"/>
      <c r="G106" s="171"/>
      <c r="H106" s="171"/>
      <c r="I106" s="171"/>
      <c r="J106" s="171"/>
      <c r="K106" s="171"/>
      <c r="L106" s="171"/>
    </row>
    <row r="107" spans="1:20" x14ac:dyDescent="0.2">
      <c r="A107" s="1" t="s">
        <v>199</v>
      </c>
      <c r="B107" s="1"/>
      <c r="C107" s="1"/>
      <c r="D107" s="15">
        <f>54.681/D105</f>
        <v>1.8657681480849612E-2</v>
      </c>
      <c r="E107" s="171"/>
      <c r="F107" s="171"/>
      <c r="G107" s="171"/>
      <c r="H107" s="171"/>
      <c r="I107" s="171"/>
      <c r="J107" s="171"/>
    </row>
    <row r="108" spans="1:20" x14ac:dyDescent="0.2">
      <c r="A108" s="1"/>
      <c r="B108" s="1"/>
      <c r="C108" s="1"/>
      <c r="D108" s="14"/>
      <c r="E108" s="230"/>
      <c r="F108" s="171"/>
      <c r="G108" s="171"/>
      <c r="H108" s="171"/>
      <c r="I108" s="171"/>
      <c r="J108" s="231"/>
      <c r="K108" s="58"/>
      <c r="L108" s="58"/>
      <c r="S108" s="89"/>
      <c r="T108" s="89"/>
    </row>
    <row r="109" spans="1:20" x14ac:dyDescent="0.2">
      <c r="A109" s="20" t="s">
        <v>17</v>
      </c>
      <c r="B109" s="18"/>
      <c r="C109" s="19" t="s">
        <v>15</v>
      </c>
      <c r="D109" s="19" t="s">
        <v>10</v>
      </c>
      <c r="E109" s="19"/>
      <c r="F109" s="19" t="s">
        <v>15</v>
      </c>
      <c r="G109" s="19" t="s">
        <v>10</v>
      </c>
      <c r="H109" s="42"/>
      <c r="I109" s="79" t="s">
        <v>240</v>
      </c>
      <c r="J109" s="79"/>
      <c r="K109" s="79"/>
    </row>
    <row r="110" spans="1:20" x14ac:dyDescent="0.2">
      <c r="A110" s="20" t="s">
        <v>11</v>
      </c>
      <c r="B110" s="18"/>
      <c r="C110" s="19" t="s">
        <v>16</v>
      </c>
      <c r="D110" s="19" t="s">
        <v>16</v>
      </c>
      <c r="E110" s="19"/>
      <c r="F110" s="19" t="s">
        <v>16</v>
      </c>
      <c r="G110" s="19" t="s">
        <v>16</v>
      </c>
      <c r="H110" s="42"/>
      <c r="I110" s="60" t="s">
        <v>15</v>
      </c>
      <c r="J110" s="60" t="s">
        <v>10</v>
      </c>
      <c r="K110" s="60"/>
    </row>
    <row r="111" spans="1:20" x14ac:dyDescent="0.2">
      <c r="A111" s="20"/>
      <c r="B111" s="21" t="s">
        <v>1</v>
      </c>
      <c r="C111" s="19" t="s">
        <v>14</v>
      </c>
      <c r="D111" s="19" t="s">
        <v>14</v>
      </c>
      <c r="E111" s="19"/>
      <c r="F111" s="19" t="s">
        <v>9</v>
      </c>
      <c r="G111" s="19" t="s">
        <v>9</v>
      </c>
      <c r="H111" s="42"/>
      <c r="I111" s="60" t="s">
        <v>16</v>
      </c>
      <c r="J111" s="60" t="s">
        <v>16</v>
      </c>
      <c r="K111" s="60"/>
    </row>
    <row r="112" spans="1:20" ht="9.75" customHeight="1" x14ac:dyDescent="0.2">
      <c r="A112" s="20"/>
      <c r="B112" s="19" t="s">
        <v>3</v>
      </c>
      <c r="C112" s="19" t="s">
        <v>12</v>
      </c>
      <c r="D112" s="19" t="s">
        <v>12</v>
      </c>
      <c r="E112" s="19"/>
      <c r="F112" s="19" t="s">
        <v>12</v>
      </c>
      <c r="G112" s="19" t="s">
        <v>12</v>
      </c>
      <c r="H112" s="42"/>
      <c r="I112" s="60" t="s">
        <v>12</v>
      </c>
      <c r="J112" s="60" t="s">
        <v>12</v>
      </c>
      <c r="K112" s="60"/>
    </row>
    <row r="113" spans="1:12" x14ac:dyDescent="0.2">
      <c r="A113" s="20"/>
      <c r="B113" s="22"/>
      <c r="C113" s="19" t="s">
        <v>13</v>
      </c>
      <c r="D113" s="60" t="s">
        <v>239</v>
      </c>
      <c r="E113" s="19"/>
      <c r="F113" s="19" t="s">
        <v>13</v>
      </c>
      <c r="G113" s="84" t="s">
        <v>239</v>
      </c>
      <c r="H113" s="42"/>
      <c r="I113" s="60" t="s">
        <v>13</v>
      </c>
      <c r="J113" s="84" t="s">
        <v>13</v>
      </c>
      <c r="K113" s="84"/>
      <c r="L113" s="99"/>
    </row>
    <row r="114" spans="1:12" x14ac:dyDescent="0.2">
      <c r="A114" s="7" t="s">
        <v>24</v>
      </c>
      <c r="B114" s="87"/>
      <c r="C114" s="87"/>
      <c r="D114" s="87"/>
      <c r="E114" s="87"/>
      <c r="F114" s="87"/>
      <c r="G114" s="87"/>
      <c r="H114" s="56"/>
      <c r="I114" s="58"/>
      <c r="J114" s="58"/>
      <c r="K114" s="84"/>
    </row>
    <row r="115" spans="1:12" x14ac:dyDescent="0.2">
      <c r="A115" s="32" t="s">
        <v>427</v>
      </c>
      <c r="B115" s="87"/>
      <c r="C115" s="64">
        <f>'SECTOR EPS'!AX8</f>
        <v>47.01</v>
      </c>
      <c r="D115" s="58">
        <v>43.470965618558743</v>
      </c>
      <c r="E115" s="87"/>
      <c r="F115" s="87">
        <f>D105/I115</f>
        <v>16.571016623317878</v>
      </c>
      <c r="G115" s="87">
        <f>D105/J115</f>
        <v>17.932332937105116</v>
      </c>
      <c r="H115" s="56"/>
      <c r="I115" s="58">
        <f t="shared" ref="I115:J117" si="8">SUM(C115:C118)</f>
        <v>176.86</v>
      </c>
      <c r="J115" s="58">
        <f t="shared" si="8"/>
        <v>163.4338382116344</v>
      </c>
      <c r="K115" s="84"/>
    </row>
    <row r="116" spans="1:12" x14ac:dyDescent="0.2">
      <c r="A116" s="32" t="s">
        <v>422</v>
      </c>
      <c r="B116" s="87"/>
      <c r="C116" s="64">
        <f>'SECTOR EPS'!AW8</f>
        <v>44.96</v>
      </c>
      <c r="D116" s="58">
        <v>41.747833094915372</v>
      </c>
      <c r="E116" s="87"/>
      <c r="F116" s="87">
        <f>D105/I116</f>
        <v>17.023408457249069</v>
      </c>
      <c r="G116" s="87">
        <f>D105/J116</f>
        <v>18.422053845642139</v>
      </c>
      <c r="H116" s="56"/>
      <c r="I116" s="58">
        <f t="shared" si="8"/>
        <v>172.16000000000003</v>
      </c>
      <c r="J116" s="58">
        <f t="shared" si="8"/>
        <v>159.08921038645693</v>
      </c>
      <c r="K116" s="84"/>
    </row>
    <row r="117" spans="1:12" x14ac:dyDescent="0.2">
      <c r="A117" s="32" t="s">
        <v>421</v>
      </c>
      <c r="B117" s="87"/>
      <c r="C117" s="64">
        <f>'SECTOR EPS'!AV8</f>
        <v>43.81</v>
      </c>
      <c r="D117" s="58">
        <v>40.322376651969392</v>
      </c>
      <c r="E117" s="248"/>
      <c r="F117" s="87">
        <f>D105/I117</f>
        <v>17.514791131297436</v>
      </c>
      <c r="G117" s="87">
        <f>D105/J117</f>
        <v>19.011130295304238</v>
      </c>
      <c r="H117" s="56"/>
      <c r="I117" s="58">
        <f t="shared" si="8"/>
        <v>167.33</v>
      </c>
      <c r="J117" s="58">
        <f t="shared" si="8"/>
        <v>154.15969247887892</v>
      </c>
      <c r="K117" s="84"/>
    </row>
    <row r="118" spans="1:12" x14ac:dyDescent="0.2">
      <c r="A118" s="32" t="s">
        <v>420</v>
      </c>
      <c r="B118" s="87"/>
      <c r="C118" s="64">
        <f>'SECTOR EPS'!AU8</f>
        <v>41.08</v>
      </c>
      <c r="D118" s="58">
        <v>37.892662846190895</v>
      </c>
      <c r="E118" s="87"/>
      <c r="F118" s="87">
        <f>D105/I118</f>
        <v>18.072084849232287</v>
      </c>
      <c r="G118" s="87">
        <f>D105/J118</f>
        <v>19.817453468627509</v>
      </c>
      <c r="H118" s="56"/>
      <c r="I118" s="58">
        <f>SUM(C118:C121)</f>
        <v>162.17000000000002</v>
      </c>
      <c r="J118" s="58">
        <f>SUM(D118:D121)</f>
        <v>147.88731582690951</v>
      </c>
      <c r="K118" s="84"/>
    </row>
    <row r="119" spans="1:12" x14ac:dyDescent="0.2">
      <c r="A119" s="32" t="s">
        <v>369</v>
      </c>
      <c r="B119" s="87"/>
      <c r="C119" s="64">
        <f>'SECTOR EPS'!AT8</f>
        <v>42.31</v>
      </c>
      <c r="D119" s="64">
        <v>39.126337793381289</v>
      </c>
      <c r="E119" s="87"/>
      <c r="F119" s="87">
        <f>D105/I119</f>
        <v>18.592590242974055</v>
      </c>
      <c r="G119" s="87">
        <f>D105/J119</f>
        <v>20.492655395214129</v>
      </c>
      <c r="H119" s="56"/>
      <c r="I119" s="58">
        <f t="shared" ref="I119:J121" si="9">SUM(C119:C124)</f>
        <v>157.63</v>
      </c>
      <c r="J119" s="58">
        <f t="shared" si="9"/>
        <v>143.01465298071864</v>
      </c>
      <c r="K119" s="84"/>
    </row>
    <row r="120" spans="1:12" x14ac:dyDescent="0.2">
      <c r="A120" s="32" t="s">
        <v>370</v>
      </c>
      <c r="B120" s="87"/>
      <c r="C120" s="64">
        <f>'SECTOR EPS'!AS8</f>
        <v>40.130000000000003</v>
      </c>
      <c r="D120" s="64">
        <v>36.818315187337355</v>
      </c>
      <c r="E120" s="99"/>
      <c r="F120" s="87">
        <f>D105/I120</f>
        <v>19.647046993363279</v>
      </c>
      <c r="G120" s="87">
        <f>D105/J120</f>
        <v>22.398072117352097</v>
      </c>
      <c r="H120" s="56"/>
      <c r="I120" s="58">
        <f t="shared" si="9"/>
        <v>149.16999999999999</v>
      </c>
      <c r="J120" s="58">
        <f t="shared" si="9"/>
        <v>130.84831518733736</v>
      </c>
      <c r="K120" s="105"/>
    </row>
    <row r="121" spans="1:12" x14ac:dyDescent="0.2">
      <c r="A121" s="32" t="s">
        <v>690</v>
      </c>
      <c r="B121" s="87">
        <v>2718.37</v>
      </c>
      <c r="C121" s="64">
        <f>'SECTOR EPS'!AR8</f>
        <v>38.65</v>
      </c>
      <c r="D121" s="64">
        <f>'SECTOR EPS'!AR63</f>
        <v>34.049999999999997</v>
      </c>
      <c r="E121" s="243"/>
      <c r="F121" s="87">
        <f>D105/I121</f>
        <v>20.878749020445962</v>
      </c>
      <c r="G121" s="87">
        <f>D105/J121</f>
        <v>23.928396472893532</v>
      </c>
      <c r="H121" s="56"/>
      <c r="I121" s="58">
        <f t="shared" si="9"/>
        <v>140.37</v>
      </c>
      <c r="J121" s="58">
        <f t="shared" si="9"/>
        <v>122.48</v>
      </c>
      <c r="K121" s="84"/>
    </row>
    <row r="122" spans="1:12" x14ac:dyDescent="0.2">
      <c r="A122" s="38"/>
      <c r="B122" s="38"/>
      <c r="D122" s="15"/>
      <c r="E122" s="105"/>
      <c r="F122" s="171">
        <f>B121/I121</f>
        <v>19.365747666880385</v>
      </c>
      <c r="G122" s="4">
        <f>B121/J121</f>
        <v>22.194399085564989</v>
      </c>
      <c r="H122" s="89" t="s">
        <v>455</v>
      </c>
      <c r="I122" s="58"/>
      <c r="J122" s="58"/>
      <c r="K122" s="58"/>
    </row>
    <row r="123" spans="1:12" x14ac:dyDescent="0.2">
      <c r="A123" s="5" t="s">
        <v>21</v>
      </c>
      <c r="B123" s="38"/>
      <c r="C123" s="39"/>
      <c r="D123" s="39"/>
      <c r="E123" s="105"/>
      <c r="F123" s="4" t="s">
        <v>3</v>
      </c>
      <c r="G123" s="4" t="s">
        <v>3</v>
      </c>
      <c r="I123" s="58"/>
      <c r="J123" s="58"/>
      <c r="K123" s="58"/>
    </row>
    <row r="124" spans="1:12" x14ac:dyDescent="0.2">
      <c r="A124" s="32" t="s">
        <v>454</v>
      </c>
      <c r="B124" s="87">
        <v>2640.8659903292901</v>
      </c>
      <c r="C124" s="64">
        <v>36.54</v>
      </c>
      <c r="D124" s="64">
        <v>33.020000000000003</v>
      </c>
      <c r="E124" s="99"/>
      <c r="F124" s="87">
        <f t="shared" ref="F124:F129" si="10">B124/I124</f>
        <v>19.971761251828557</v>
      </c>
      <c r="G124" s="4">
        <f t="shared" ref="G124:G129" si="11">B124/J124</f>
        <v>22.876524517751992</v>
      </c>
      <c r="H124" s="56"/>
      <c r="I124" s="58">
        <f>SUM(C124:C127)</f>
        <v>132.22999999999999</v>
      </c>
      <c r="J124" s="58">
        <f>SUM(D124:D127)</f>
        <v>115.44000000000001</v>
      </c>
      <c r="K124" s="84"/>
    </row>
    <row r="125" spans="1:12" x14ac:dyDescent="0.2">
      <c r="A125" s="49">
        <v>43100</v>
      </c>
      <c r="B125" s="50">
        <v>2673.6105231517399</v>
      </c>
      <c r="C125" s="39">
        <v>33.85</v>
      </c>
      <c r="D125" s="39">
        <v>26.96</v>
      </c>
      <c r="E125" s="105"/>
      <c r="F125" s="87">
        <f t="shared" si="10"/>
        <v>21.473058574827238</v>
      </c>
      <c r="G125" s="4">
        <f t="shared" si="11"/>
        <v>24.332094313357665</v>
      </c>
      <c r="I125" s="58">
        <f>SUM(C125:C128)</f>
        <v>124.51000000000002</v>
      </c>
      <c r="J125" s="58">
        <f t="shared" ref="J125" si="12">SUM(D125:D128)</f>
        <v>109.88</v>
      </c>
      <c r="K125" s="58"/>
    </row>
    <row r="126" spans="1:12" x14ac:dyDescent="0.2">
      <c r="A126" s="49">
        <v>43008</v>
      </c>
      <c r="B126" s="50">
        <v>2519.3596719060702</v>
      </c>
      <c r="C126" s="39">
        <v>31.33</v>
      </c>
      <c r="D126" s="39">
        <v>28.45</v>
      </c>
      <c r="E126" s="105"/>
      <c r="F126" s="87">
        <f t="shared" si="10"/>
        <v>21.249659850759702</v>
      </c>
      <c r="G126" s="4">
        <f t="shared" si="11"/>
        <v>23.527826596059676</v>
      </c>
      <c r="I126" s="58">
        <f>SUM(C126:C129)</f>
        <v>118.56</v>
      </c>
      <c r="J126" s="58">
        <f t="shared" ref="J126" si="13">SUM(D126:D129)</f>
        <v>107.08</v>
      </c>
      <c r="K126" s="58"/>
    </row>
    <row r="127" spans="1:12" x14ac:dyDescent="0.2">
      <c r="A127" s="49">
        <v>42916</v>
      </c>
      <c r="B127" s="87">
        <v>2423.4088910629698</v>
      </c>
      <c r="C127" s="58">
        <v>30.51</v>
      </c>
      <c r="D127" s="58">
        <v>27.01</v>
      </c>
      <c r="E127" s="87"/>
      <c r="F127" s="87">
        <f t="shared" si="10"/>
        <v>20.905873801440389</v>
      </c>
      <c r="G127" s="4">
        <f t="shared" si="11"/>
        <v>23.297528274014322</v>
      </c>
      <c r="H127" s="56"/>
      <c r="I127" s="58">
        <f>SUM(C127:C130)</f>
        <v>115.91999999999999</v>
      </c>
      <c r="J127" s="58">
        <f>SUM(D127:D130)</f>
        <v>104.02</v>
      </c>
      <c r="K127" s="84"/>
    </row>
    <row r="128" spans="1:12" x14ac:dyDescent="0.2">
      <c r="A128" s="49">
        <v>42825</v>
      </c>
      <c r="B128" s="87">
        <v>2362.7182203972902</v>
      </c>
      <c r="C128" s="58">
        <v>28.82</v>
      </c>
      <c r="D128" s="58">
        <v>27.46</v>
      </c>
      <c r="E128" s="87"/>
      <c r="F128" s="87">
        <f t="shared" si="10"/>
        <v>21.264676630341917</v>
      </c>
      <c r="G128" s="4">
        <f t="shared" si="11"/>
        <v>23.558861505606643</v>
      </c>
      <c r="H128" s="56"/>
      <c r="I128" s="58">
        <f>SUM(C128:C131)</f>
        <v>111.11</v>
      </c>
      <c r="J128" s="58">
        <f t="shared" ref="J128" si="14">SUM(D128:D131)</f>
        <v>100.29</v>
      </c>
      <c r="K128" s="84"/>
    </row>
    <row r="129" spans="1:16" x14ac:dyDescent="0.2">
      <c r="A129" s="49">
        <v>42735</v>
      </c>
      <c r="B129" s="87">
        <v>2238.83</v>
      </c>
      <c r="C129" s="26">
        <v>27.9</v>
      </c>
      <c r="D129" s="152">
        <v>24.16</v>
      </c>
      <c r="E129" s="99"/>
      <c r="F129" s="87">
        <f t="shared" si="10"/>
        <v>21.069358178053829</v>
      </c>
      <c r="G129" s="4">
        <f t="shared" si="11"/>
        <v>23.678794288736118</v>
      </c>
      <c r="H129" s="56"/>
      <c r="I129" s="58">
        <f>SUM(C129:C132)</f>
        <v>106.26</v>
      </c>
      <c r="J129" s="58">
        <f t="shared" ref="I129:J193" si="15">SUM(D129:D132)</f>
        <v>94.55</v>
      </c>
      <c r="K129" s="99"/>
      <c r="L129" s="9"/>
      <c r="M129" s="9"/>
    </row>
    <row r="130" spans="1:16" x14ac:dyDescent="0.2">
      <c r="A130" s="49">
        <v>42643</v>
      </c>
      <c r="B130" s="87">
        <v>2168.2720896372798</v>
      </c>
      <c r="C130" s="26">
        <v>28.69</v>
      </c>
      <c r="D130" s="152">
        <v>25.39</v>
      </c>
      <c r="E130" s="99"/>
      <c r="F130" s="87">
        <f t="shared" ref="F130:F193" si="16">B130/I130</f>
        <v>21.379137148859002</v>
      </c>
      <c r="G130" s="4">
        <f t="shared" ref="G130:G193" si="17">B130/J130</f>
        <v>24.33799629180918</v>
      </c>
      <c r="H130" s="23"/>
      <c r="I130" s="58">
        <f t="shared" si="15"/>
        <v>101.42</v>
      </c>
      <c r="J130" s="58">
        <f t="shared" si="15"/>
        <v>89.09</v>
      </c>
      <c r="K130" s="99"/>
      <c r="L130" s="9"/>
      <c r="M130" s="9"/>
      <c r="N130" s="9"/>
      <c r="O130" s="9"/>
      <c r="P130" s="9"/>
    </row>
    <row r="131" spans="1:16" s="9" customFormat="1" x14ac:dyDescent="0.2">
      <c r="A131" s="49">
        <v>42551</v>
      </c>
      <c r="B131" s="87">
        <v>2098.8552265056101</v>
      </c>
      <c r="C131" s="26">
        <v>25.7</v>
      </c>
      <c r="D131" s="152">
        <v>23.28</v>
      </c>
      <c r="E131" s="99"/>
      <c r="F131" s="87">
        <f t="shared" si="16"/>
        <v>21.379802653617297</v>
      </c>
      <c r="G131" s="4">
        <f t="shared" si="17"/>
        <v>24.146976835085251</v>
      </c>
      <c r="H131" s="23"/>
      <c r="I131" s="58">
        <f t="shared" si="15"/>
        <v>98.17</v>
      </c>
      <c r="J131" s="58">
        <f t="shared" si="15"/>
        <v>86.92</v>
      </c>
      <c r="K131" s="58"/>
      <c r="L131"/>
      <c r="M131"/>
    </row>
    <row r="132" spans="1:16" s="89" customFormat="1" x14ac:dyDescent="0.2">
      <c r="A132" s="49">
        <v>42460</v>
      </c>
      <c r="B132" s="182">
        <v>2059.7411766011501</v>
      </c>
      <c r="C132" s="181">
        <v>23.97</v>
      </c>
      <c r="D132" s="181">
        <v>21.72</v>
      </c>
      <c r="E132" s="99"/>
      <c r="F132" s="87">
        <f t="shared" si="16"/>
        <v>20.8877515120287</v>
      </c>
      <c r="G132" s="4">
        <f t="shared" si="17"/>
        <v>23.828565208250232</v>
      </c>
      <c r="H132" s="23"/>
      <c r="I132" s="58">
        <f t="shared" si="15"/>
        <v>98.61</v>
      </c>
      <c r="J132" s="58">
        <f t="shared" si="15"/>
        <v>86.44</v>
      </c>
      <c r="K132" s="113"/>
    </row>
    <row r="133" spans="1:16" x14ac:dyDescent="0.2">
      <c r="A133" s="49">
        <v>42369</v>
      </c>
      <c r="B133" s="87">
        <v>2043.94</v>
      </c>
      <c r="C133" s="26">
        <v>23.06</v>
      </c>
      <c r="D133" s="152">
        <v>18.7</v>
      </c>
      <c r="E133" s="99"/>
      <c r="F133" s="87">
        <f t="shared" si="16"/>
        <v>20.347834743653561</v>
      </c>
      <c r="G133" s="4">
        <f t="shared" si="17"/>
        <v>23.62117184791402</v>
      </c>
      <c r="H133" s="56"/>
      <c r="I133" s="58">
        <f t="shared" si="15"/>
        <v>100.45</v>
      </c>
      <c r="J133" s="58">
        <f t="shared" si="15"/>
        <v>86.53</v>
      </c>
      <c r="K133" s="58"/>
    </row>
    <row r="134" spans="1:16" x14ac:dyDescent="0.2">
      <c r="A134" s="49">
        <v>42277</v>
      </c>
      <c r="B134" s="87">
        <v>1920.0265516397001</v>
      </c>
      <c r="C134" s="26">
        <v>25.44</v>
      </c>
      <c r="D134" s="152">
        <v>23.22</v>
      </c>
      <c r="E134" s="99"/>
      <c r="F134" s="87">
        <f t="shared" si="16"/>
        <v>18.436974761280009</v>
      </c>
      <c r="G134" s="4">
        <f t="shared" si="17"/>
        <v>21.17832066666336</v>
      </c>
      <c r="H134" s="56"/>
      <c r="I134" s="58">
        <f t="shared" si="15"/>
        <v>104.14</v>
      </c>
      <c r="J134" s="58">
        <f t="shared" si="15"/>
        <v>90.66</v>
      </c>
      <c r="K134" s="58"/>
    </row>
    <row r="135" spans="1:16" s="9" customFormat="1" x14ac:dyDescent="0.2">
      <c r="A135" s="49">
        <v>42185</v>
      </c>
      <c r="B135" s="87">
        <v>2063.1118322236698</v>
      </c>
      <c r="C135" s="26">
        <v>26.14</v>
      </c>
      <c r="D135" s="152">
        <v>22.8</v>
      </c>
      <c r="E135" s="99"/>
      <c r="F135" s="87">
        <f t="shared" si="16"/>
        <v>19.049970749987715</v>
      </c>
      <c r="G135" s="4">
        <f t="shared" si="17"/>
        <v>21.737560133006742</v>
      </c>
      <c r="H135" s="56"/>
      <c r="I135" s="58">
        <f t="shared" si="15"/>
        <v>108.30000000000001</v>
      </c>
      <c r="J135" s="58">
        <f t="shared" si="15"/>
        <v>94.91</v>
      </c>
      <c r="K135" s="58"/>
    </row>
    <row r="136" spans="1:16" x14ac:dyDescent="0.2">
      <c r="A136" s="49">
        <v>42094</v>
      </c>
      <c r="B136" s="87">
        <v>2067.88724075851</v>
      </c>
      <c r="C136" s="26">
        <v>25.81</v>
      </c>
      <c r="D136" s="152">
        <v>21.81</v>
      </c>
      <c r="E136" s="99"/>
      <c r="F136" s="87">
        <f t="shared" si="16"/>
        <v>18.54607390814807</v>
      </c>
      <c r="G136" s="4">
        <f t="shared" si="17"/>
        <v>20.835135927037882</v>
      </c>
      <c r="H136" s="56"/>
      <c r="I136" s="58">
        <f t="shared" si="15"/>
        <v>111.5</v>
      </c>
      <c r="J136" s="58">
        <f t="shared" si="15"/>
        <v>99.25</v>
      </c>
      <c r="K136" s="58"/>
    </row>
    <row r="137" spans="1:16" x14ac:dyDescent="0.2">
      <c r="A137" s="49">
        <v>42004</v>
      </c>
      <c r="B137" s="50">
        <v>2058.9023788568802</v>
      </c>
      <c r="C137" s="39">
        <v>26.75</v>
      </c>
      <c r="D137" s="39">
        <v>22.83</v>
      </c>
      <c r="E137" s="99"/>
      <c r="F137" s="87">
        <f t="shared" si="16"/>
        <v>18.218762754241929</v>
      </c>
      <c r="G137" s="4">
        <f t="shared" si="17"/>
        <v>20.12415578982387</v>
      </c>
      <c r="H137" s="56"/>
      <c r="I137" s="58">
        <f t="shared" si="15"/>
        <v>113.00999999999999</v>
      </c>
      <c r="J137" s="58">
        <f t="shared" si="15"/>
        <v>102.31</v>
      </c>
      <c r="K137" s="58"/>
    </row>
    <row r="138" spans="1:16" x14ac:dyDescent="0.2">
      <c r="A138" s="49">
        <v>41912</v>
      </c>
      <c r="B138" s="87">
        <v>1972.28514504996</v>
      </c>
      <c r="C138" s="26">
        <v>29.6</v>
      </c>
      <c r="D138" s="64">
        <v>27.47</v>
      </c>
      <c r="E138" s="99"/>
      <c r="F138" s="87">
        <f t="shared" si="16"/>
        <v>17.223693520652869</v>
      </c>
      <c r="G138" s="4">
        <f t="shared" si="17"/>
        <v>18.613487590127971</v>
      </c>
      <c r="H138" s="56"/>
      <c r="I138" s="58">
        <f t="shared" si="15"/>
        <v>114.50999999999999</v>
      </c>
      <c r="J138" s="58">
        <f t="shared" si="15"/>
        <v>105.96000000000001</v>
      </c>
      <c r="K138" s="58"/>
    </row>
    <row r="139" spans="1:16" x14ac:dyDescent="0.2">
      <c r="A139" s="49">
        <v>41820</v>
      </c>
      <c r="B139" s="87">
        <v>1960.23124036383</v>
      </c>
      <c r="C139" s="26">
        <v>29.34</v>
      </c>
      <c r="D139" s="64">
        <v>27.14</v>
      </c>
      <c r="E139" s="99"/>
      <c r="F139" s="87">
        <f t="shared" si="16"/>
        <v>17.528670664077886</v>
      </c>
      <c r="G139" s="4">
        <f t="shared" si="17"/>
        <v>19.009224596235743</v>
      </c>
      <c r="H139" s="56"/>
      <c r="I139" s="58">
        <f t="shared" si="15"/>
        <v>111.83</v>
      </c>
      <c r="J139" s="58">
        <f t="shared" si="15"/>
        <v>103.12</v>
      </c>
      <c r="K139" s="58"/>
    </row>
    <row r="140" spans="1:16" x14ac:dyDescent="0.2">
      <c r="A140" s="49">
        <v>41729</v>
      </c>
      <c r="B140" s="87">
        <v>1872.33517921728</v>
      </c>
      <c r="C140" s="26">
        <v>27.32</v>
      </c>
      <c r="D140" s="64">
        <v>24.87</v>
      </c>
      <c r="E140" s="99"/>
      <c r="F140" s="87">
        <f t="shared" si="16"/>
        <v>17.201058146231325</v>
      </c>
      <c r="G140" s="4">
        <f t="shared" si="17"/>
        <v>18.5655446625412</v>
      </c>
      <c r="H140" s="56"/>
      <c r="I140" s="58">
        <f t="shared" si="15"/>
        <v>108.85000000000001</v>
      </c>
      <c r="J140" s="58">
        <f t="shared" si="15"/>
        <v>100.85000000000001</v>
      </c>
      <c r="K140" s="58"/>
    </row>
    <row r="141" spans="1:16" x14ac:dyDescent="0.2">
      <c r="A141" s="49">
        <v>41639</v>
      </c>
      <c r="B141" s="87">
        <v>1848.3565209419301</v>
      </c>
      <c r="C141" s="26">
        <v>28.25</v>
      </c>
      <c r="D141" s="58">
        <v>26.48</v>
      </c>
      <c r="E141" s="99"/>
      <c r="F141" s="87">
        <f t="shared" si="16"/>
        <v>17.22606263692386</v>
      </c>
      <c r="G141" s="4">
        <f t="shared" si="17"/>
        <v>18.446671865687925</v>
      </c>
      <c r="I141" s="58">
        <f t="shared" si="15"/>
        <v>107.3</v>
      </c>
      <c r="J141" s="58">
        <f t="shared" si="15"/>
        <v>100.2</v>
      </c>
      <c r="K141" s="58"/>
    </row>
    <row r="142" spans="1:16" x14ac:dyDescent="0.2">
      <c r="A142" s="49">
        <v>41547</v>
      </c>
      <c r="B142" s="50">
        <v>1681.54666211214</v>
      </c>
      <c r="C142" s="39">
        <v>26.92</v>
      </c>
      <c r="D142" s="39">
        <v>24.63</v>
      </c>
      <c r="E142" s="99"/>
      <c r="F142" s="87">
        <f t="shared" si="16"/>
        <v>16.45348984454149</v>
      </c>
      <c r="G142" s="4">
        <f t="shared" si="17"/>
        <v>17.818657010831195</v>
      </c>
      <c r="I142" s="58">
        <f t="shared" si="15"/>
        <v>102.19999999999999</v>
      </c>
      <c r="J142" s="58">
        <f t="shared" si="15"/>
        <v>94.37</v>
      </c>
      <c r="K142" s="58"/>
    </row>
    <row r="143" spans="1:16" x14ac:dyDescent="0.2">
      <c r="A143" s="49">
        <v>41455</v>
      </c>
      <c r="B143" s="87">
        <v>1606.27760773726</v>
      </c>
      <c r="C143" s="26">
        <v>26.36</v>
      </c>
      <c r="D143" s="58">
        <v>24.87</v>
      </c>
      <c r="E143" s="99"/>
      <c r="F143" s="87">
        <f t="shared" si="16"/>
        <v>16.179266798320509</v>
      </c>
      <c r="G143" s="4">
        <f t="shared" si="17"/>
        <v>17.661106187325561</v>
      </c>
      <c r="I143" s="58">
        <f t="shared" si="15"/>
        <v>99.28</v>
      </c>
      <c r="J143" s="58">
        <f t="shared" si="15"/>
        <v>90.950000000000017</v>
      </c>
      <c r="K143" s="58"/>
    </row>
    <row r="144" spans="1:16" x14ac:dyDescent="0.2">
      <c r="A144" s="49">
        <v>41364</v>
      </c>
      <c r="B144" s="87">
        <v>1569.18587246845</v>
      </c>
      <c r="C144" s="26">
        <v>25.77</v>
      </c>
      <c r="D144" s="113">
        <v>24.22</v>
      </c>
      <c r="E144" s="99"/>
      <c r="F144" s="87">
        <f t="shared" si="16"/>
        <v>15.95511817456482</v>
      </c>
      <c r="G144" s="4">
        <f t="shared" si="17"/>
        <v>17.892655330312998</v>
      </c>
      <c r="H144" s="56"/>
      <c r="I144" s="58">
        <f t="shared" si="15"/>
        <v>98.35</v>
      </c>
      <c r="J144" s="58">
        <f t="shared" si="15"/>
        <v>87.7</v>
      </c>
      <c r="K144" s="58"/>
    </row>
    <row r="145" spans="1:16" x14ac:dyDescent="0.2">
      <c r="A145" s="49">
        <v>41274</v>
      </c>
      <c r="B145" s="87">
        <v>1426.18797808055</v>
      </c>
      <c r="C145" s="26">
        <v>23.15</v>
      </c>
      <c r="D145" s="30">
        <v>20.65</v>
      </c>
      <c r="E145" s="99"/>
      <c r="F145" s="87">
        <f t="shared" si="16"/>
        <v>14.730303429875544</v>
      </c>
      <c r="G145" s="4">
        <f t="shared" si="17"/>
        <v>16.485816415218473</v>
      </c>
      <c r="H145" s="55"/>
      <c r="I145" s="58">
        <f t="shared" si="15"/>
        <v>96.82</v>
      </c>
      <c r="J145" s="58">
        <f t="shared" si="15"/>
        <v>86.51</v>
      </c>
      <c r="K145" s="58"/>
    </row>
    <row r="146" spans="1:16" x14ac:dyDescent="0.2">
      <c r="A146" s="49">
        <v>41182</v>
      </c>
      <c r="B146" s="87">
        <v>1440.67</v>
      </c>
      <c r="C146" s="26">
        <v>24</v>
      </c>
      <c r="D146" s="41">
        <v>21.21</v>
      </c>
      <c r="E146" s="99"/>
      <c r="F146" s="87">
        <f t="shared" si="16"/>
        <v>14.791273100616017</v>
      </c>
      <c r="G146" s="4">
        <f t="shared" si="17"/>
        <v>16.655144508670521</v>
      </c>
      <c r="H146" s="55"/>
      <c r="I146" s="58">
        <f t="shared" si="15"/>
        <v>97.4</v>
      </c>
      <c r="J146" s="58">
        <f t="shared" si="15"/>
        <v>86.5</v>
      </c>
      <c r="K146" s="58"/>
    </row>
    <row r="147" spans="1:16" x14ac:dyDescent="0.2">
      <c r="A147" s="49">
        <v>41090</v>
      </c>
      <c r="B147" s="87">
        <v>1362.1587454406599</v>
      </c>
      <c r="C147" s="26">
        <v>25.43</v>
      </c>
      <c r="D147" s="41">
        <v>21.62</v>
      </c>
      <c r="E147" s="99"/>
      <c r="F147" s="87">
        <f t="shared" si="16"/>
        <v>13.802398879731076</v>
      </c>
      <c r="G147" s="4">
        <f t="shared" si="17"/>
        <v>15.493161344866468</v>
      </c>
      <c r="H147" s="55"/>
      <c r="I147" s="58">
        <f t="shared" si="15"/>
        <v>98.69</v>
      </c>
      <c r="J147" s="58">
        <f t="shared" si="15"/>
        <v>87.92</v>
      </c>
      <c r="K147" s="58"/>
    </row>
    <row r="148" spans="1:16" x14ac:dyDescent="0.2">
      <c r="A148" s="49">
        <v>40999</v>
      </c>
      <c r="B148" s="35">
        <v>1408.46786041941</v>
      </c>
      <c r="C148" s="26">
        <v>24.24</v>
      </c>
      <c r="D148" s="41">
        <v>23.03</v>
      </c>
      <c r="E148" s="99"/>
      <c r="F148" s="87">
        <f t="shared" si="16"/>
        <v>14.354544031995619</v>
      </c>
      <c r="G148" s="4">
        <f t="shared" si="17"/>
        <v>15.907701156758643</v>
      </c>
      <c r="H148" s="55"/>
      <c r="I148" s="58">
        <f t="shared" si="15"/>
        <v>98.11999999999999</v>
      </c>
      <c r="J148" s="58">
        <f t="shared" si="15"/>
        <v>88.539999999999992</v>
      </c>
      <c r="K148" s="58"/>
    </row>
    <row r="149" spans="1:16" x14ac:dyDescent="0.2">
      <c r="A149" s="49">
        <v>40908</v>
      </c>
      <c r="B149" s="14">
        <v>1257.60480453436</v>
      </c>
      <c r="C149" s="26">
        <v>23.73</v>
      </c>
      <c r="D149" s="26">
        <v>20.64</v>
      </c>
      <c r="E149" s="99"/>
      <c r="F149" s="87">
        <f t="shared" si="16"/>
        <v>13.040282087664455</v>
      </c>
      <c r="G149" s="4">
        <f t="shared" si="17"/>
        <v>14.463540017646466</v>
      </c>
      <c r="I149" s="58">
        <f t="shared" si="15"/>
        <v>96.44</v>
      </c>
      <c r="J149" s="58">
        <f t="shared" si="15"/>
        <v>86.949999999999989</v>
      </c>
      <c r="K149" s="58"/>
    </row>
    <row r="150" spans="1:16" x14ac:dyDescent="0.2">
      <c r="A150" s="49">
        <v>40816</v>
      </c>
      <c r="B150" s="8">
        <v>1131.42036008329</v>
      </c>
      <c r="C150" s="26">
        <v>25.29</v>
      </c>
      <c r="D150" s="26">
        <v>22.63</v>
      </c>
      <c r="E150" s="99"/>
      <c r="F150" s="87">
        <f t="shared" si="16"/>
        <v>11.954991125140429</v>
      </c>
      <c r="G150" s="4">
        <f t="shared" si="17"/>
        <v>13.007822029010002</v>
      </c>
      <c r="H150" s="31"/>
      <c r="I150" s="58">
        <f t="shared" si="15"/>
        <v>94.639999999999986</v>
      </c>
      <c r="J150" s="58">
        <f t="shared" si="15"/>
        <v>86.98</v>
      </c>
      <c r="K150" s="58"/>
    </row>
    <row r="151" spans="1:16" x14ac:dyDescent="0.2">
      <c r="A151" s="49">
        <v>40724</v>
      </c>
      <c r="B151" s="8">
        <v>1320.63904926284</v>
      </c>
      <c r="C151" s="26">
        <v>24.86</v>
      </c>
      <c r="D151" s="26">
        <v>22.24</v>
      </c>
      <c r="E151" s="99"/>
      <c r="F151" s="87">
        <f t="shared" si="16"/>
        <v>14.526884273048511</v>
      </c>
      <c r="G151" s="4">
        <f t="shared" si="17"/>
        <v>15.74626265962609</v>
      </c>
      <c r="H151" s="31"/>
      <c r="I151" s="58">
        <f t="shared" si="15"/>
        <v>90.91</v>
      </c>
      <c r="J151" s="58">
        <f t="shared" si="15"/>
        <v>83.86999999999999</v>
      </c>
      <c r="K151" s="58"/>
    </row>
    <row r="152" spans="1:16" x14ac:dyDescent="0.2">
      <c r="A152" s="49">
        <v>40633</v>
      </c>
      <c r="B152" s="53">
        <v>1325.82671751112</v>
      </c>
      <c r="C152" s="44">
        <v>22.56</v>
      </c>
      <c r="D152" s="26">
        <v>21.44</v>
      </c>
      <c r="E152" s="99"/>
      <c r="F152" s="87">
        <f t="shared" si="16"/>
        <v>15.248150862692585</v>
      </c>
      <c r="G152" s="4">
        <f t="shared" si="17"/>
        <v>16.305826067041199</v>
      </c>
      <c r="H152" s="31"/>
      <c r="I152" s="58">
        <f t="shared" si="15"/>
        <v>86.949999999999989</v>
      </c>
      <c r="J152" s="58">
        <f t="shared" si="15"/>
        <v>81.31</v>
      </c>
      <c r="K152" s="58"/>
    </row>
    <row r="153" spans="1:16" ht="12" customHeight="1" x14ac:dyDescent="0.2">
      <c r="A153" s="49">
        <v>40543</v>
      </c>
      <c r="B153" s="50">
        <v>1257.63598797798</v>
      </c>
      <c r="C153" s="39">
        <v>21.93</v>
      </c>
      <c r="D153" s="17">
        <v>20.67</v>
      </c>
      <c r="E153" s="99"/>
      <c r="F153" s="87">
        <f t="shared" si="16"/>
        <v>15.012963924769968</v>
      </c>
      <c r="G153" s="4">
        <f t="shared" si="17"/>
        <v>16.259030225959666</v>
      </c>
      <c r="I153" s="58">
        <f t="shared" si="15"/>
        <v>83.769999999999982</v>
      </c>
      <c r="J153" s="58">
        <f t="shared" si="15"/>
        <v>77.349999999999994</v>
      </c>
      <c r="K153" s="58"/>
    </row>
    <row r="154" spans="1:16" x14ac:dyDescent="0.2">
      <c r="A154" s="49">
        <v>40451</v>
      </c>
      <c r="B154" s="50">
        <v>1141.20115690593</v>
      </c>
      <c r="C154" s="39">
        <v>21.56</v>
      </c>
      <c r="D154" s="17">
        <v>19.52</v>
      </c>
      <c r="E154" s="99"/>
      <c r="F154" s="87">
        <f t="shared" si="16"/>
        <v>14.445584264632028</v>
      </c>
      <c r="G154" s="4">
        <f t="shared" si="17"/>
        <v>15.880895587335511</v>
      </c>
      <c r="I154" s="58">
        <f t="shared" si="15"/>
        <v>78.999999999999986</v>
      </c>
      <c r="J154" s="58">
        <f t="shared" si="15"/>
        <v>71.860000000000014</v>
      </c>
      <c r="K154" s="58"/>
    </row>
    <row r="155" spans="1:16" x14ac:dyDescent="0.2">
      <c r="A155" s="49">
        <v>40359</v>
      </c>
      <c r="B155" s="54">
        <v>1030.71008330308</v>
      </c>
      <c r="C155" s="23">
        <v>20.9</v>
      </c>
      <c r="D155" s="23">
        <v>19.68</v>
      </c>
      <c r="E155" s="99"/>
      <c r="F155" s="87">
        <f t="shared" si="16"/>
        <v>14.076892697392516</v>
      </c>
      <c r="G155" s="4">
        <f t="shared" si="17"/>
        <v>15.360806010478093</v>
      </c>
      <c r="H155" s="43"/>
      <c r="I155" s="58">
        <f t="shared" si="15"/>
        <v>73.22</v>
      </c>
      <c r="J155" s="58">
        <f t="shared" si="15"/>
        <v>67.099999999999994</v>
      </c>
      <c r="K155" s="58"/>
    </row>
    <row r="156" spans="1:16" x14ac:dyDescent="0.2">
      <c r="A156" s="49">
        <v>40268</v>
      </c>
      <c r="B156" s="1">
        <v>1169.43119269817</v>
      </c>
      <c r="C156" s="23">
        <v>19.38</v>
      </c>
      <c r="D156" s="30">
        <v>17.48</v>
      </c>
      <c r="E156" s="99"/>
      <c r="F156" s="87">
        <f t="shared" si="16"/>
        <v>17.68382266290897</v>
      </c>
      <c r="G156" s="4">
        <f t="shared" si="17"/>
        <v>19.193027945152963</v>
      </c>
      <c r="H156" s="43"/>
      <c r="I156" s="58">
        <f t="shared" si="15"/>
        <v>66.13</v>
      </c>
      <c r="J156" s="58">
        <f t="shared" si="15"/>
        <v>60.929999999999993</v>
      </c>
      <c r="K156" s="58"/>
      <c r="L156" s="9"/>
      <c r="M156" s="9"/>
    </row>
    <row r="157" spans="1:16" x14ac:dyDescent="0.2">
      <c r="A157" s="49">
        <v>40178</v>
      </c>
      <c r="B157" s="48">
        <v>1115.0999999999999</v>
      </c>
      <c r="C157" s="23">
        <v>17.16</v>
      </c>
      <c r="D157" s="23">
        <v>15.18</v>
      </c>
      <c r="E157" s="99"/>
      <c r="F157" s="87">
        <f t="shared" si="16"/>
        <v>19.611326064016882</v>
      </c>
      <c r="G157" s="4">
        <f t="shared" si="17"/>
        <v>21.877575044143612</v>
      </c>
      <c r="H157" s="43"/>
      <c r="I157" s="58">
        <f t="shared" si="15"/>
        <v>56.86</v>
      </c>
      <c r="J157" s="58">
        <f t="shared" si="15"/>
        <v>50.97</v>
      </c>
      <c r="K157" s="58"/>
      <c r="N157" s="9"/>
      <c r="O157" s="9"/>
      <c r="P157" s="9"/>
    </row>
    <row r="158" spans="1:16" s="9" customFormat="1" x14ac:dyDescent="0.2">
      <c r="A158" s="49">
        <v>40086</v>
      </c>
      <c r="B158" s="50">
        <v>1057.0786000000001</v>
      </c>
      <c r="C158" s="39">
        <v>15.78</v>
      </c>
      <c r="D158" s="30">
        <v>14.76</v>
      </c>
      <c r="E158" s="99"/>
      <c r="F158" s="87">
        <f t="shared" si="16"/>
        <v>26.687164857359253</v>
      </c>
      <c r="G158" s="4">
        <f t="shared" si="17"/>
        <v>84.296539074960137</v>
      </c>
      <c r="H158"/>
      <c r="I158" s="58">
        <f t="shared" si="15"/>
        <v>39.61</v>
      </c>
      <c r="J158" s="58">
        <f t="shared" si="15"/>
        <v>12.54</v>
      </c>
      <c r="K158" s="58"/>
      <c r="L158"/>
      <c r="M158"/>
      <c r="N158"/>
      <c r="O158"/>
      <c r="P158"/>
    </row>
    <row r="159" spans="1:16" x14ac:dyDescent="0.2">
      <c r="A159" s="49">
        <v>39994</v>
      </c>
      <c r="B159" s="50">
        <v>919.32</v>
      </c>
      <c r="C159" s="39">
        <v>13.81</v>
      </c>
      <c r="D159" s="30">
        <v>13.51</v>
      </c>
      <c r="E159" s="99"/>
      <c r="F159" s="87">
        <f t="shared" si="16"/>
        <v>23.104297562201555</v>
      </c>
      <c r="G159" s="4">
        <f t="shared" si="17"/>
        <v>122.41278295605856</v>
      </c>
      <c r="I159" s="58">
        <f t="shared" si="15"/>
        <v>39.790000000000006</v>
      </c>
      <c r="J159" s="58">
        <f t="shared" si="15"/>
        <v>7.5100000000000016</v>
      </c>
      <c r="K159" s="58"/>
      <c r="L159" s="9"/>
      <c r="M159" s="9"/>
    </row>
    <row r="160" spans="1:16" x14ac:dyDescent="0.2">
      <c r="A160" s="49">
        <v>39903</v>
      </c>
      <c r="B160" s="13">
        <v>797.86699999999996</v>
      </c>
      <c r="C160" s="23">
        <v>10.11</v>
      </c>
      <c r="D160" s="30">
        <v>7.52</v>
      </c>
      <c r="E160" s="99"/>
      <c r="F160" s="87">
        <f t="shared" si="16"/>
        <v>18.555046511627907</v>
      </c>
      <c r="G160" s="4">
        <f t="shared" si="17"/>
        <v>116.30714285714286</v>
      </c>
      <c r="I160" s="58">
        <f t="shared" si="15"/>
        <v>43</v>
      </c>
      <c r="J160" s="58">
        <f t="shared" si="15"/>
        <v>6.8599999999999994</v>
      </c>
      <c r="K160" s="58"/>
      <c r="L160" s="9"/>
      <c r="M160" s="9"/>
      <c r="N160" s="9"/>
      <c r="O160" s="9"/>
      <c r="P160" s="9"/>
    </row>
    <row r="161" spans="1:16" s="9" customFormat="1" x14ac:dyDescent="0.2">
      <c r="A161" s="49">
        <v>39813</v>
      </c>
      <c r="B161" s="12">
        <v>903.25</v>
      </c>
      <c r="C161" s="23">
        <v>-0.09</v>
      </c>
      <c r="D161" s="30">
        <v>-23.25</v>
      </c>
      <c r="E161" s="99"/>
      <c r="F161" s="87">
        <f t="shared" si="16"/>
        <v>18.243789133508379</v>
      </c>
      <c r="G161" s="4">
        <f t="shared" si="17"/>
        <v>60.70228494623656</v>
      </c>
      <c r="H161"/>
      <c r="I161" s="58">
        <f t="shared" si="15"/>
        <v>49.510000000000005</v>
      </c>
      <c r="J161" s="58">
        <f t="shared" si="15"/>
        <v>14.879999999999999</v>
      </c>
      <c r="K161" s="58"/>
      <c r="L161"/>
      <c r="M161"/>
    </row>
    <row r="162" spans="1:16" s="9" customFormat="1" x14ac:dyDescent="0.2">
      <c r="A162" s="49">
        <v>39721</v>
      </c>
      <c r="B162" s="12">
        <v>1166.361418</v>
      </c>
      <c r="C162" s="24">
        <v>15.96</v>
      </c>
      <c r="D162" s="17">
        <v>9.73</v>
      </c>
      <c r="E162" s="99"/>
      <c r="F162" s="87">
        <f t="shared" si="16"/>
        <v>17.993850941067571</v>
      </c>
      <c r="G162" s="4">
        <f t="shared" si="17"/>
        <v>25.383273514689883</v>
      </c>
      <c r="H162"/>
      <c r="I162" s="58">
        <f t="shared" si="15"/>
        <v>64.820000000000007</v>
      </c>
      <c r="J162" s="58">
        <f t="shared" si="15"/>
        <v>45.949999999999996</v>
      </c>
      <c r="K162" s="58"/>
      <c r="N162"/>
      <c r="O162"/>
      <c r="P162"/>
    </row>
    <row r="163" spans="1:16" x14ac:dyDescent="0.2">
      <c r="A163" s="49">
        <v>39629</v>
      </c>
      <c r="B163" s="1">
        <v>1280.001</v>
      </c>
      <c r="C163" s="24">
        <v>17.02</v>
      </c>
      <c r="D163" s="24">
        <v>12.86</v>
      </c>
      <c r="E163" s="99"/>
      <c r="F163" s="87">
        <f t="shared" si="16"/>
        <v>18.356532339021939</v>
      </c>
      <c r="G163" s="4">
        <f t="shared" si="17"/>
        <v>24.917286353903059</v>
      </c>
      <c r="I163" s="58">
        <f t="shared" si="15"/>
        <v>69.73</v>
      </c>
      <c r="J163" s="58">
        <f t="shared" si="15"/>
        <v>51.37</v>
      </c>
      <c r="K163" s="58"/>
      <c r="N163" s="9"/>
      <c r="O163" s="9"/>
      <c r="P163" s="9"/>
    </row>
    <row r="164" spans="1:16" s="9" customFormat="1" x14ac:dyDescent="0.2">
      <c r="A164" s="49">
        <v>39538</v>
      </c>
      <c r="B164" s="12">
        <v>1322.703</v>
      </c>
      <c r="C164" s="24">
        <v>16.62</v>
      </c>
      <c r="D164" s="24">
        <v>15.54</v>
      </c>
      <c r="E164" s="99"/>
      <c r="F164" s="87">
        <f t="shared" si="16"/>
        <v>17.229425556858146</v>
      </c>
      <c r="G164" s="4">
        <f t="shared" si="17"/>
        <v>21.902412613211197</v>
      </c>
      <c r="H164"/>
      <c r="I164" s="58">
        <f t="shared" si="15"/>
        <v>76.77000000000001</v>
      </c>
      <c r="J164" s="58">
        <f t="shared" si="15"/>
        <v>60.390744314722937</v>
      </c>
      <c r="K164" s="58"/>
      <c r="L164"/>
      <c r="M164"/>
      <c r="N164"/>
      <c r="O164"/>
      <c r="P164"/>
    </row>
    <row r="165" spans="1:16" x14ac:dyDescent="0.2">
      <c r="A165" s="49">
        <v>39447</v>
      </c>
      <c r="B165" s="1">
        <v>1468.3552</v>
      </c>
      <c r="C165" s="23">
        <v>15.22</v>
      </c>
      <c r="D165" s="30">
        <v>7.82</v>
      </c>
      <c r="E165" s="99"/>
      <c r="F165" s="87">
        <f t="shared" si="16"/>
        <v>17.789619578386237</v>
      </c>
      <c r="G165" s="4">
        <f t="shared" si="17"/>
        <v>22.187045721595815</v>
      </c>
      <c r="I165" s="58">
        <f t="shared" si="15"/>
        <v>82.54</v>
      </c>
      <c r="J165" s="58">
        <f t="shared" si="15"/>
        <v>66.180744314722929</v>
      </c>
      <c r="K165" s="58"/>
    </row>
    <row r="166" spans="1:16" x14ac:dyDescent="0.2">
      <c r="A166" s="49">
        <v>39355</v>
      </c>
      <c r="B166" s="11">
        <v>1526.75</v>
      </c>
      <c r="C166" s="23">
        <v>20.87</v>
      </c>
      <c r="D166" s="30">
        <v>15.15</v>
      </c>
      <c r="E166" s="99"/>
      <c r="F166" s="87">
        <f t="shared" si="16"/>
        <v>17.094950173552796</v>
      </c>
      <c r="G166" s="4">
        <f t="shared" si="17"/>
        <v>19.424116314812302</v>
      </c>
      <c r="I166" s="58">
        <f t="shared" si="15"/>
        <v>89.309999999999988</v>
      </c>
      <c r="J166" s="58">
        <f t="shared" si="15"/>
        <v>78.600744314722931</v>
      </c>
      <c r="K166" s="58"/>
      <c r="L166" s="9"/>
      <c r="M166" s="9"/>
    </row>
    <row r="167" spans="1:16" x14ac:dyDescent="0.2">
      <c r="A167" s="49">
        <v>39263</v>
      </c>
      <c r="B167" s="1">
        <v>1503.3486</v>
      </c>
      <c r="C167" s="23">
        <v>24.06</v>
      </c>
      <c r="D167" s="30">
        <v>21.880744314722936</v>
      </c>
      <c r="E167" s="99"/>
      <c r="F167" s="87">
        <f t="shared" si="16"/>
        <v>16.43542800918334</v>
      </c>
      <c r="G167" s="4">
        <f t="shared" si="17"/>
        <v>17.70296070920519</v>
      </c>
      <c r="I167" s="58">
        <f t="shared" si="15"/>
        <v>91.47</v>
      </c>
      <c r="J167" s="58">
        <f t="shared" si="15"/>
        <v>84.920744314722924</v>
      </c>
      <c r="K167" s="58"/>
      <c r="N167" s="9"/>
      <c r="O167" s="9"/>
      <c r="P167" s="9"/>
    </row>
    <row r="168" spans="1:16" s="9" customFormat="1" x14ac:dyDescent="0.2">
      <c r="A168" s="49">
        <v>39172</v>
      </c>
      <c r="B168" s="1">
        <v>1420.86</v>
      </c>
      <c r="C168" s="23">
        <v>22.39</v>
      </c>
      <c r="D168" s="31">
        <v>21.33</v>
      </c>
      <c r="E168" s="99"/>
      <c r="F168" s="87">
        <f t="shared" si="16"/>
        <v>15.900402864816472</v>
      </c>
      <c r="G168" s="4">
        <f t="shared" si="17"/>
        <v>17.087913409500903</v>
      </c>
      <c r="H168"/>
      <c r="I168" s="58">
        <f t="shared" si="15"/>
        <v>89.36</v>
      </c>
      <c r="J168" s="58">
        <f t="shared" si="15"/>
        <v>83.149999999999991</v>
      </c>
      <c r="K168" s="58"/>
      <c r="L168"/>
      <c r="M168"/>
      <c r="N168"/>
      <c r="O168"/>
      <c r="P168"/>
    </row>
    <row r="169" spans="1:16" x14ac:dyDescent="0.2">
      <c r="A169" s="49">
        <v>39082</v>
      </c>
      <c r="B169" s="1">
        <v>1418.3</v>
      </c>
      <c r="C169" s="17">
        <v>21.99</v>
      </c>
      <c r="D169" s="31">
        <v>20.239999999999998</v>
      </c>
      <c r="E169" s="99"/>
      <c r="F169" s="87">
        <f t="shared" si="16"/>
        <v>16.168490652074784</v>
      </c>
      <c r="G169" s="4">
        <f t="shared" si="17"/>
        <v>17.400318979266348</v>
      </c>
      <c r="I169" s="58">
        <f t="shared" si="15"/>
        <v>87.72</v>
      </c>
      <c r="J169" s="58">
        <f t="shared" si="15"/>
        <v>81.509999999999991</v>
      </c>
      <c r="K169" s="58"/>
    </row>
    <row r="170" spans="1:16" x14ac:dyDescent="0.2">
      <c r="A170" s="49">
        <v>38990</v>
      </c>
      <c r="B170" s="1">
        <v>1335.847</v>
      </c>
      <c r="C170" s="17">
        <v>23.03</v>
      </c>
      <c r="D170" s="17">
        <v>21.47</v>
      </c>
      <c r="E170" s="99"/>
      <c r="F170" s="87">
        <f t="shared" si="16"/>
        <v>15.547567504655493</v>
      </c>
      <c r="G170" s="4">
        <f t="shared" si="17"/>
        <v>17.001998218149421</v>
      </c>
      <c r="I170" s="58">
        <f t="shared" si="15"/>
        <v>85.92</v>
      </c>
      <c r="J170" s="58">
        <f t="shared" si="15"/>
        <v>78.569999999999993</v>
      </c>
      <c r="K170" s="58"/>
    </row>
    <row r="171" spans="1:16" x14ac:dyDescent="0.2">
      <c r="A171" s="49">
        <v>38898</v>
      </c>
      <c r="B171" s="1">
        <v>1270.2</v>
      </c>
      <c r="C171" s="17">
        <v>21.95</v>
      </c>
      <c r="D171" s="17">
        <v>20.11</v>
      </c>
      <c r="E171" s="99"/>
      <c r="F171" s="87">
        <f t="shared" si="16"/>
        <v>15.54141686039398</v>
      </c>
      <c r="G171" s="4">
        <f t="shared" si="17"/>
        <v>17.051953282319776</v>
      </c>
      <c r="I171" s="58">
        <f t="shared" si="15"/>
        <v>81.73</v>
      </c>
      <c r="J171" s="58">
        <f t="shared" si="15"/>
        <v>74.489999999999995</v>
      </c>
      <c r="K171" s="58"/>
    </row>
    <row r="172" spans="1:16" x14ac:dyDescent="0.2">
      <c r="A172" s="49">
        <v>38807</v>
      </c>
      <c r="B172" s="1">
        <v>1294.83</v>
      </c>
      <c r="C172" s="17">
        <v>20.75</v>
      </c>
      <c r="D172" s="17">
        <v>19.690000000000001</v>
      </c>
      <c r="E172" s="99"/>
      <c r="F172" s="87">
        <f t="shared" si="16"/>
        <v>16.348863636363635</v>
      </c>
      <c r="G172" s="4">
        <f t="shared" si="17"/>
        <v>17.817944131003163</v>
      </c>
      <c r="I172" s="58">
        <f t="shared" si="15"/>
        <v>79.2</v>
      </c>
      <c r="J172" s="58">
        <f t="shared" si="15"/>
        <v>72.67</v>
      </c>
      <c r="K172" s="58"/>
    </row>
    <row r="173" spans="1:16" x14ac:dyDescent="0.2">
      <c r="A173" s="49">
        <v>38717</v>
      </c>
      <c r="B173" s="1">
        <v>1248.29</v>
      </c>
      <c r="C173" s="17">
        <v>20.190000000000001</v>
      </c>
      <c r="D173" s="17">
        <v>17.3</v>
      </c>
      <c r="E173" s="99"/>
      <c r="F173" s="87">
        <f t="shared" si="16"/>
        <v>16.328188358404184</v>
      </c>
      <c r="G173" s="4">
        <f t="shared" si="17"/>
        <v>17.850564850564851</v>
      </c>
      <c r="I173" s="58">
        <f t="shared" si="15"/>
        <v>76.45</v>
      </c>
      <c r="J173" s="58">
        <f t="shared" si="15"/>
        <v>69.929999999999993</v>
      </c>
      <c r="K173" s="58"/>
    </row>
    <row r="174" spans="1:16" x14ac:dyDescent="0.2">
      <c r="A174" s="49">
        <v>38625</v>
      </c>
      <c r="B174" s="1">
        <v>1228.81</v>
      </c>
      <c r="C174" s="17">
        <v>18.84</v>
      </c>
      <c r="D174" s="17">
        <v>17.39</v>
      </c>
      <c r="E174" s="99"/>
      <c r="F174" s="87">
        <f t="shared" si="16"/>
        <v>16.558550060638726</v>
      </c>
      <c r="G174" s="4">
        <f t="shared" si="17"/>
        <v>18.458915427369686</v>
      </c>
      <c r="I174" s="58">
        <f t="shared" si="15"/>
        <v>74.210000000000008</v>
      </c>
      <c r="J174" s="58">
        <f t="shared" si="15"/>
        <v>66.569999999999993</v>
      </c>
      <c r="K174" s="58"/>
    </row>
    <row r="175" spans="1:16" x14ac:dyDescent="0.2">
      <c r="A175" s="49">
        <v>38533</v>
      </c>
      <c r="B175" s="4">
        <v>1191.33</v>
      </c>
      <c r="C175" s="17">
        <v>19.420000000000002</v>
      </c>
      <c r="D175" s="17">
        <v>18.29</v>
      </c>
      <c r="E175" s="99"/>
      <c r="F175" s="87">
        <f t="shared" si="16"/>
        <v>16.488996539792385</v>
      </c>
      <c r="G175" s="4">
        <f t="shared" si="17"/>
        <v>18.80255681818182</v>
      </c>
      <c r="I175" s="58">
        <f t="shared" si="15"/>
        <v>72.25</v>
      </c>
      <c r="J175" s="58">
        <f t="shared" si="15"/>
        <v>63.359999999999992</v>
      </c>
      <c r="K175" s="58"/>
    </row>
    <row r="176" spans="1:16" x14ac:dyDescent="0.2">
      <c r="A176" s="49">
        <v>38442</v>
      </c>
      <c r="B176" s="4">
        <v>1180.5899999999999</v>
      </c>
      <c r="C176" s="17">
        <v>18</v>
      </c>
      <c r="D176" s="17">
        <v>16.95</v>
      </c>
      <c r="E176" s="99"/>
      <c r="F176" s="87">
        <f t="shared" si="16"/>
        <v>16.911474000859474</v>
      </c>
      <c r="G176" s="4">
        <f t="shared" si="17"/>
        <v>19.572115384615383</v>
      </c>
      <c r="I176" s="58">
        <f t="shared" si="15"/>
        <v>69.81</v>
      </c>
      <c r="J176" s="58">
        <f t="shared" si="15"/>
        <v>60.32</v>
      </c>
      <c r="K176" s="58"/>
    </row>
    <row r="177" spans="1:11" x14ac:dyDescent="0.2">
      <c r="A177" s="49">
        <v>38352</v>
      </c>
      <c r="B177" s="8">
        <v>1211.92</v>
      </c>
      <c r="C177" s="26">
        <v>17.95</v>
      </c>
      <c r="D177" s="26">
        <v>13.94</v>
      </c>
      <c r="E177" s="99"/>
      <c r="F177" s="87">
        <f t="shared" si="16"/>
        <v>17.90661938534279</v>
      </c>
      <c r="G177" s="4">
        <f t="shared" si="17"/>
        <v>20.698889837745519</v>
      </c>
      <c r="H177" s="9"/>
      <c r="I177" s="58">
        <f t="shared" si="15"/>
        <v>67.680000000000007</v>
      </c>
      <c r="J177" s="58">
        <f t="shared" si="15"/>
        <v>58.55</v>
      </c>
      <c r="K177" s="58"/>
    </row>
    <row r="178" spans="1:11" x14ac:dyDescent="0.2">
      <c r="A178" s="49">
        <v>38260</v>
      </c>
      <c r="B178" s="1">
        <v>1114.58</v>
      </c>
      <c r="C178" s="17">
        <v>16.88</v>
      </c>
      <c r="D178" s="17">
        <v>14.18</v>
      </c>
      <c r="E178" s="99"/>
      <c r="F178" s="87">
        <f t="shared" si="16"/>
        <v>17.250889955115305</v>
      </c>
      <c r="G178" s="4">
        <f t="shared" si="17"/>
        <v>19.293404881426348</v>
      </c>
      <c r="I178" s="58">
        <f t="shared" si="15"/>
        <v>64.61</v>
      </c>
      <c r="J178" s="58">
        <f t="shared" si="15"/>
        <v>57.769999999999996</v>
      </c>
      <c r="K178" s="58"/>
    </row>
    <row r="179" spans="1:11" x14ac:dyDescent="0.2">
      <c r="A179" s="49">
        <v>38168</v>
      </c>
      <c r="B179" s="1">
        <v>1140.8399999999999</v>
      </c>
      <c r="C179" s="17">
        <v>16.98</v>
      </c>
      <c r="D179" s="17">
        <v>15.25</v>
      </c>
      <c r="E179" s="99"/>
      <c r="F179" s="87">
        <f t="shared" si="16"/>
        <v>18.359188928226583</v>
      </c>
      <c r="G179" s="4">
        <f t="shared" si="17"/>
        <v>20.317720391807654</v>
      </c>
      <c r="I179" s="58">
        <f t="shared" si="15"/>
        <v>62.14</v>
      </c>
      <c r="J179" s="58">
        <f t="shared" si="15"/>
        <v>56.150000000000006</v>
      </c>
      <c r="K179" s="58"/>
    </row>
    <row r="180" spans="1:11" x14ac:dyDescent="0.2">
      <c r="A180" s="49">
        <v>38077</v>
      </c>
      <c r="B180" s="8">
        <v>1126.21</v>
      </c>
      <c r="C180" s="26">
        <v>15.87</v>
      </c>
      <c r="D180" s="26">
        <v>15.18</v>
      </c>
      <c r="E180" s="99"/>
      <c r="F180" s="87">
        <f t="shared" si="16"/>
        <v>19.390668044077135</v>
      </c>
      <c r="G180" s="4">
        <f t="shared" si="17"/>
        <v>21.657884615384617</v>
      </c>
      <c r="H180" s="9"/>
      <c r="I180" s="58">
        <f t="shared" si="15"/>
        <v>58.08</v>
      </c>
      <c r="J180" s="58">
        <f t="shared" si="15"/>
        <v>52</v>
      </c>
      <c r="K180" s="58"/>
    </row>
    <row r="181" spans="1:11" x14ac:dyDescent="0.2">
      <c r="A181" s="49">
        <v>37986</v>
      </c>
      <c r="B181" s="8">
        <v>1111.92</v>
      </c>
      <c r="C181" s="26">
        <v>14.88</v>
      </c>
      <c r="D181" s="26">
        <v>13.16</v>
      </c>
      <c r="E181" s="99"/>
      <c r="F181" s="87">
        <f t="shared" si="16"/>
        <v>20.331321996708724</v>
      </c>
      <c r="G181" s="4">
        <f t="shared" si="17"/>
        <v>22.813295034878951</v>
      </c>
      <c r="H181" s="9"/>
      <c r="I181" s="58">
        <f t="shared" si="15"/>
        <v>54.69</v>
      </c>
      <c r="J181" s="58">
        <f t="shared" si="15"/>
        <v>48.74</v>
      </c>
      <c r="K181" s="58"/>
    </row>
    <row r="182" spans="1:11" x14ac:dyDescent="0.2">
      <c r="A182" s="49">
        <v>37894</v>
      </c>
      <c r="B182" s="1">
        <v>995.97</v>
      </c>
      <c r="C182" s="17">
        <v>14.41</v>
      </c>
      <c r="D182" s="17">
        <v>12.56</v>
      </c>
      <c r="E182" s="99"/>
      <c r="F182" s="87">
        <f t="shared" si="16"/>
        <v>19.245797101449277</v>
      </c>
      <c r="G182" s="4">
        <f t="shared" si="17"/>
        <v>25.815707620528773</v>
      </c>
      <c r="I182" s="58">
        <f t="shared" si="15"/>
        <v>51.75</v>
      </c>
      <c r="J182" s="58">
        <f t="shared" si="15"/>
        <v>38.58</v>
      </c>
      <c r="K182" s="58"/>
    </row>
    <row r="183" spans="1:11" x14ac:dyDescent="0.2">
      <c r="A183" s="49">
        <v>37802</v>
      </c>
      <c r="B183" s="8">
        <v>974.5</v>
      </c>
      <c r="C183" s="26">
        <v>12.92</v>
      </c>
      <c r="D183" s="26">
        <v>11.1</v>
      </c>
      <c r="E183" s="99"/>
      <c r="F183" s="87">
        <f t="shared" si="16"/>
        <v>19.908069458631257</v>
      </c>
      <c r="G183" s="4">
        <f t="shared" si="17"/>
        <v>28.205499276411</v>
      </c>
      <c r="H183" s="9"/>
      <c r="I183" s="58">
        <f t="shared" si="15"/>
        <v>48.949999999999996</v>
      </c>
      <c r="J183" s="58">
        <f t="shared" si="15"/>
        <v>34.549999999999997</v>
      </c>
      <c r="K183" s="58"/>
    </row>
    <row r="184" spans="1:11" x14ac:dyDescent="0.2">
      <c r="A184" s="49">
        <v>37711</v>
      </c>
      <c r="B184" s="1">
        <v>848.18</v>
      </c>
      <c r="C184" s="17">
        <v>12.48</v>
      </c>
      <c r="D184" s="17">
        <v>11.92</v>
      </c>
      <c r="E184" s="99"/>
      <c r="F184" s="87">
        <f t="shared" si="16"/>
        <v>17.792741766310048</v>
      </c>
      <c r="G184" s="4">
        <f t="shared" si="17"/>
        <v>27.974274406332452</v>
      </c>
      <c r="I184" s="58">
        <f t="shared" si="15"/>
        <v>47.67</v>
      </c>
      <c r="J184" s="58">
        <f t="shared" si="15"/>
        <v>30.32</v>
      </c>
      <c r="K184" s="58"/>
    </row>
    <row r="185" spans="1:11" x14ac:dyDescent="0.2">
      <c r="A185" s="49">
        <v>37621</v>
      </c>
      <c r="B185" s="1">
        <v>879.82</v>
      </c>
      <c r="C185" s="17">
        <v>11.94</v>
      </c>
      <c r="D185" s="17">
        <v>3</v>
      </c>
      <c r="E185" s="99"/>
      <c r="F185" s="87">
        <f t="shared" si="16"/>
        <v>19.109904430929628</v>
      </c>
      <c r="G185" s="4">
        <f t="shared" si="17"/>
        <v>31.889090250090618</v>
      </c>
      <c r="I185" s="58">
        <f t="shared" si="15"/>
        <v>46.04</v>
      </c>
      <c r="J185" s="58">
        <f t="shared" si="15"/>
        <v>27.589999999999996</v>
      </c>
      <c r="K185" s="58"/>
    </row>
    <row r="186" spans="1:11" x14ac:dyDescent="0.2">
      <c r="A186" s="49">
        <v>37529</v>
      </c>
      <c r="B186" s="8">
        <v>815.28</v>
      </c>
      <c r="C186" s="17">
        <v>11.61</v>
      </c>
      <c r="D186" s="17">
        <v>8.5299999999999994</v>
      </c>
      <c r="E186" s="99"/>
      <c r="F186" s="87">
        <f t="shared" si="16"/>
        <v>18.51226158038147</v>
      </c>
      <c r="G186" s="4">
        <f t="shared" si="17"/>
        <v>27.139813581890817</v>
      </c>
      <c r="I186" s="58">
        <f t="shared" si="15"/>
        <v>44.04</v>
      </c>
      <c r="J186" s="58">
        <f t="shared" si="15"/>
        <v>30.039999999999996</v>
      </c>
      <c r="K186" s="58"/>
    </row>
    <row r="187" spans="1:11" x14ac:dyDescent="0.2">
      <c r="A187" s="49">
        <v>37437</v>
      </c>
      <c r="B187" s="1">
        <v>989.81</v>
      </c>
      <c r="C187" s="17">
        <v>11.64</v>
      </c>
      <c r="D187" s="17">
        <v>6.87</v>
      </c>
      <c r="E187" s="99"/>
      <c r="F187" s="87">
        <f t="shared" si="16"/>
        <v>23.799230584275062</v>
      </c>
      <c r="G187" s="4">
        <f t="shared" si="17"/>
        <v>37.016080777860886</v>
      </c>
      <c r="H187" s="9"/>
      <c r="I187" s="58">
        <f t="shared" si="15"/>
        <v>41.59</v>
      </c>
      <c r="J187" s="58">
        <f t="shared" si="15"/>
        <v>26.74</v>
      </c>
      <c r="K187" s="58"/>
    </row>
    <row r="188" spans="1:11" x14ac:dyDescent="0.2">
      <c r="A188" s="49">
        <v>37346</v>
      </c>
      <c r="B188" s="1">
        <v>1147.3900000000001</v>
      </c>
      <c r="C188" s="17">
        <v>10.85</v>
      </c>
      <c r="D188" s="17">
        <v>9.19</v>
      </c>
      <c r="E188" s="99"/>
      <c r="F188" s="87">
        <f t="shared" si="16"/>
        <v>29.442904798562999</v>
      </c>
      <c r="G188" s="4">
        <f t="shared" si="17"/>
        <v>46.453036437246965</v>
      </c>
      <c r="I188" s="58">
        <f t="shared" si="15"/>
        <v>38.97</v>
      </c>
      <c r="J188" s="58">
        <f t="shared" si="15"/>
        <v>24.700000000000003</v>
      </c>
      <c r="K188" s="58"/>
    </row>
    <row r="189" spans="1:11" x14ac:dyDescent="0.2">
      <c r="A189" s="49">
        <v>37256</v>
      </c>
      <c r="B189" s="1">
        <v>1148.08</v>
      </c>
      <c r="C189" s="17">
        <v>9.94</v>
      </c>
      <c r="D189" s="17">
        <v>5.45</v>
      </c>
      <c r="E189" s="99"/>
      <c r="F189" s="87">
        <f t="shared" si="16"/>
        <v>29.55160875160875</v>
      </c>
      <c r="G189" s="4">
        <f t="shared" si="17"/>
        <v>46.499797488861887</v>
      </c>
      <c r="I189" s="58">
        <f t="shared" si="15"/>
        <v>38.85</v>
      </c>
      <c r="J189" s="58">
        <f t="shared" si="15"/>
        <v>24.689999999999998</v>
      </c>
      <c r="K189" s="58"/>
    </row>
    <row r="190" spans="1:11" x14ac:dyDescent="0.2">
      <c r="A190" s="49">
        <v>37164</v>
      </c>
      <c r="B190" s="1">
        <v>1040.94</v>
      </c>
      <c r="C190" s="17">
        <v>9.16</v>
      </c>
      <c r="D190" s="17">
        <v>5.23</v>
      </c>
      <c r="E190" s="99"/>
      <c r="F190" s="87">
        <f t="shared" si="16"/>
        <v>24.772489290813901</v>
      </c>
      <c r="G190" s="4">
        <f t="shared" si="17"/>
        <v>36.769339456022607</v>
      </c>
      <c r="I190" s="58">
        <f t="shared" si="15"/>
        <v>42.019999999999996</v>
      </c>
      <c r="J190" s="58">
        <f t="shared" si="15"/>
        <v>28.310000000000002</v>
      </c>
      <c r="K190" s="58"/>
    </row>
    <row r="191" spans="1:11" x14ac:dyDescent="0.2">
      <c r="A191" s="49">
        <v>37072</v>
      </c>
      <c r="B191" s="1">
        <v>1224.3800000000001</v>
      </c>
      <c r="C191" s="17">
        <v>9.02</v>
      </c>
      <c r="D191" s="17">
        <v>4.83</v>
      </c>
      <c r="E191" s="99"/>
      <c r="F191" s="87">
        <f t="shared" si="16"/>
        <v>26.03402083776313</v>
      </c>
      <c r="G191" s="4">
        <f t="shared" si="17"/>
        <v>33.280239195433545</v>
      </c>
      <c r="I191" s="58">
        <f t="shared" si="15"/>
        <v>47.03</v>
      </c>
      <c r="J191" s="58">
        <f t="shared" si="15"/>
        <v>36.79</v>
      </c>
      <c r="K191" s="58"/>
    </row>
    <row r="192" spans="1:11" x14ac:dyDescent="0.2">
      <c r="A192" s="49">
        <v>36981</v>
      </c>
      <c r="B192" s="1">
        <v>1160.33</v>
      </c>
      <c r="C192" s="17">
        <v>10.73</v>
      </c>
      <c r="D192" s="17">
        <v>9.18</v>
      </c>
      <c r="E192" s="99"/>
      <c r="F192" s="87">
        <f t="shared" si="16"/>
        <v>21.938551711098505</v>
      </c>
      <c r="G192" s="4">
        <f t="shared" si="17"/>
        <v>25.535431338028168</v>
      </c>
      <c r="I192" s="58">
        <f t="shared" si="15"/>
        <v>52.89</v>
      </c>
      <c r="J192" s="58">
        <f t="shared" si="15"/>
        <v>45.44</v>
      </c>
      <c r="K192" s="58"/>
    </row>
    <row r="193" spans="1:11" x14ac:dyDescent="0.2">
      <c r="A193" s="49">
        <v>36891</v>
      </c>
      <c r="B193" s="1">
        <v>1320.28</v>
      </c>
      <c r="C193" s="17">
        <v>13.11</v>
      </c>
      <c r="D193" s="17">
        <v>9.07</v>
      </c>
      <c r="E193" s="99"/>
      <c r="F193" s="87">
        <f t="shared" si="16"/>
        <v>23.521824336362016</v>
      </c>
      <c r="G193" s="4">
        <f t="shared" si="17"/>
        <v>26.405599999999996</v>
      </c>
      <c r="I193" s="58">
        <f t="shared" si="15"/>
        <v>56.13</v>
      </c>
      <c r="J193" s="58">
        <f t="shared" si="15"/>
        <v>50.000000000000007</v>
      </c>
      <c r="K193" s="58"/>
    </row>
    <row r="194" spans="1:11" x14ac:dyDescent="0.2">
      <c r="A194" s="49">
        <v>36799</v>
      </c>
      <c r="B194" s="1">
        <v>1436.51</v>
      </c>
      <c r="C194" s="17">
        <v>14.17</v>
      </c>
      <c r="D194" s="17">
        <v>13.71</v>
      </c>
      <c r="E194" s="99"/>
      <c r="F194" s="87">
        <f t="shared" ref="F194:F241" si="18">B194/I194</f>
        <v>25.295122380700825</v>
      </c>
      <c r="G194" s="4">
        <f t="shared" ref="G194:G241" si="19">B194/J194</f>
        <v>26.750651769087522</v>
      </c>
      <c r="I194" s="58">
        <f t="shared" ref="I194:J241" si="20">SUM(C194:C197)</f>
        <v>56.790000000000006</v>
      </c>
      <c r="J194" s="58">
        <f t="shared" ref="J194:J240" si="21">SUM(D194:D197)</f>
        <v>53.7</v>
      </c>
      <c r="K194" s="58"/>
    </row>
    <row r="195" spans="1:11" x14ac:dyDescent="0.2">
      <c r="A195" s="49">
        <v>36707</v>
      </c>
      <c r="B195" s="1">
        <v>1454.6</v>
      </c>
      <c r="C195" s="17">
        <v>14.88</v>
      </c>
      <c r="D195" s="17">
        <v>13.48</v>
      </c>
      <c r="E195" s="99"/>
      <c r="F195" s="87">
        <f t="shared" si="18"/>
        <v>26.16657672243209</v>
      </c>
      <c r="G195" s="4">
        <f t="shared" si="19"/>
        <v>28.01617873651772</v>
      </c>
      <c r="I195" s="58">
        <f t="shared" si="20"/>
        <v>55.59</v>
      </c>
      <c r="J195" s="58">
        <f t="shared" si="21"/>
        <v>51.919999999999995</v>
      </c>
      <c r="K195" s="58"/>
    </row>
    <row r="196" spans="1:11" x14ac:dyDescent="0.2">
      <c r="A196" s="49">
        <v>36616</v>
      </c>
      <c r="B196" s="1">
        <v>1498.58</v>
      </c>
      <c r="C196" s="17">
        <v>13.97</v>
      </c>
      <c r="D196" s="17">
        <v>13.74</v>
      </c>
      <c r="E196" s="99"/>
      <c r="F196" s="87">
        <f t="shared" si="18"/>
        <v>27.792655786350146</v>
      </c>
      <c r="G196" s="4">
        <f t="shared" si="19"/>
        <v>29.412757605495585</v>
      </c>
      <c r="I196" s="58">
        <f t="shared" si="20"/>
        <v>53.92</v>
      </c>
      <c r="J196" s="58">
        <f t="shared" si="21"/>
        <v>50.949999999999996</v>
      </c>
      <c r="K196" s="58"/>
    </row>
    <row r="197" spans="1:11" x14ac:dyDescent="0.2">
      <c r="A197" s="49">
        <v>36525</v>
      </c>
      <c r="B197" s="1">
        <v>1469.25</v>
      </c>
      <c r="C197" s="17">
        <v>13.77</v>
      </c>
      <c r="D197" s="17">
        <v>12.77</v>
      </c>
      <c r="E197" s="99"/>
      <c r="F197" s="87">
        <f t="shared" si="18"/>
        <v>28.429760061919502</v>
      </c>
      <c r="G197" s="4">
        <f t="shared" si="19"/>
        <v>30.501349387585634</v>
      </c>
      <c r="I197" s="58">
        <f t="shared" si="20"/>
        <v>51.680000000000007</v>
      </c>
      <c r="J197" s="58">
        <f t="shared" si="21"/>
        <v>48.17</v>
      </c>
      <c r="K197" s="58"/>
    </row>
    <row r="198" spans="1:11" x14ac:dyDescent="0.2">
      <c r="A198" s="49">
        <v>36433</v>
      </c>
      <c r="B198" s="1">
        <v>1282.71</v>
      </c>
      <c r="C198" s="17">
        <v>12.97</v>
      </c>
      <c r="D198" s="17">
        <v>11.93</v>
      </c>
      <c r="E198" s="99"/>
      <c r="F198" s="87">
        <f t="shared" si="18"/>
        <v>25.976306196840831</v>
      </c>
      <c r="G198" s="4">
        <f t="shared" si="19"/>
        <v>29.179026387625115</v>
      </c>
      <c r="I198" s="58">
        <f t="shared" si="20"/>
        <v>49.379999999999995</v>
      </c>
      <c r="J198" s="58">
        <f t="shared" si="21"/>
        <v>43.96</v>
      </c>
      <c r="K198" s="58"/>
    </row>
    <row r="199" spans="1:11" x14ac:dyDescent="0.2">
      <c r="A199" s="49">
        <v>36341</v>
      </c>
      <c r="B199" s="1">
        <v>1372.71</v>
      </c>
      <c r="C199" s="17">
        <v>13.21</v>
      </c>
      <c r="D199" s="17">
        <v>12.51</v>
      </c>
      <c r="E199" s="99"/>
      <c r="F199" s="87">
        <f t="shared" si="18"/>
        <v>29.293854033290653</v>
      </c>
      <c r="G199" s="4">
        <f t="shared" si="19"/>
        <v>33.464407606045832</v>
      </c>
      <c r="I199" s="58">
        <f t="shared" si="20"/>
        <v>46.86</v>
      </c>
      <c r="J199" s="58">
        <f t="shared" si="21"/>
        <v>41.02</v>
      </c>
      <c r="K199" s="58"/>
    </row>
    <row r="200" spans="1:11" x14ac:dyDescent="0.2">
      <c r="A200" s="49">
        <v>36250</v>
      </c>
      <c r="B200" s="1">
        <v>1286.3699999999999</v>
      </c>
      <c r="C200" s="17">
        <v>11.73</v>
      </c>
      <c r="D200" s="17">
        <v>10.96</v>
      </c>
      <c r="E200" s="99"/>
      <c r="F200" s="87">
        <f t="shared" si="18"/>
        <v>28.535270629991121</v>
      </c>
      <c r="G200" s="4">
        <f t="shared" si="19"/>
        <v>33.516675351745697</v>
      </c>
      <c r="I200" s="58">
        <f t="shared" si="20"/>
        <v>45.080000000000005</v>
      </c>
      <c r="J200" s="58">
        <f t="shared" si="21"/>
        <v>38.380000000000003</v>
      </c>
      <c r="K200" s="58"/>
    </row>
    <row r="201" spans="1:11" x14ac:dyDescent="0.2">
      <c r="A201" s="49">
        <v>36160</v>
      </c>
      <c r="B201" s="1">
        <v>1229.23</v>
      </c>
      <c r="C201" s="17">
        <v>11.47</v>
      </c>
      <c r="D201" s="17">
        <v>8.56</v>
      </c>
      <c r="E201" s="99"/>
      <c r="F201" s="87">
        <f t="shared" si="18"/>
        <v>27.766659137113166</v>
      </c>
      <c r="G201" s="4">
        <f t="shared" si="19"/>
        <v>32.596923892866613</v>
      </c>
      <c r="I201" s="58">
        <f t="shared" si="20"/>
        <v>44.27</v>
      </c>
      <c r="J201" s="58">
        <f t="shared" si="21"/>
        <v>37.71</v>
      </c>
      <c r="K201" s="58"/>
    </row>
    <row r="202" spans="1:11" x14ac:dyDescent="0.2">
      <c r="A202" s="49">
        <v>36068</v>
      </c>
      <c r="B202" s="1">
        <v>1017.01</v>
      </c>
      <c r="C202" s="17">
        <v>10.45</v>
      </c>
      <c r="D202" s="17">
        <v>8.99</v>
      </c>
      <c r="E202" s="99"/>
      <c r="F202" s="87">
        <f t="shared" si="18"/>
        <v>23.066681787253348</v>
      </c>
      <c r="G202" s="4">
        <f t="shared" si="19"/>
        <v>26.700183775269103</v>
      </c>
      <c r="I202" s="58">
        <f t="shared" si="20"/>
        <v>44.089999999999996</v>
      </c>
      <c r="J202" s="58">
        <f t="shared" si="21"/>
        <v>38.089999999999996</v>
      </c>
      <c r="K202" s="58"/>
    </row>
    <row r="203" spans="1:11" x14ac:dyDescent="0.2">
      <c r="A203" s="49">
        <v>35976</v>
      </c>
      <c r="B203" s="1">
        <v>1133.8399999999999</v>
      </c>
      <c r="C203" s="17">
        <v>11.43</v>
      </c>
      <c r="D203" s="17">
        <v>9.8699999999999992</v>
      </c>
      <c r="E203" s="99"/>
      <c r="F203" s="87">
        <f t="shared" si="18"/>
        <v>25.382583389299302</v>
      </c>
      <c r="G203" s="4">
        <f t="shared" si="19"/>
        <v>29.095201437002828</v>
      </c>
      <c r="I203" s="58">
        <f t="shared" si="20"/>
        <v>44.67</v>
      </c>
      <c r="J203" s="58">
        <f t="shared" si="21"/>
        <v>38.969999999999992</v>
      </c>
      <c r="K203" s="58"/>
    </row>
    <row r="204" spans="1:11" x14ac:dyDescent="0.2">
      <c r="A204" s="49">
        <v>35885</v>
      </c>
      <c r="B204" s="1">
        <v>1101.75</v>
      </c>
      <c r="C204" s="17">
        <v>10.92</v>
      </c>
      <c r="D204" s="17">
        <v>10.29</v>
      </c>
      <c r="E204" s="99"/>
      <c r="F204" s="87">
        <f t="shared" si="18"/>
        <v>24.830966869506419</v>
      </c>
      <c r="G204" s="4">
        <f t="shared" si="19"/>
        <v>27.86418816388468</v>
      </c>
      <c r="I204" s="58">
        <f t="shared" si="20"/>
        <v>44.370000000000005</v>
      </c>
      <c r="J204" s="58">
        <f t="shared" si="21"/>
        <v>39.539999999999992</v>
      </c>
      <c r="K204" s="58"/>
    </row>
    <row r="205" spans="1:11" x14ac:dyDescent="0.2">
      <c r="A205" s="49">
        <v>35795</v>
      </c>
      <c r="B205" s="1">
        <v>970.43</v>
      </c>
      <c r="C205" s="17">
        <v>11.29</v>
      </c>
      <c r="D205" s="17">
        <v>8.94</v>
      </c>
      <c r="E205" s="99"/>
      <c r="F205" s="87">
        <f t="shared" si="18"/>
        <v>22.050215860031809</v>
      </c>
      <c r="G205" s="4">
        <f t="shared" si="19"/>
        <v>24.431772406847934</v>
      </c>
      <c r="I205" s="58">
        <f t="shared" si="20"/>
        <v>44.010000000000005</v>
      </c>
      <c r="J205" s="58">
        <f t="shared" si="21"/>
        <v>39.72</v>
      </c>
      <c r="K205" s="58"/>
    </row>
    <row r="206" spans="1:11" x14ac:dyDescent="0.2">
      <c r="A206" s="49">
        <v>35703</v>
      </c>
      <c r="B206" s="1">
        <v>947.28</v>
      </c>
      <c r="C206" s="17">
        <v>11.03</v>
      </c>
      <c r="D206" s="17">
        <v>9.8699999999999992</v>
      </c>
      <c r="E206" s="99"/>
      <c r="F206" s="87">
        <f t="shared" si="18"/>
        <v>21.662016922021497</v>
      </c>
      <c r="G206" s="4">
        <f t="shared" si="19"/>
        <v>23.309055118110233</v>
      </c>
      <c r="I206" s="58">
        <f t="shared" si="20"/>
        <v>43.73</v>
      </c>
      <c r="J206" s="58">
        <f t="shared" si="21"/>
        <v>40.64</v>
      </c>
      <c r="K206" s="58"/>
    </row>
    <row r="207" spans="1:11" x14ac:dyDescent="0.2">
      <c r="A207" s="49">
        <v>35611</v>
      </c>
      <c r="B207" s="1">
        <v>885.14</v>
      </c>
      <c r="C207" s="17">
        <v>11.13</v>
      </c>
      <c r="D207" s="17">
        <v>10.44</v>
      </c>
      <c r="E207" s="99"/>
      <c r="F207" s="87">
        <f t="shared" si="18"/>
        <v>20.768183951196619</v>
      </c>
      <c r="G207" s="4">
        <f t="shared" si="19"/>
        <v>21.828360049321827</v>
      </c>
      <c r="I207" s="58">
        <f t="shared" si="20"/>
        <v>42.620000000000005</v>
      </c>
      <c r="J207" s="58">
        <f t="shared" si="21"/>
        <v>40.549999999999997</v>
      </c>
      <c r="K207" s="58"/>
    </row>
    <row r="208" spans="1:11" x14ac:dyDescent="0.2">
      <c r="A208" s="49">
        <v>35520</v>
      </c>
      <c r="B208" s="1">
        <v>757.12</v>
      </c>
      <c r="C208" s="17">
        <v>10.56</v>
      </c>
      <c r="D208" s="17">
        <v>10.47</v>
      </c>
      <c r="E208" s="99"/>
      <c r="F208" s="87">
        <f t="shared" si="18"/>
        <v>18.112918660287079</v>
      </c>
      <c r="G208" s="4">
        <f t="shared" si="19"/>
        <v>18.815109343936381</v>
      </c>
      <c r="I208" s="58">
        <f t="shared" si="20"/>
        <v>41.800000000000004</v>
      </c>
      <c r="J208" s="58">
        <f t="shared" si="21"/>
        <v>40.24</v>
      </c>
      <c r="K208" s="58"/>
    </row>
    <row r="209" spans="1:11" x14ac:dyDescent="0.2">
      <c r="A209" s="49">
        <v>35430</v>
      </c>
      <c r="B209" s="1">
        <v>740.74</v>
      </c>
      <c r="C209" s="17">
        <v>11.01</v>
      </c>
      <c r="D209" s="17">
        <v>9.86</v>
      </c>
      <c r="E209" s="99"/>
      <c r="F209" s="87">
        <f t="shared" si="18"/>
        <v>18.231356140782673</v>
      </c>
      <c r="G209" s="4">
        <f t="shared" si="19"/>
        <v>19.125742318616059</v>
      </c>
      <c r="I209" s="58">
        <f t="shared" si="20"/>
        <v>40.630000000000003</v>
      </c>
      <c r="J209" s="58">
        <f t="shared" si="21"/>
        <v>38.730000000000004</v>
      </c>
      <c r="K209" s="58"/>
    </row>
    <row r="210" spans="1:11" x14ac:dyDescent="0.2">
      <c r="A210" s="49">
        <v>35338</v>
      </c>
      <c r="B210" s="1">
        <v>687.33</v>
      </c>
      <c r="C210" s="17">
        <v>9.92</v>
      </c>
      <c r="D210" s="17">
        <v>9.7799999999999994</v>
      </c>
      <c r="E210" s="99"/>
      <c r="F210" s="87">
        <f t="shared" si="18"/>
        <v>17.444923857868023</v>
      </c>
      <c r="G210" s="4">
        <f t="shared" si="19"/>
        <v>19.092500000000001</v>
      </c>
      <c r="I210" s="58">
        <f t="shared" si="20"/>
        <v>39.4</v>
      </c>
      <c r="J210" s="58">
        <f t="shared" si="21"/>
        <v>36</v>
      </c>
      <c r="K210" s="58"/>
    </row>
    <row r="211" spans="1:11" x14ac:dyDescent="0.2">
      <c r="A211" s="49">
        <v>35246</v>
      </c>
      <c r="B211" s="1">
        <v>670.63</v>
      </c>
      <c r="C211" s="17">
        <v>10.31</v>
      </c>
      <c r="D211" s="17">
        <v>10.130000000000001</v>
      </c>
      <c r="E211" s="99"/>
      <c r="F211" s="87">
        <f t="shared" si="18"/>
        <v>17.081762608252671</v>
      </c>
      <c r="G211" s="4">
        <f t="shared" si="19"/>
        <v>19.210254941277569</v>
      </c>
      <c r="I211" s="58">
        <f t="shared" si="20"/>
        <v>39.260000000000005</v>
      </c>
      <c r="J211" s="58">
        <f t="shared" si="21"/>
        <v>34.910000000000004</v>
      </c>
      <c r="K211" s="58"/>
    </row>
    <row r="212" spans="1:11" x14ac:dyDescent="0.2">
      <c r="A212" s="49">
        <v>35155</v>
      </c>
      <c r="B212" s="1">
        <v>645.5</v>
      </c>
      <c r="C212" s="17">
        <v>9.39</v>
      </c>
      <c r="D212" s="17">
        <v>8.9600000000000009</v>
      </c>
      <c r="E212" s="99"/>
      <c r="F212" s="87">
        <f t="shared" si="18"/>
        <v>16.788036410923276</v>
      </c>
      <c r="G212" s="4">
        <f t="shared" si="19"/>
        <v>18.962984723854291</v>
      </c>
      <c r="I212" s="58">
        <f t="shared" si="20"/>
        <v>38.450000000000003</v>
      </c>
      <c r="J212" s="58">
        <f t="shared" si="21"/>
        <v>34.04</v>
      </c>
      <c r="K212" s="58"/>
    </row>
    <row r="213" spans="1:11" x14ac:dyDescent="0.2">
      <c r="A213" s="49">
        <v>35064</v>
      </c>
      <c r="B213" s="1">
        <v>615.92999999999995</v>
      </c>
      <c r="C213" s="17">
        <v>9.7799999999999994</v>
      </c>
      <c r="D213" s="17">
        <v>7.13</v>
      </c>
      <c r="E213" s="99"/>
      <c r="F213" s="87">
        <f t="shared" si="18"/>
        <v>16.337665782493367</v>
      </c>
      <c r="G213" s="4">
        <f t="shared" si="19"/>
        <v>18.136925795053003</v>
      </c>
      <c r="I213" s="58">
        <f t="shared" si="20"/>
        <v>37.700000000000003</v>
      </c>
      <c r="J213" s="58">
        <f t="shared" si="21"/>
        <v>33.96</v>
      </c>
      <c r="K213" s="58"/>
    </row>
    <row r="214" spans="1:11" x14ac:dyDescent="0.2">
      <c r="A214" s="49">
        <v>34972</v>
      </c>
      <c r="B214" s="1">
        <v>584.41</v>
      </c>
      <c r="C214" s="17">
        <v>9.7799999999999994</v>
      </c>
      <c r="D214" s="17">
        <v>8.69</v>
      </c>
      <c r="E214" s="99"/>
      <c r="F214" s="87">
        <f t="shared" si="18"/>
        <v>15.915305010893245</v>
      </c>
      <c r="G214" s="4">
        <f t="shared" si="19"/>
        <v>16.611995451961342</v>
      </c>
      <c r="I214" s="58">
        <f t="shared" si="20"/>
        <v>36.72</v>
      </c>
      <c r="J214" s="58">
        <f t="shared" si="21"/>
        <v>35.18</v>
      </c>
      <c r="K214" s="58"/>
    </row>
    <row r="215" spans="1:11" x14ac:dyDescent="0.2">
      <c r="A215" s="49">
        <v>34880</v>
      </c>
      <c r="B215" s="1">
        <v>544.75</v>
      </c>
      <c r="C215" s="17">
        <v>9.5</v>
      </c>
      <c r="D215" s="17">
        <v>9.26</v>
      </c>
      <c r="E215" s="99"/>
      <c r="F215" s="87">
        <f t="shared" si="18"/>
        <v>15.577637975407493</v>
      </c>
      <c r="G215" s="4">
        <f t="shared" si="19"/>
        <v>15.821957595120535</v>
      </c>
      <c r="I215" s="58">
        <f t="shared" si="20"/>
        <v>34.97</v>
      </c>
      <c r="J215" s="58">
        <f t="shared" si="21"/>
        <v>34.43</v>
      </c>
      <c r="K215" s="58"/>
    </row>
    <row r="216" spans="1:11" x14ac:dyDescent="0.2">
      <c r="A216" s="49">
        <v>34789</v>
      </c>
      <c r="B216" s="1">
        <v>500.71</v>
      </c>
      <c r="C216" s="17">
        <v>8.64</v>
      </c>
      <c r="D216" s="17">
        <v>8.8800000000000008</v>
      </c>
      <c r="E216" s="99"/>
      <c r="F216" s="87">
        <f t="shared" si="18"/>
        <v>15.072546658639373</v>
      </c>
      <c r="G216" s="4">
        <f t="shared" si="19"/>
        <v>15.382795698924729</v>
      </c>
      <c r="I216" s="58">
        <f t="shared" si="20"/>
        <v>33.22</v>
      </c>
      <c r="J216" s="58">
        <f t="shared" si="21"/>
        <v>32.550000000000004</v>
      </c>
      <c r="K216" s="58"/>
    </row>
    <row r="217" spans="1:11" x14ac:dyDescent="0.2">
      <c r="A217" s="49">
        <v>34699</v>
      </c>
      <c r="B217" s="1">
        <v>459.27</v>
      </c>
      <c r="C217" s="17">
        <v>8.8000000000000007</v>
      </c>
      <c r="D217" s="17">
        <v>8.35</v>
      </c>
      <c r="E217" s="99"/>
      <c r="F217" s="87">
        <f t="shared" si="18"/>
        <v>14.465196850393701</v>
      </c>
      <c r="G217" s="4">
        <f t="shared" si="19"/>
        <v>15.008823529411766</v>
      </c>
      <c r="I217" s="58">
        <f t="shared" si="20"/>
        <v>31.75</v>
      </c>
      <c r="J217" s="58">
        <f t="shared" si="21"/>
        <v>30.599999999999998</v>
      </c>
      <c r="K217" s="58"/>
    </row>
    <row r="218" spans="1:11" x14ac:dyDescent="0.2">
      <c r="A218" s="49">
        <v>34607</v>
      </c>
      <c r="B218" s="1">
        <v>462.71</v>
      </c>
      <c r="C218" s="17">
        <v>8.0299999999999994</v>
      </c>
      <c r="D218" s="17">
        <v>7.94</v>
      </c>
      <c r="E218" s="99"/>
      <c r="F218" s="87">
        <f t="shared" si="18"/>
        <v>15.3673198272999</v>
      </c>
      <c r="G218" s="4">
        <f t="shared" si="19"/>
        <v>16.930479326747164</v>
      </c>
      <c r="I218" s="58">
        <f t="shared" si="20"/>
        <v>30.11</v>
      </c>
      <c r="J218" s="58">
        <f t="shared" si="21"/>
        <v>27.33</v>
      </c>
      <c r="K218" s="58"/>
    </row>
    <row r="219" spans="1:11" x14ac:dyDescent="0.2">
      <c r="A219" s="49">
        <v>34515</v>
      </c>
      <c r="B219" s="1">
        <v>444.27</v>
      </c>
      <c r="C219" s="17">
        <v>7.75</v>
      </c>
      <c r="D219" s="17">
        <v>7.38</v>
      </c>
      <c r="E219" s="99"/>
      <c r="F219" s="87">
        <f t="shared" si="18"/>
        <v>15.319655172413793</v>
      </c>
      <c r="G219" s="4">
        <f t="shared" si="19"/>
        <v>17.629761904761903</v>
      </c>
      <c r="I219" s="58">
        <f t="shared" si="20"/>
        <v>29</v>
      </c>
      <c r="J219" s="58">
        <f t="shared" si="21"/>
        <v>25.2</v>
      </c>
      <c r="K219" s="58"/>
    </row>
    <row r="220" spans="1:11" x14ac:dyDescent="0.2">
      <c r="A220" s="49">
        <v>34424</v>
      </c>
      <c r="B220" s="1">
        <v>445.77</v>
      </c>
      <c r="C220" s="17">
        <v>7.17</v>
      </c>
      <c r="D220" s="17">
        <v>6.93</v>
      </c>
      <c r="E220" s="99"/>
      <c r="F220" s="87">
        <f t="shared" si="18"/>
        <v>16.023364485981308</v>
      </c>
      <c r="G220" s="4">
        <f t="shared" si="19"/>
        <v>19.628797886393659</v>
      </c>
      <c r="I220" s="58">
        <f t="shared" si="20"/>
        <v>27.82</v>
      </c>
      <c r="J220" s="58">
        <f t="shared" si="21"/>
        <v>22.71</v>
      </c>
      <c r="K220" s="58"/>
    </row>
    <row r="221" spans="1:11" x14ac:dyDescent="0.2">
      <c r="A221" s="49">
        <v>34334</v>
      </c>
      <c r="B221" s="1">
        <v>466.45</v>
      </c>
      <c r="C221" s="17">
        <v>7.16</v>
      </c>
      <c r="D221" s="17">
        <v>5.08</v>
      </c>
      <c r="E221" s="99"/>
      <c r="F221" s="87">
        <f t="shared" si="18"/>
        <v>17.340148698884757</v>
      </c>
      <c r="G221" s="4">
        <f t="shared" si="19"/>
        <v>21.308816811329372</v>
      </c>
      <c r="I221" s="58">
        <f t="shared" si="20"/>
        <v>26.9</v>
      </c>
      <c r="J221" s="58">
        <f t="shared" si="21"/>
        <v>21.89</v>
      </c>
      <c r="K221" s="58"/>
    </row>
    <row r="222" spans="1:11" x14ac:dyDescent="0.2">
      <c r="A222" s="49">
        <v>34242</v>
      </c>
      <c r="B222" s="1">
        <v>458.93</v>
      </c>
      <c r="C222" s="17">
        <v>6.92</v>
      </c>
      <c r="D222" s="17">
        <v>5.81</v>
      </c>
      <c r="E222" s="99"/>
      <c r="F222" s="87">
        <f t="shared" si="18"/>
        <v>18.103747534516764</v>
      </c>
      <c r="G222" s="4">
        <f t="shared" si="19"/>
        <v>22.485546300832926</v>
      </c>
      <c r="I222" s="58">
        <f t="shared" si="20"/>
        <v>25.35</v>
      </c>
      <c r="J222" s="58">
        <f t="shared" si="21"/>
        <v>20.41</v>
      </c>
      <c r="K222" s="58"/>
    </row>
    <row r="223" spans="1:11" x14ac:dyDescent="0.2">
      <c r="A223" s="49">
        <v>34150</v>
      </c>
      <c r="B223" s="1">
        <v>450.53</v>
      </c>
      <c r="C223" s="17">
        <v>6.57</v>
      </c>
      <c r="D223" s="17">
        <v>4.8899999999999997</v>
      </c>
      <c r="E223" s="99"/>
      <c r="F223" s="87">
        <f t="shared" si="18"/>
        <v>19.130785562632695</v>
      </c>
      <c r="G223" s="4">
        <f t="shared" si="19"/>
        <v>23.307294361096741</v>
      </c>
      <c r="I223" s="58">
        <f t="shared" si="20"/>
        <v>23.55</v>
      </c>
      <c r="J223" s="58">
        <f t="shared" si="21"/>
        <v>19.329999999999998</v>
      </c>
      <c r="K223" s="58"/>
    </row>
    <row r="224" spans="1:11" x14ac:dyDescent="0.2">
      <c r="A224" s="49">
        <v>34059</v>
      </c>
      <c r="B224" s="1">
        <v>451.67</v>
      </c>
      <c r="C224" s="17">
        <v>6.25</v>
      </c>
      <c r="D224" s="17">
        <v>6.11</v>
      </c>
      <c r="E224" s="99"/>
      <c r="F224" s="87">
        <f t="shared" si="18"/>
        <v>20.354664263181611</v>
      </c>
      <c r="G224" s="4">
        <f t="shared" si="19"/>
        <v>22.765624999999996</v>
      </c>
      <c r="I224" s="58">
        <f t="shared" si="20"/>
        <v>22.19</v>
      </c>
      <c r="J224" s="58">
        <f t="shared" si="21"/>
        <v>19.840000000000003</v>
      </c>
      <c r="K224" s="58"/>
    </row>
    <row r="225" spans="1:16" x14ac:dyDescent="0.2">
      <c r="A225" s="49">
        <v>33969</v>
      </c>
      <c r="B225" s="1">
        <v>435.71</v>
      </c>
      <c r="C225" s="17">
        <v>5.61</v>
      </c>
      <c r="D225" s="17">
        <v>3.6</v>
      </c>
      <c r="E225" s="99"/>
      <c r="F225" s="87">
        <f t="shared" si="18"/>
        <v>20.877335888835646</v>
      </c>
      <c r="G225" s="4">
        <f t="shared" si="19"/>
        <v>22.823991618648506</v>
      </c>
      <c r="I225" s="58">
        <f t="shared" si="20"/>
        <v>20.87</v>
      </c>
      <c r="J225" s="58">
        <f t="shared" si="21"/>
        <v>19.09</v>
      </c>
      <c r="K225" s="58"/>
    </row>
    <row r="226" spans="1:16" x14ac:dyDescent="0.2">
      <c r="A226" s="49">
        <v>33877</v>
      </c>
      <c r="B226" s="1">
        <v>417.8</v>
      </c>
      <c r="C226" s="17">
        <v>5.12</v>
      </c>
      <c r="D226" s="17">
        <v>4.7300000000000004</v>
      </c>
      <c r="E226" s="99"/>
      <c r="F226" s="87">
        <f t="shared" si="18"/>
        <v>21.005530417295123</v>
      </c>
      <c r="G226" s="4">
        <f t="shared" si="19"/>
        <v>23.159645232815961</v>
      </c>
      <c r="I226" s="58">
        <f t="shared" si="20"/>
        <v>19.89</v>
      </c>
      <c r="J226" s="58">
        <f t="shared" si="21"/>
        <v>18.040000000000003</v>
      </c>
      <c r="K226" s="58"/>
    </row>
    <row r="227" spans="1:16" x14ac:dyDescent="0.2">
      <c r="A227" s="49">
        <v>33785</v>
      </c>
      <c r="B227" s="1">
        <v>408.14</v>
      </c>
      <c r="C227" s="17">
        <v>5.21</v>
      </c>
      <c r="D227" s="17">
        <v>5.4</v>
      </c>
      <c r="E227" s="99"/>
      <c r="F227" s="87">
        <f t="shared" si="18"/>
        <v>20.530181086519114</v>
      </c>
      <c r="G227" s="4">
        <f t="shared" si="19"/>
        <v>23.937829912023453</v>
      </c>
      <c r="I227" s="58">
        <f t="shared" si="20"/>
        <v>19.88</v>
      </c>
      <c r="J227" s="58">
        <f t="shared" si="21"/>
        <v>17.050000000000004</v>
      </c>
      <c r="K227" s="58"/>
    </row>
    <row r="228" spans="1:16" x14ac:dyDescent="0.2">
      <c r="A228" s="49">
        <v>33694</v>
      </c>
      <c r="B228" s="1">
        <v>403.69</v>
      </c>
      <c r="C228" s="17">
        <v>4.93</v>
      </c>
      <c r="D228" s="17">
        <v>5.36</v>
      </c>
      <c r="E228" s="99"/>
      <c r="F228" s="87">
        <f t="shared" si="18"/>
        <v>20.744604316546766</v>
      </c>
      <c r="G228" s="4">
        <f t="shared" si="19"/>
        <v>24.934527486102532</v>
      </c>
      <c r="I228" s="58">
        <f t="shared" si="20"/>
        <v>19.459999999999997</v>
      </c>
      <c r="J228" s="58">
        <f t="shared" si="21"/>
        <v>16.190000000000001</v>
      </c>
      <c r="K228" s="58"/>
    </row>
    <row r="229" spans="1:16" x14ac:dyDescent="0.2">
      <c r="A229" s="49">
        <v>33603</v>
      </c>
      <c r="B229" s="1">
        <v>417.09</v>
      </c>
      <c r="C229" s="17">
        <v>4.63</v>
      </c>
      <c r="D229" s="17">
        <v>2.5499999999999998</v>
      </c>
      <c r="E229" s="99"/>
      <c r="F229" s="87">
        <f t="shared" si="18"/>
        <v>21.610880829015542</v>
      </c>
      <c r="G229" s="4">
        <f t="shared" si="19"/>
        <v>26.117094552285536</v>
      </c>
      <c r="I229" s="58">
        <f t="shared" si="20"/>
        <v>19.3</v>
      </c>
      <c r="J229" s="58">
        <f t="shared" si="21"/>
        <v>15.969999999999999</v>
      </c>
      <c r="K229" s="58"/>
    </row>
    <row r="230" spans="1:16" x14ac:dyDescent="0.2">
      <c r="A230" s="49">
        <v>33511</v>
      </c>
      <c r="B230" s="1">
        <v>387.86</v>
      </c>
      <c r="C230" s="17">
        <v>5.1100000000000003</v>
      </c>
      <c r="D230" s="17">
        <v>3.74</v>
      </c>
      <c r="E230" s="99"/>
      <c r="F230" s="87">
        <f t="shared" si="18"/>
        <v>19.708333333333336</v>
      </c>
      <c r="G230" s="4">
        <f t="shared" si="19"/>
        <v>21.765432098765434</v>
      </c>
      <c r="I230" s="58">
        <f t="shared" si="20"/>
        <v>19.68</v>
      </c>
      <c r="J230" s="58">
        <f t="shared" si="21"/>
        <v>17.82</v>
      </c>
      <c r="K230" s="58"/>
    </row>
    <row r="231" spans="1:16" x14ac:dyDescent="0.2">
      <c r="A231" s="49">
        <v>33419</v>
      </c>
      <c r="B231" s="1">
        <v>371.16</v>
      </c>
      <c r="C231" s="17">
        <v>4.79</v>
      </c>
      <c r="D231" s="17">
        <v>4.54</v>
      </c>
      <c r="E231" s="99"/>
      <c r="F231" s="87">
        <f t="shared" si="18"/>
        <v>18.070107108081793</v>
      </c>
      <c r="G231" s="4">
        <f t="shared" si="19"/>
        <v>19.122102009273572</v>
      </c>
      <c r="I231" s="58">
        <f t="shared" si="20"/>
        <v>20.54</v>
      </c>
      <c r="J231" s="58">
        <f t="shared" si="21"/>
        <v>19.41</v>
      </c>
      <c r="K231" s="58"/>
    </row>
    <row r="232" spans="1:16" x14ac:dyDescent="0.2">
      <c r="A232" s="49">
        <v>33328</v>
      </c>
      <c r="B232" s="1">
        <v>375.22</v>
      </c>
      <c r="C232" s="17">
        <v>4.7699999999999996</v>
      </c>
      <c r="D232" s="17">
        <v>5.14</v>
      </c>
      <c r="E232" s="99"/>
      <c r="F232" s="87">
        <f t="shared" si="18"/>
        <v>17.204034846400734</v>
      </c>
      <c r="G232" s="4">
        <f t="shared" si="19"/>
        <v>17.91881566380134</v>
      </c>
      <c r="I232" s="58">
        <f t="shared" si="20"/>
        <v>21.81</v>
      </c>
      <c r="J232" s="58">
        <f t="shared" si="21"/>
        <v>20.939999999999998</v>
      </c>
      <c r="K232" s="58"/>
    </row>
    <row r="233" spans="1:16" x14ac:dyDescent="0.2">
      <c r="A233" s="49">
        <v>33238</v>
      </c>
      <c r="B233" s="1">
        <v>330.22</v>
      </c>
      <c r="C233" s="17">
        <v>5.01</v>
      </c>
      <c r="D233" s="17">
        <v>4.4000000000000004</v>
      </c>
      <c r="E233" s="99"/>
      <c r="F233" s="87">
        <f t="shared" si="18"/>
        <v>14.579249448123623</v>
      </c>
      <c r="G233" s="4">
        <f t="shared" si="19"/>
        <v>15.474226804123713</v>
      </c>
      <c r="I233" s="58">
        <f t="shared" si="20"/>
        <v>22.65</v>
      </c>
      <c r="J233" s="58">
        <f t="shared" si="21"/>
        <v>21.34</v>
      </c>
      <c r="K233" s="58"/>
    </row>
    <row r="234" spans="1:16" x14ac:dyDescent="0.2">
      <c r="A234" s="49">
        <v>33146</v>
      </c>
      <c r="B234" s="1">
        <v>306.05</v>
      </c>
      <c r="C234" s="17">
        <v>5.97</v>
      </c>
      <c r="D234" s="17">
        <v>5.33</v>
      </c>
      <c r="E234" s="99"/>
      <c r="F234" s="87">
        <f t="shared" si="18"/>
        <v>13.034497444633731</v>
      </c>
      <c r="G234" s="4">
        <f t="shared" si="19"/>
        <v>14.077736890524378</v>
      </c>
      <c r="I234" s="58">
        <f t="shared" si="20"/>
        <v>23.48</v>
      </c>
      <c r="J234" s="58">
        <f t="shared" si="21"/>
        <v>21.740000000000002</v>
      </c>
      <c r="K234" s="58"/>
      <c r="L234" s="16"/>
      <c r="M234" s="16"/>
    </row>
    <row r="235" spans="1:16" x14ac:dyDescent="0.2">
      <c r="A235" s="49">
        <v>33054</v>
      </c>
      <c r="B235" s="1">
        <v>358.02</v>
      </c>
      <c r="C235" s="17">
        <v>6.06</v>
      </c>
      <c r="D235" s="17">
        <v>6.07</v>
      </c>
      <c r="E235" s="99"/>
      <c r="F235" s="87">
        <f t="shared" si="18"/>
        <v>15.532321041214752</v>
      </c>
      <c r="G235" s="4">
        <f t="shared" si="19"/>
        <v>16.840075258701788</v>
      </c>
      <c r="I235" s="58">
        <f t="shared" si="20"/>
        <v>23.049999999999997</v>
      </c>
      <c r="J235" s="58">
        <f t="shared" si="21"/>
        <v>21.259999999999998</v>
      </c>
      <c r="K235" s="58"/>
      <c r="L235" s="16"/>
      <c r="M235" s="16"/>
      <c r="N235" s="16"/>
      <c r="O235" s="16"/>
      <c r="P235" s="16"/>
    </row>
    <row r="236" spans="1:16" s="16" customFormat="1" x14ac:dyDescent="0.2">
      <c r="A236" s="49">
        <v>32963</v>
      </c>
      <c r="B236" s="1">
        <v>339.94</v>
      </c>
      <c r="C236" s="17">
        <v>5.61</v>
      </c>
      <c r="D236" s="17">
        <v>5.54</v>
      </c>
      <c r="E236" s="99"/>
      <c r="F236" s="87">
        <f t="shared" si="18"/>
        <v>14.453231292517007</v>
      </c>
      <c r="G236" s="4">
        <f t="shared" si="19"/>
        <v>15.687125057683431</v>
      </c>
      <c r="H236"/>
      <c r="I236" s="58">
        <f t="shared" si="20"/>
        <v>23.52</v>
      </c>
      <c r="J236" s="58">
        <f t="shared" si="21"/>
        <v>21.67</v>
      </c>
      <c r="K236" s="58"/>
      <c r="L236"/>
      <c r="M236"/>
    </row>
    <row r="237" spans="1:16" s="16" customFormat="1" x14ac:dyDescent="0.2">
      <c r="A237" s="49">
        <v>32873</v>
      </c>
      <c r="B237" s="1">
        <v>353.4</v>
      </c>
      <c r="C237" s="17">
        <v>5.84</v>
      </c>
      <c r="D237" s="17">
        <v>4.8</v>
      </c>
      <c r="E237" s="99"/>
      <c r="F237" s="87">
        <f t="shared" si="18"/>
        <v>14.531249999999998</v>
      </c>
      <c r="G237" s="4">
        <f t="shared" si="19"/>
        <v>15.452557936160909</v>
      </c>
      <c r="H237"/>
      <c r="I237" s="58">
        <f t="shared" si="20"/>
        <v>24.32</v>
      </c>
      <c r="J237" s="58">
        <f t="shared" si="21"/>
        <v>22.869999999999997</v>
      </c>
      <c r="K237" s="58"/>
      <c r="L237"/>
      <c r="M237"/>
      <c r="N237"/>
      <c r="O237"/>
      <c r="P237"/>
    </row>
    <row r="238" spans="1:16" x14ac:dyDescent="0.2">
      <c r="A238" s="49">
        <v>32781</v>
      </c>
      <c r="B238" s="1">
        <v>349.15</v>
      </c>
      <c r="C238" s="17">
        <v>5.54</v>
      </c>
      <c r="D238" s="17">
        <v>4.8499999999999996</v>
      </c>
      <c r="E238" s="99"/>
      <c r="F238" s="87">
        <f t="shared" si="18"/>
        <v>14.050301810865189</v>
      </c>
      <c r="G238" s="4">
        <f t="shared" si="19"/>
        <v>14.73828619670747</v>
      </c>
      <c r="I238" s="58">
        <f t="shared" si="20"/>
        <v>24.85</v>
      </c>
      <c r="J238" s="58">
        <f t="shared" si="21"/>
        <v>23.69</v>
      </c>
      <c r="K238" s="58"/>
    </row>
    <row r="239" spans="1:16" x14ac:dyDescent="0.2">
      <c r="A239" s="49">
        <v>32689</v>
      </c>
      <c r="B239" s="1">
        <v>317.98</v>
      </c>
      <c r="C239" s="17">
        <v>6.53</v>
      </c>
      <c r="D239" s="17">
        <v>6.48</v>
      </c>
      <c r="E239" s="99"/>
      <c r="F239" s="87">
        <f t="shared" si="18"/>
        <v>12.45515080297689</v>
      </c>
      <c r="G239" s="4">
        <f t="shared" si="19"/>
        <v>12.608247422680414</v>
      </c>
      <c r="I239" s="58">
        <f t="shared" si="20"/>
        <v>25.53</v>
      </c>
      <c r="J239" s="58">
        <f t="shared" si="21"/>
        <v>25.22</v>
      </c>
      <c r="K239" s="58"/>
    </row>
    <row r="240" spans="1:16" x14ac:dyDescent="0.2">
      <c r="A240" s="49">
        <v>32598</v>
      </c>
      <c r="B240" s="1">
        <v>294.87</v>
      </c>
      <c r="C240" s="17">
        <v>6.41</v>
      </c>
      <c r="D240" s="17">
        <v>6.74</v>
      </c>
      <c r="E240" s="99"/>
      <c r="F240" s="87">
        <f t="shared" si="18"/>
        <v>11.77125748502994</v>
      </c>
      <c r="G240" s="4">
        <f t="shared" si="19"/>
        <v>11.813701923076925</v>
      </c>
      <c r="I240" s="58">
        <f t="shared" si="20"/>
        <v>25.05</v>
      </c>
      <c r="J240" s="58">
        <f t="shared" si="21"/>
        <v>24.959999999999997</v>
      </c>
      <c r="K240" s="58"/>
    </row>
    <row r="241" spans="1:13" x14ac:dyDescent="0.2">
      <c r="A241" s="49">
        <v>32508</v>
      </c>
      <c r="B241" s="1">
        <v>277.72000000000003</v>
      </c>
      <c r="C241" s="17">
        <v>6.37</v>
      </c>
      <c r="D241" s="17">
        <v>5.62</v>
      </c>
      <c r="E241" s="99"/>
      <c r="F241" s="87">
        <f t="shared" si="18"/>
        <v>11.514096185737978</v>
      </c>
      <c r="G241" s="4">
        <f t="shared" si="19"/>
        <v>11.693473684210527</v>
      </c>
      <c r="I241" s="58">
        <f t="shared" si="20"/>
        <v>24.12</v>
      </c>
      <c r="J241" s="58">
        <f t="shared" si="20"/>
        <v>23.75</v>
      </c>
      <c r="K241" s="58"/>
    </row>
    <row r="242" spans="1:13" x14ac:dyDescent="0.2">
      <c r="A242" s="49">
        <v>32416</v>
      </c>
      <c r="B242" s="1">
        <v>271.91000000000003</v>
      </c>
      <c r="C242" s="17">
        <v>6.22</v>
      </c>
      <c r="D242" s="17">
        <v>6.38</v>
      </c>
      <c r="E242" s="99"/>
      <c r="F242" s="87"/>
      <c r="G242" s="8"/>
      <c r="I242" s="58"/>
      <c r="J242" s="58"/>
      <c r="K242" s="58"/>
    </row>
    <row r="243" spans="1:13" x14ac:dyDescent="0.2">
      <c r="A243" s="49">
        <v>32324</v>
      </c>
      <c r="B243" s="1">
        <v>273.5</v>
      </c>
      <c r="C243" s="17">
        <v>6.05</v>
      </c>
      <c r="D243" s="17">
        <v>6.22</v>
      </c>
      <c r="E243" s="99"/>
      <c r="F243" s="1"/>
      <c r="G243" s="1"/>
      <c r="I243" s="58"/>
      <c r="J243" s="58"/>
      <c r="K243" s="58"/>
    </row>
    <row r="244" spans="1:13" x14ac:dyDescent="0.2">
      <c r="A244" s="49">
        <v>32233</v>
      </c>
      <c r="B244" s="1">
        <v>258.89</v>
      </c>
      <c r="C244" s="17">
        <v>5.48</v>
      </c>
      <c r="D244" s="17">
        <v>5.53</v>
      </c>
      <c r="E244" s="99"/>
      <c r="F244" s="1"/>
      <c r="G244" s="1"/>
      <c r="I244" s="58"/>
      <c r="J244" s="58"/>
      <c r="K244" s="58"/>
    </row>
    <row r="245" spans="1:13" x14ac:dyDescent="0.2">
      <c r="E245" s="52"/>
    </row>
    <row r="246" spans="1:13" x14ac:dyDescent="0.2">
      <c r="A246" s="3" t="s">
        <v>109</v>
      </c>
      <c r="B246" s="3"/>
      <c r="C246" t="s">
        <v>18</v>
      </c>
    </row>
    <row r="247" spans="1:13" x14ac:dyDescent="0.2">
      <c r="A247" s="3" t="s">
        <v>110</v>
      </c>
      <c r="B247" s="3"/>
      <c r="C247" t="s">
        <v>19</v>
      </c>
    </row>
    <row r="248" spans="1:13" x14ac:dyDescent="0.2">
      <c r="A248" s="3" t="s">
        <v>108</v>
      </c>
      <c r="B248" s="3"/>
      <c r="C248" s="59" t="s">
        <v>116</v>
      </c>
    </row>
    <row r="249" spans="1:13" x14ac:dyDescent="0.2">
      <c r="A249" s="3"/>
    </row>
    <row r="250" spans="1:13" x14ac:dyDescent="0.2">
      <c r="A250" s="3" t="s">
        <v>20</v>
      </c>
      <c r="B250" s="1"/>
      <c r="C250" s="1"/>
      <c r="D250" s="1"/>
      <c r="E250" s="1"/>
      <c r="F250" s="1"/>
      <c r="G250" s="1"/>
      <c r="H250" s="1"/>
    </row>
    <row r="251" spans="1:13" x14ac:dyDescent="0.2">
      <c r="A251" s="3"/>
      <c r="B251" s="1"/>
      <c r="C251" s="1"/>
      <c r="D251" s="1"/>
      <c r="E251" s="1"/>
      <c r="F251" s="1"/>
      <c r="G251" s="1"/>
      <c r="H251" s="1"/>
    </row>
    <row r="252" spans="1:13" x14ac:dyDescent="0.2">
      <c r="A252" s="14"/>
      <c r="B252" s="14"/>
      <c r="C252" s="14"/>
      <c r="D252" s="15"/>
      <c r="E252" s="14"/>
      <c r="F252" s="14"/>
      <c r="G252" s="14"/>
      <c r="H252" s="14"/>
      <c r="I252" s="16"/>
      <c r="J252" s="16"/>
      <c r="K252" s="16"/>
      <c r="L252" s="16"/>
      <c r="M252" s="16"/>
    </row>
    <row r="253" spans="1:13" ht="15.75" x14ac:dyDescent="0.25">
      <c r="A253" s="125" t="s">
        <v>208</v>
      </c>
      <c r="B253" s="14"/>
      <c r="C253" s="14"/>
      <c r="D253" s="15"/>
      <c r="E253" s="14"/>
      <c r="F253" s="14"/>
      <c r="G253" s="14"/>
      <c r="H253" s="14"/>
      <c r="I253" s="16"/>
      <c r="J253" s="16"/>
      <c r="K253" s="16"/>
      <c r="L253" s="16"/>
      <c r="M253" s="16"/>
    </row>
    <row r="254" spans="1:13" x14ac:dyDescent="0.2">
      <c r="A254" s="250" t="s">
        <v>207</v>
      </c>
      <c r="B254" s="250"/>
      <c r="C254" s="250"/>
      <c r="D254" s="250"/>
      <c r="E254" s="250"/>
      <c r="F254" s="250"/>
      <c r="G254" s="250"/>
      <c r="H254" s="250"/>
      <c r="I254" s="250"/>
      <c r="J254" s="250"/>
      <c r="K254" s="250"/>
      <c r="L254" s="250"/>
    </row>
    <row r="255" spans="1:13" x14ac:dyDescent="0.2">
      <c r="A255" s="250"/>
      <c r="B255" s="250"/>
      <c r="C255" s="250"/>
      <c r="D255" s="250"/>
      <c r="E255" s="250"/>
      <c r="F255" s="250"/>
      <c r="G255" s="250"/>
      <c r="H255" s="250"/>
      <c r="I255" s="250"/>
      <c r="J255" s="250"/>
      <c r="K255" s="250"/>
      <c r="L255" s="250"/>
    </row>
    <row r="256" spans="1:13" x14ac:dyDescent="0.2">
      <c r="A256" s="250"/>
      <c r="B256" s="250"/>
      <c r="C256" s="250"/>
      <c r="D256" s="250"/>
      <c r="E256" s="250"/>
      <c r="F256" s="250"/>
      <c r="G256" s="250"/>
      <c r="H256" s="250"/>
      <c r="I256" s="250"/>
      <c r="J256" s="250"/>
      <c r="K256" s="250"/>
      <c r="L256" s="250"/>
    </row>
    <row r="257" spans="1:12" x14ac:dyDescent="0.2">
      <c r="A257" s="250"/>
      <c r="B257" s="250"/>
      <c r="C257" s="250"/>
      <c r="D257" s="250"/>
      <c r="E257" s="250"/>
      <c r="F257" s="250"/>
      <c r="G257" s="250"/>
      <c r="H257" s="250"/>
      <c r="I257" s="250"/>
      <c r="J257" s="250"/>
      <c r="K257" s="250"/>
      <c r="L257" s="250"/>
    </row>
    <row r="258" spans="1:12" x14ac:dyDescent="0.2">
      <c r="A258" s="250"/>
      <c r="B258" s="250"/>
      <c r="C258" s="250"/>
      <c r="D258" s="250"/>
      <c r="E258" s="250"/>
      <c r="F258" s="250"/>
      <c r="G258" s="250"/>
      <c r="H258" s="250"/>
      <c r="I258" s="250"/>
      <c r="J258" s="250"/>
      <c r="K258" s="250"/>
      <c r="L258" s="250"/>
    </row>
    <row r="259" spans="1:12" x14ac:dyDescent="0.2">
      <c r="A259" s="250"/>
      <c r="B259" s="250"/>
      <c r="C259" s="250"/>
      <c r="D259" s="250"/>
      <c r="E259" s="250"/>
      <c r="F259" s="250"/>
      <c r="G259" s="250"/>
      <c r="H259" s="250"/>
      <c r="I259" s="250"/>
      <c r="J259" s="250"/>
      <c r="K259" s="250"/>
      <c r="L259" s="250"/>
    </row>
    <row r="260" spans="1:12" x14ac:dyDescent="0.2">
      <c r="A260" s="250"/>
      <c r="B260" s="250"/>
      <c r="C260" s="250"/>
      <c r="D260" s="250"/>
      <c r="E260" s="250"/>
      <c r="F260" s="250"/>
      <c r="G260" s="250"/>
      <c r="H260" s="250"/>
      <c r="I260" s="250"/>
      <c r="J260" s="250"/>
      <c r="K260" s="250"/>
      <c r="L260" s="250"/>
    </row>
    <row r="261" spans="1:12" x14ac:dyDescent="0.2">
      <c r="A261" s="250"/>
      <c r="B261" s="250"/>
      <c r="C261" s="250"/>
      <c r="D261" s="250"/>
      <c r="E261" s="250"/>
      <c r="F261" s="250"/>
      <c r="G261" s="250"/>
      <c r="H261" s="250"/>
      <c r="I261" s="250"/>
      <c r="J261" s="250"/>
      <c r="K261" s="250"/>
      <c r="L261" s="250"/>
    </row>
    <row r="262" spans="1:12" x14ac:dyDescent="0.2">
      <c r="A262" s="250"/>
      <c r="B262" s="250"/>
      <c r="C262" s="250"/>
      <c r="D262" s="250"/>
      <c r="E262" s="250"/>
      <c r="F262" s="250"/>
      <c r="G262" s="250"/>
      <c r="H262" s="250"/>
      <c r="I262" s="250"/>
      <c r="J262" s="250"/>
      <c r="K262" s="250"/>
      <c r="L262" s="250"/>
    </row>
    <row r="263" spans="1:12" x14ac:dyDescent="0.2">
      <c r="A263" s="250"/>
      <c r="B263" s="250"/>
      <c r="C263" s="250"/>
      <c r="D263" s="250"/>
      <c r="E263" s="250"/>
      <c r="F263" s="250"/>
      <c r="G263" s="250"/>
      <c r="H263" s="250"/>
      <c r="I263" s="250"/>
      <c r="J263" s="250"/>
      <c r="K263" s="250"/>
      <c r="L263" s="250"/>
    </row>
    <row r="264" spans="1:12" x14ac:dyDescent="0.2">
      <c r="A264" s="250"/>
      <c r="B264" s="250"/>
      <c r="C264" s="250"/>
      <c r="D264" s="250"/>
      <c r="E264" s="250"/>
      <c r="F264" s="250"/>
      <c r="G264" s="250"/>
      <c r="H264" s="250"/>
      <c r="I264" s="250"/>
      <c r="J264" s="250"/>
      <c r="K264" s="250"/>
      <c r="L264" s="250"/>
    </row>
    <row r="265" spans="1:12" x14ac:dyDescent="0.2">
      <c r="A265" s="250"/>
      <c r="B265" s="250"/>
      <c r="C265" s="250"/>
      <c r="D265" s="250"/>
      <c r="E265" s="250"/>
      <c r="F265" s="250"/>
      <c r="G265" s="250"/>
      <c r="H265" s="250"/>
      <c r="I265" s="250"/>
      <c r="J265" s="250"/>
      <c r="K265" s="250"/>
      <c r="L265" s="250"/>
    </row>
    <row r="266" spans="1:12" x14ac:dyDescent="0.2">
      <c r="A266" s="250"/>
      <c r="B266" s="250"/>
      <c r="C266" s="250"/>
      <c r="D266" s="250"/>
      <c r="E266" s="250"/>
      <c r="F266" s="250"/>
      <c r="G266" s="250"/>
      <c r="H266" s="250"/>
      <c r="I266" s="250"/>
      <c r="J266" s="250"/>
      <c r="K266" s="250"/>
      <c r="L266" s="250"/>
    </row>
    <row r="267" spans="1:12" x14ac:dyDescent="0.2">
      <c r="A267" s="250"/>
      <c r="B267" s="250"/>
      <c r="C267" s="250"/>
      <c r="D267" s="250"/>
      <c r="E267" s="250"/>
      <c r="F267" s="250"/>
      <c r="G267" s="250"/>
      <c r="H267" s="250"/>
      <c r="I267" s="250"/>
      <c r="J267" s="250"/>
      <c r="K267" s="250"/>
      <c r="L267" s="250"/>
    </row>
    <row r="268" spans="1:12" x14ac:dyDescent="0.2">
      <c r="A268" s="250"/>
      <c r="B268" s="250"/>
      <c r="C268" s="250"/>
      <c r="D268" s="250"/>
      <c r="E268" s="250"/>
      <c r="F268" s="250"/>
      <c r="G268" s="250"/>
      <c r="H268" s="250"/>
      <c r="I268" s="250"/>
      <c r="J268" s="250"/>
      <c r="K268" s="250"/>
      <c r="L268" s="250"/>
    </row>
    <row r="269" spans="1:12" x14ac:dyDescent="0.2">
      <c r="A269" s="250"/>
      <c r="B269" s="250"/>
      <c r="C269" s="250"/>
      <c r="D269" s="250"/>
      <c r="E269" s="250"/>
      <c r="F269" s="250"/>
      <c r="G269" s="250"/>
      <c r="H269" s="250"/>
      <c r="I269" s="250"/>
      <c r="J269" s="250"/>
      <c r="K269" s="250"/>
      <c r="L269" s="250"/>
    </row>
    <row r="270" spans="1:12" x14ac:dyDescent="0.2">
      <c r="A270" s="250"/>
      <c r="B270" s="250"/>
      <c r="C270" s="250"/>
      <c r="D270" s="250"/>
      <c r="E270" s="250"/>
      <c r="F270" s="250"/>
      <c r="G270" s="250"/>
      <c r="H270" s="250"/>
      <c r="I270" s="250"/>
      <c r="J270" s="250"/>
      <c r="K270" s="250"/>
      <c r="L270" s="250"/>
    </row>
    <row r="271" spans="1:12" x14ac:dyDescent="0.2">
      <c r="A271" s="250"/>
      <c r="B271" s="250"/>
      <c r="C271" s="250"/>
      <c r="D271" s="250"/>
      <c r="E271" s="250"/>
      <c r="F271" s="250"/>
      <c r="G271" s="250"/>
      <c r="H271" s="250"/>
      <c r="I271" s="250"/>
      <c r="J271" s="250"/>
      <c r="K271" s="250"/>
      <c r="L271" s="250"/>
    </row>
    <row r="272" spans="1:12" x14ac:dyDescent="0.2">
      <c r="A272" s="250"/>
      <c r="B272" s="250"/>
      <c r="C272" s="250"/>
      <c r="D272" s="250"/>
      <c r="E272" s="250"/>
      <c r="F272" s="250"/>
      <c r="G272" s="250"/>
      <c r="H272" s="250"/>
      <c r="I272" s="250"/>
      <c r="J272" s="250"/>
      <c r="K272" s="250"/>
      <c r="L272" s="250"/>
    </row>
  </sheetData>
  <mergeCells count="1">
    <mergeCell ref="A254:L272"/>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27"/>
  <sheetViews>
    <sheetView workbookViewId="0">
      <pane ySplit="6" topLeftCell="A7" activePane="bottomLeft" state="frozen"/>
      <selection pane="bottomLeft"/>
    </sheetView>
  </sheetViews>
  <sheetFormatPr defaultColWidth="9.140625" defaultRowHeight="12.75" x14ac:dyDescent="0.2"/>
  <cols>
    <col min="1" max="1" width="48.42578125" style="70" customWidth="1"/>
    <col min="2" max="2" width="10.140625" style="128" bestFit="1" customWidth="1"/>
    <col min="3" max="3" width="12" style="72" bestFit="1" customWidth="1"/>
    <col min="4" max="4" width="8.5703125" style="72" customWidth="1"/>
    <col min="5" max="22" width="8" style="72" bestFit="1" customWidth="1"/>
    <col min="23" max="32" width="8" style="72" customWidth="1"/>
    <col min="33" max="34" width="8.140625" style="72" bestFit="1" customWidth="1"/>
    <col min="35" max="50" width="8" style="72" customWidth="1"/>
    <col min="51" max="51" width="6.7109375" style="72" bestFit="1" customWidth="1"/>
    <col min="52" max="52" width="9.28515625" style="73" bestFit="1" customWidth="1"/>
    <col min="53" max="53" width="8.5703125" style="72" bestFit="1" customWidth="1"/>
    <col min="54" max="54" width="9.28515625" style="73" bestFit="1" customWidth="1"/>
    <col min="55" max="55" width="8.5703125" style="72" bestFit="1" customWidth="1"/>
    <col min="56" max="56" width="9.28515625" style="73" bestFit="1" customWidth="1"/>
    <col min="57" max="57" width="8.5703125" style="72" bestFit="1" customWidth="1"/>
    <col min="58" max="58" width="9.28515625" style="73" bestFit="1" customWidth="1"/>
    <col min="59" max="59" width="8.5703125" style="72" bestFit="1" customWidth="1"/>
    <col min="60" max="60" width="9.28515625" style="73" bestFit="1" customWidth="1"/>
    <col min="61" max="61" width="8.5703125" style="72" bestFit="1" customWidth="1"/>
    <col min="62" max="62" width="9.28515625" style="73" bestFit="1" customWidth="1"/>
    <col min="63" max="63" width="8.5703125" style="72" bestFit="1" customWidth="1"/>
    <col min="64" max="64" width="9.28515625" style="73" bestFit="1" customWidth="1"/>
    <col min="65" max="65" width="8.5703125" style="72" bestFit="1" customWidth="1"/>
    <col min="66" max="66" width="9.28515625" style="73" bestFit="1" customWidth="1"/>
    <col min="67" max="67" width="8.5703125" style="72" bestFit="1" customWidth="1"/>
    <col min="68" max="68" width="9.28515625" style="73" bestFit="1" customWidth="1"/>
    <col min="69" max="69" width="8.5703125" style="72" bestFit="1" customWidth="1"/>
    <col min="70" max="70" width="9.28515625" style="72" bestFit="1" customWidth="1"/>
    <col min="71" max="71" width="8.5703125" style="72" customWidth="1"/>
    <col min="72" max="72" width="9.28515625" style="72" bestFit="1" customWidth="1"/>
    <col min="73" max="73" width="8.5703125" style="72" customWidth="1"/>
    <col min="74" max="74" width="9.28515625" style="72" bestFit="1" customWidth="1"/>
    <col min="75" max="75" width="8.5703125" style="72" customWidth="1"/>
    <col min="76" max="76" width="5.5703125" style="72" bestFit="1" customWidth="1"/>
    <col min="77" max="77" width="11.7109375" style="74" customWidth="1"/>
    <col min="78" max="79" width="11.7109375" style="74" bestFit="1" customWidth="1"/>
    <col min="80" max="80" width="11.7109375" style="87" bestFit="1" customWidth="1"/>
    <col min="81" max="81" width="11.7109375" style="104" bestFit="1" customWidth="1"/>
    <col min="82" max="85" width="11.7109375" bestFit="1" customWidth="1"/>
    <col min="86" max="86" width="11.7109375" customWidth="1"/>
    <col min="87" max="87" width="50" style="70" bestFit="1" customWidth="1"/>
    <col min="88" max="16384" width="9.140625" style="75"/>
  </cols>
  <sheetData>
    <row r="1" spans="1:87" x14ac:dyDescent="0.2">
      <c r="A1" s="5" t="s">
        <v>157</v>
      </c>
      <c r="AY1" s="198"/>
    </row>
    <row r="2" spans="1:87" ht="15.75" x14ac:dyDescent="0.25">
      <c r="A2" s="70" t="s">
        <v>5</v>
      </c>
      <c r="B2" s="174">
        <v>43363</v>
      </c>
      <c r="C2" s="76"/>
      <c r="E2" s="150"/>
      <c r="F2" s="149"/>
      <c r="G2" s="149"/>
      <c r="AY2" s="198"/>
      <c r="CC2" s="107"/>
      <c r="CD2" s="107"/>
      <c r="CE2" s="123"/>
      <c r="CF2" s="123"/>
      <c r="CG2" s="123"/>
      <c r="CH2" s="123"/>
    </row>
    <row r="3" spans="1:87" x14ac:dyDescent="0.2">
      <c r="A3" s="70" t="s">
        <v>29</v>
      </c>
      <c r="B3" s="174">
        <v>43190</v>
      </c>
      <c r="C3" s="124" t="s">
        <v>30</v>
      </c>
      <c r="AQ3" s="96"/>
      <c r="AR3" s="96"/>
      <c r="AS3" s="96"/>
      <c r="AT3" s="96"/>
      <c r="AU3" s="96"/>
      <c r="AV3" s="96"/>
      <c r="AW3" s="96"/>
      <c r="AX3" s="96"/>
      <c r="AY3" s="198"/>
      <c r="CC3" s="107"/>
      <c r="CD3" s="107"/>
      <c r="CE3" s="123"/>
      <c r="CF3" s="123"/>
      <c r="CG3" s="123"/>
      <c r="CH3" s="123"/>
    </row>
    <row r="4" spans="1:87" x14ac:dyDescent="0.2">
      <c r="A4" s="70" t="s">
        <v>31</v>
      </c>
      <c r="B4" s="174">
        <v>43281</v>
      </c>
      <c r="C4" s="124" t="s">
        <v>32</v>
      </c>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198"/>
      <c r="BR4" s="74"/>
      <c r="BS4" s="74"/>
      <c r="CC4" s="107"/>
      <c r="CD4" s="107"/>
      <c r="CE4" s="123"/>
      <c r="CF4" s="123"/>
      <c r="CG4" s="123"/>
      <c r="CH4" s="123"/>
    </row>
    <row r="5" spans="1:87" x14ac:dyDescent="0.2">
      <c r="AD5" s="74"/>
      <c r="AE5" s="74"/>
      <c r="AF5" s="74"/>
      <c r="AG5" s="74"/>
      <c r="AH5" s="74"/>
      <c r="AI5" s="74"/>
      <c r="AJ5" s="74"/>
      <c r="AK5" s="74"/>
      <c r="AL5" s="74"/>
      <c r="AM5" s="74"/>
      <c r="AN5" s="74"/>
      <c r="AO5" s="74"/>
      <c r="AP5" s="74"/>
      <c r="AQ5" s="74"/>
      <c r="AR5" s="74"/>
      <c r="AS5" s="74"/>
      <c r="AT5" s="74"/>
      <c r="AU5" s="74"/>
      <c r="AV5" s="74"/>
      <c r="AW5" s="74"/>
      <c r="AX5" s="74"/>
      <c r="AY5" s="198"/>
      <c r="BH5" s="91"/>
      <c r="BI5" s="91"/>
      <c r="BJ5" s="91"/>
      <c r="BL5" s="91"/>
      <c r="BN5" s="91"/>
      <c r="BP5" s="91"/>
    </row>
    <row r="6" spans="1:87" s="70" customFormat="1" x14ac:dyDescent="0.2">
      <c r="A6" s="70" t="s">
        <v>34</v>
      </c>
      <c r="B6" s="128"/>
      <c r="C6" s="76" t="s">
        <v>35</v>
      </c>
      <c r="D6" s="76" t="s">
        <v>36</v>
      </c>
      <c r="E6" s="76" t="s">
        <v>37</v>
      </c>
      <c r="F6" s="76" t="s">
        <v>38</v>
      </c>
      <c r="G6" s="76" t="s">
        <v>39</v>
      </c>
      <c r="H6" s="76" t="s">
        <v>40</v>
      </c>
      <c r="I6" s="76" t="s">
        <v>41</v>
      </c>
      <c r="J6" s="76" t="s">
        <v>42</v>
      </c>
      <c r="K6" s="76" t="s">
        <v>43</v>
      </c>
      <c r="L6" s="76" t="s">
        <v>44</v>
      </c>
      <c r="M6" s="76" t="s">
        <v>45</v>
      </c>
      <c r="N6" s="76" t="s">
        <v>46</v>
      </c>
      <c r="O6" s="76" t="s">
        <v>47</v>
      </c>
      <c r="P6" s="76" t="s">
        <v>48</v>
      </c>
      <c r="Q6" s="76" t="s">
        <v>49</v>
      </c>
      <c r="R6" s="76" t="s">
        <v>50</v>
      </c>
      <c r="S6" s="76" t="s">
        <v>51</v>
      </c>
      <c r="T6" s="76" t="s">
        <v>52</v>
      </c>
      <c r="U6" s="76" t="s">
        <v>53</v>
      </c>
      <c r="V6" s="76" t="s">
        <v>54</v>
      </c>
      <c r="W6" s="79" t="s">
        <v>150</v>
      </c>
      <c r="X6" s="79" t="s">
        <v>151</v>
      </c>
      <c r="Y6" s="79" t="s">
        <v>152</v>
      </c>
      <c r="Z6" s="79" t="s">
        <v>153</v>
      </c>
      <c r="AA6" s="79" t="s">
        <v>181</v>
      </c>
      <c r="AB6" s="79" t="s">
        <v>182</v>
      </c>
      <c r="AC6" s="79" t="s">
        <v>183</v>
      </c>
      <c r="AD6" s="79" t="s">
        <v>184</v>
      </c>
      <c r="AE6" s="79" t="s">
        <v>200</v>
      </c>
      <c r="AF6" s="79" t="s">
        <v>201</v>
      </c>
      <c r="AG6" s="79" t="s">
        <v>202</v>
      </c>
      <c r="AH6" s="79" t="s">
        <v>203</v>
      </c>
      <c r="AI6" s="79" t="s">
        <v>233</v>
      </c>
      <c r="AJ6" s="79" t="s">
        <v>234</v>
      </c>
      <c r="AK6" s="79" t="s">
        <v>235</v>
      </c>
      <c r="AL6" s="79" t="s">
        <v>236</v>
      </c>
      <c r="AM6" s="79" t="s">
        <v>287</v>
      </c>
      <c r="AN6" s="79" t="s">
        <v>288</v>
      </c>
      <c r="AO6" s="79" t="s">
        <v>289</v>
      </c>
      <c r="AP6" s="79" t="s">
        <v>290</v>
      </c>
      <c r="AQ6" s="79" t="s">
        <v>356</v>
      </c>
      <c r="AR6" s="79" t="s">
        <v>357</v>
      </c>
      <c r="AS6" s="79" t="s">
        <v>358</v>
      </c>
      <c r="AT6" s="79" t="s">
        <v>359</v>
      </c>
      <c r="AU6" s="79" t="s">
        <v>412</v>
      </c>
      <c r="AV6" s="79" t="s">
        <v>413</v>
      </c>
      <c r="AW6" s="79" t="s">
        <v>414</v>
      </c>
      <c r="AX6" s="79" t="s">
        <v>415</v>
      </c>
      <c r="AY6" s="76"/>
      <c r="AZ6" s="77" t="s">
        <v>55</v>
      </c>
      <c r="BA6" s="76" t="s">
        <v>56</v>
      </c>
      <c r="BB6" s="77" t="s">
        <v>57</v>
      </c>
      <c r="BC6" s="76" t="s">
        <v>58</v>
      </c>
      <c r="BD6" s="77" t="s">
        <v>59</v>
      </c>
      <c r="BE6" s="76" t="s">
        <v>60</v>
      </c>
      <c r="BF6" s="77" t="s">
        <v>61</v>
      </c>
      <c r="BG6" s="76" t="s">
        <v>62</v>
      </c>
      <c r="BH6" s="77" t="s">
        <v>63</v>
      </c>
      <c r="BI6" s="76" t="s">
        <v>64</v>
      </c>
      <c r="BJ6" s="77" t="s">
        <v>154</v>
      </c>
      <c r="BK6" s="76" t="s">
        <v>155</v>
      </c>
      <c r="BL6" s="77" t="s">
        <v>185</v>
      </c>
      <c r="BM6" s="76" t="s">
        <v>186</v>
      </c>
      <c r="BN6" s="77" t="s">
        <v>221</v>
      </c>
      <c r="BO6" s="76" t="s">
        <v>222</v>
      </c>
      <c r="BP6" s="77" t="s">
        <v>237</v>
      </c>
      <c r="BQ6" s="76" t="s">
        <v>238</v>
      </c>
      <c r="BR6" s="76" t="s">
        <v>291</v>
      </c>
      <c r="BS6" s="76" t="s">
        <v>292</v>
      </c>
      <c r="BT6" s="76" t="s">
        <v>360</v>
      </c>
      <c r="BU6" s="76" t="s">
        <v>361</v>
      </c>
      <c r="BV6" s="76" t="s">
        <v>416</v>
      </c>
      <c r="BW6" s="76" t="s">
        <v>417</v>
      </c>
      <c r="BX6" s="76"/>
      <c r="BY6" s="78" t="s">
        <v>115</v>
      </c>
      <c r="BZ6" s="78" t="s">
        <v>114</v>
      </c>
      <c r="CA6" s="78" t="s">
        <v>113</v>
      </c>
      <c r="CB6" s="78" t="s">
        <v>148</v>
      </c>
      <c r="CC6" s="78" t="s">
        <v>179</v>
      </c>
      <c r="CD6" s="78" t="s">
        <v>198</v>
      </c>
      <c r="CE6" s="78" t="s">
        <v>212</v>
      </c>
      <c r="CF6" s="78" t="s">
        <v>286</v>
      </c>
      <c r="CG6" s="78" t="s">
        <v>362</v>
      </c>
      <c r="CH6" s="78" t="s">
        <v>419</v>
      </c>
      <c r="CI6" s="70" t="s">
        <v>34</v>
      </c>
    </row>
    <row r="7" spans="1:87" x14ac:dyDescent="0.2">
      <c r="A7" s="70" t="s">
        <v>33</v>
      </c>
      <c r="B7" s="191" t="s">
        <v>147</v>
      </c>
      <c r="CC7" s="108"/>
      <c r="CI7" s="70" t="s">
        <v>33</v>
      </c>
    </row>
    <row r="8" spans="1:87" x14ac:dyDescent="0.2">
      <c r="A8" s="70" t="s">
        <v>25</v>
      </c>
      <c r="B8" s="173">
        <v>2930.75</v>
      </c>
      <c r="C8" s="73">
        <v>16.62</v>
      </c>
      <c r="D8" s="73">
        <v>17.02</v>
      </c>
      <c r="E8" s="73">
        <v>15.96</v>
      </c>
      <c r="F8" s="73">
        <v>-0.09</v>
      </c>
      <c r="G8" s="73">
        <v>10.11</v>
      </c>
      <c r="H8" s="73">
        <v>13.81</v>
      </c>
      <c r="I8" s="73">
        <v>15.78</v>
      </c>
      <c r="J8" s="73">
        <v>17.16</v>
      </c>
      <c r="K8" s="73">
        <v>19.38</v>
      </c>
      <c r="L8" s="73">
        <v>20.9</v>
      </c>
      <c r="M8" s="73">
        <v>21.56</v>
      </c>
      <c r="N8" s="73">
        <v>21.93</v>
      </c>
      <c r="O8" s="73">
        <v>22.56</v>
      </c>
      <c r="P8" s="73">
        <v>24.86</v>
      </c>
      <c r="Q8" s="73">
        <v>25.29</v>
      </c>
      <c r="R8" s="73">
        <v>23.73</v>
      </c>
      <c r="S8" s="73">
        <v>24.24</v>
      </c>
      <c r="T8" s="73">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40.130000000000003</v>
      </c>
      <c r="AT8" s="58">
        <v>42.31</v>
      </c>
      <c r="AU8" s="58">
        <v>41.08</v>
      </c>
      <c r="AV8" s="58">
        <v>43.81</v>
      </c>
      <c r="AW8" s="58">
        <v>44.96</v>
      </c>
      <c r="AX8" s="58">
        <v>47.01</v>
      </c>
      <c r="AY8" s="74"/>
      <c r="AZ8" s="73">
        <v>49.51</v>
      </c>
      <c r="BA8" s="74">
        <v>18.239999999999998</v>
      </c>
      <c r="BB8" s="73">
        <v>56.86</v>
      </c>
      <c r="BC8" s="74">
        <v>19.61</v>
      </c>
      <c r="BD8" s="73">
        <v>83.77</v>
      </c>
      <c r="BE8" s="74">
        <v>15.01</v>
      </c>
      <c r="BF8" s="73">
        <v>96.44</v>
      </c>
      <c r="BG8" s="74">
        <v>13.04</v>
      </c>
      <c r="BH8" s="73">
        <v>96.82</v>
      </c>
      <c r="BI8" s="74">
        <v>14.73</v>
      </c>
      <c r="BJ8" s="73">
        <v>107.31</v>
      </c>
      <c r="BK8" s="74">
        <v>17.22</v>
      </c>
      <c r="BL8" s="73">
        <v>113.01</v>
      </c>
      <c r="BM8" s="74">
        <v>18.22</v>
      </c>
      <c r="BN8" s="73">
        <v>100.45</v>
      </c>
      <c r="BO8" s="74">
        <v>20.350000000000001</v>
      </c>
      <c r="BP8" s="73">
        <v>106.26</v>
      </c>
      <c r="BQ8" s="74">
        <v>21.07</v>
      </c>
      <c r="BR8" s="73">
        <v>124.52</v>
      </c>
      <c r="BS8" s="74">
        <v>21.47</v>
      </c>
      <c r="BT8" s="73">
        <v>157.63</v>
      </c>
      <c r="BU8" s="74">
        <v>18.59</v>
      </c>
      <c r="BV8" s="73">
        <v>176.86</v>
      </c>
      <c r="BW8" s="74">
        <v>16.57</v>
      </c>
      <c r="BX8" s="74"/>
      <c r="BY8" s="74">
        <v>903.25492143355405</v>
      </c>
      <c r="BZ8" s="74">
        <v>1115.10268063072</v>
      </c>
      <c r="CA8" s="74">
        <v>1257.6400000000001</v>
      </c>
      <c r="CB8" s="87">
        <v>1257.5999999999999</v>
      </c>
      <c r="CC8" s="104">
        <v>1426.19</v>
      </c>
      <c r="CD8" s="87">
        <v>1848.36</v>
      </c>
      <c r="CE8" s="87">
        <v>2058.9</v>
      </c>
      <c r="CF8" s="87">
        <v>2043.94</v>
      </c>
      <c r="CG8" s="87">
        <v>2238.83</v>
      </c>
      <c r="CH8" s="87">
        <v>2673.61</v>
      </c>
      <c r="CI8" s="70" t="s">
        <v>25</v>
      </c>
    </row>
    <row r="9" spans="1:87" x14ac:dyDescent="0.2">
      <c r="A9" s="70" t="s">
        <v>65</v>
      </c>
      <c r="B9" s="173">
        <v>935.01</v>
      </c>
      <c r="C9" s="73">
        <v>2.61</v>
      </c>
      <c r="D9" s="73">
        <v>1.68</v>
      </c>
      <c r="E9" s="73">
        <v>1.36</v>
      </c>
      <c r="F9" s="73">
        <v>-0.37</v>
      </c>
      <c r="G9" s="73">
        <v>0.38</v>
      </c>
      <c r="H9" s="73">
        <v>2.77</v>
      </c>
      <c r="I9" s="73">
        <v>3.49</v>
      </c>
      <c r="J9" s="73">
        <v>4.32</v>
      </c>
      <c r="K9" s="73">
        <v>4.09</v>
      </c>
      <c r="L9" s="73">
        <v>4.63</v>
      </c>
      <c r="M9" s="73">
        <v>4.43</v>
      </c>
      <c r="N9" s="73">
        <v>5.05</v>
      </c>
      <c r="O9" s="73">
        <v>4.67</v>
      </c>
      <c r="P9" s="73">
        <v>5.38</v>
      </c>
      <c r="Q9" s="73">
        <v>5.18</v>
      </c>
      <c r="R9" s="73">
        <v>5.58</v>
      </c>
      <c r="S9" s="73">
        <v>4.91</v>
      </c>
      <c r="T9" s="73">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9.81</v>
      </c>
      <c r="AT9" s="58">
        <v>10.62</v>
      </c>
      <c r="AU9" s="58">
        <v>9.74</v>
      </c>
      <c r="AV9" s="58">
        <v>11.68</v>
      </c>
      <c r="AW9" s="58">
        <v>11.6</v>
      </c>
      <c r="AX9" s="58">
        <v>12.35</v>
      </c>
      <c r="AY9" s="74"/>
      <c r="AZ9" s="73">
        <v>5.28</v>
      </c>
      <c r="BA9" s="74">
        <v>32.08</v>
      </c>
      <c r="BB9" s="73">
        <v>10.96</v>
      </c>
      <c r="BC9" s="74">
        <v>21.45</v>
      </c>
      <c r="BD9" s="73">
        <v>18.2</v>
      </c>
      <c r="BE9" s="74">
        <v>16.239999999999998</v>
      </c>
      <c r="BF9" s="73">
        <v>20.81</v>
      </c>
      <c r="BG9" s="74">
        <v>14.83</v>
      </c>
      <c r="BH9" s="73">
        <v>22.27</v>
      </c>
      <c r="BI9" s="74">
        <v>16.89</v>
      </c>
      <c r="BJ9" s="73">
        <v>25.12</v>
      </c>
      <c r="BK9" s="74">
        <v>21.1</v>
      </c>
      <c r="BL9" s="73">
        <v>27.7</v>
      </c>
      <c r="BM9" s="74">
        <v>20.67</v>
      </c>
      <c r="BN9" s="73">
        <v>30.44</v>
      </c>
      <c r="BO9" s="74">
        <v>20.399999999999999</v>
      </c>
      <c r="BP9" s="73">
        <v>33.299999999999997</v>
      </c>
      <c r="BQ9" s="74">
        <v>19.46</v>
      </c>
      <c r="BR9" s="73">
        <v>35.229999999999997</v>
      </c>
      <c r="BS9" s="74">
        <v>22.29</v>
      </c>
      <c r="BT9" s="73">
        <v>40.11</v>
      </c>
      <c r="BU9" s="74">
        <v>23.31</v>
      </c>
      <c r="BV9" s="73">
        <v>45.37</v>
      </c>
      <c r="BW9" s="74">
        <v>20.61</v>
      </c>
      <c r="BX9" s="74"/>
      <c r="BY9" s="74">
        <v>169.408411257941</v>
      </c>
      <c r="BZ9" s="74">
        <v>235.072766173958</v>
      </c>
      <c r="CA9" s="74">
        <v>295.54000000000002</v>
      </c>
      <c r="CB9" s="87">
        <v>308.58</v>
      </c>
      <c r="CC9" s="104">
        <v>376.06</v>
      </c>
      <c r="CD9" s="87">
        <v>530.1</v>
      </c>
      <c r="CE9" s="87">
        <v>572.75</v>
      </c>
      <c r="CF9" s="87">
        <v>621.02</v>
      </c>
      <c r="CG9" s="87">
        <v>647.82000000000005</v>
      </c>
      <c r="CH9" s="87">
        <v>785.33</v>
      </c>
      <c r="CI9" s="70" t="s">
        <v>65</v>
      </c>
    </row>
    <row r="10" spans="1:87" x14ac:dyDescent="0.2">
      <c r="A10" s="70" t="s">
        <v>66</v>
      </c>
      <c r="B10" s="173">
        <v>565.6</v>
      </c>
      <c r="C10" s="73">
        <v>4.04</v>
      </c>
      <c r="D10" s="73">
        <v>4.2699999999999996</v>
      </c>
      <c r="E10" s="73">
        <v>4.66</v>
      </c>
      <c r="F10" s="73">
        <v>4.2</v>
      </c>
      <c r="G10" s="73">
        <v>3.9</v>
      </c>
      <c r="H10" s="73">
        <v>4.62</v>
      </c>
      <c r="I10" s="73">
        <v>4.88</v>
      </c>
      <c r="J10" s="73">
        <v>4.96</v>
      </c>
      <c r="K10" s="73">
        <v>4.37</v>
      </c>
      <c r="L10" s="73">
        <v>4.8099999999999996</v>
      </c>
      <c r="M10" s="73">
        <v>5.01</v>
      </c>
      <c r="N10" s="73">
        <v>5.26</v>
      </c>
      <c r="O10" s="73">
        <v>4.92</v>
      </c>
      <c r="P10" s="73">
        <v>5.39</v>
      </c>
      <c r="Q10" s="73">
        <v>5.51</v>
      </c>
      <c r="R10" s="73">
        <v>5.56</v>
      </c>
      <c r="S10" s="73">
        <v>5.0599999999999996</v>
      </c>
      <c r="T10" s="73">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7.56</v>
      </c>
      <c r="AT10" s="58">
        <v>7.73</v>
      </c>
      <c r="AU10" s="58">
        <v>7.1</v>
      </c>
      <c r="AV10" s="58">
        <v>7.92</v>
      </c>
      <c r="AW10" s="58">
        <v>8.16</v>
      </c>
      <c r="AX10" s="58">
        <v>8.33</v>
      </c>
      <c r="AY10" s="74"/>
      <c r="AZ10" s="73">
        <v>17.170000000000002</v>
      </c>
      <c r="BA10" s="74">
        <v>14.37</v>
      </c>
      <c r="BB10" s="73">
        <v>18.36</v>
      </c>
      <c r="BC10" s="74">
        <v>14.94</v>
      </c>
      <c r="BD10" s="73">
        <v>19.45</v>
      </c>
      <c r="BE10" s="74">
        <v>15.61</v>
      </c>
      <c r="BF10" s="73">
        <v>21.38</v>
      </c>
      <c r="BG10" s="74">
        <v>15.69</v>
      </c>
      <c r="BH10" s="73">
        <v>22.59</v>
      </c>
      <c r="BI10" s="74">
        <v>15.97</v>
      </c>
      <c r="BJ10" s="73">
        <v>23.95</v>
      </c>
      <c r="BK10" s="74">
        <v>18.48</v>
      </c>
      <c r="BL10" s="73">
        <v>24.16</v>
      </c>
      <c r="BM10" s="74">
        <v>20.68</v>
      </c>
      <c r="BN10" s="73">
        <v>24.32</v>
      </c>
      <c r="BO10" s="74">
        <v>21.31</v>
      </c>
      <c r="BP10" s="73">
        <v>25.33</v>
      </c>
      <c r="BQ10" s="74">
        <v>21</v>
      </c>
      <c r="BR10" s="73">
        <v>27.32</v>
      </c>
      <c r="BS10" s="74">
        <v>21.5</v>
      </c>
      <c r="BT10" s="73">
        <v>29.68</v>
      </c>
      <c r="BU10" s="74">
        <v>19.05</v>
      </c>
      <c r="BV10" s="73">
        <v>31.51</v>
      </c>
      <c r="BW10" s="74">
        <v>17.95</v>
      </c>
      <c r="BX10" s="74"/>
      <c r="BY10" s="74">
        <v>246.662508741848</v>
      </c>
      <c r="BZ10" s="74">
        <v>274.300552266865</v>
      </c>
      <c r="CA10" s="74">
        <v>303.58</v>
      </c>
      <c r="CB10" s="87">
        <v>335.54</v>
      </c>
      <c r="CC10" s="104">
        <v>360.78</v>
      </c>
      <c r="CD10" s="87">
        <v>442.62</v>
      </c>
      <c r="CE10" s="87">
        <v>499.58</v>
      </c>
      <c r="CF10" s="87">
        <v>518.41999999999996</v>
      </c>
      <c r="CG10" s="87">
        <v>531.79</v>
      </c>
      <c r="CH10" s="87">
        <v>587.39</v>
      </c>
      <c r="CI10" s="70" t="s">
        <v>66</v>
      </c>
    </row>
    <row r="11" spans="1:87" x14ac:dyDescent="0.2">
      <c r="A11" s="70" t="s">
        <v>67</v>
      </c>
      <c r="B11" s="173">
        <v>552.36</v>
      </c>
      <c r="C11" s="73">
        <v>12.22</v>
      </c>
      <c r="D11" s="73">
        <v>13.54</v>
      </c>
      <c r="E11" s="73">
        <v>20.73</v>
      </c>
      <c r="F11" s="73">
        <v>4.4400000000000004</v>
      </c>
      <c r="G11" s="73">
        <v>0.44</v>
      </c>
      <c r="H11" s="73">
        <v>4.57</v>
      </c>
      <c r="I11" s="73">
        <v>5.93</v>
      </c>
      <c r="J11" s="73">
        <v>6.32</v>
      </c>
      <c r="K11" s="73">
        <v>8.42</v>
      </c>
      <c r="L11" s="73">
        <v>9.2899999999999991</v>
      </c>
      <c r="M11" s="73">
        <v>8.39</v>
      </c>
      <c r="N11" s="73">
        <v>9.1</v>
      </c>
      <c r="O11" s="73">
        <v>10.81</v>
      </c>
      <c r="P11" s="73">
        <v>12.98</v>
      </c>
      <c r="Q11" s="73">
        <v>14.11</v>
      </c>
      <c r="R11" s="73">
        <v>10.039999999999999</v>
      </c>
      <c r="S11" s="73">
        <v>11.52</v>
      </c>
      <c r="T11" s="73">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7.79</v>
      </c>
      <c r="AT11" s="58">
        <v>7.9</v>
      </c>
      <c r="AU11" s="58">
        <v>8.11</v>
      </c>
      <c r="AV11" s="58">
        <v>8.94</v>
      </c>
      <c r="AW11" s="58">
        <v>9.49</v>
      </c>
      <c r="AX11" s="58">
        <v>9.17</v>
      </c>
      <c r="AY11" s="74"/>
      <c r="AZ11" s="73">
        <v>50.93</v>
      </c>
      <c r="BA11" s="74">
        <v>7.59</v>
      </c>
      <c r="BB11" s="73">
        <v>17.260000000000002</v>
      </c>
      <c r="BC11" s="74">
        <v>24.91</v>
      </c>
      <c r="BD11" s="73">
        <v>35.21</v>
      </c>
      <c r="BE11" s="74">
        <v>14.39</v>
      </c>
      <c r="BF11" s="73">
        <v>47.94</v>
      </c>
      <c r="BG11" s="74">
        <v>10.86</v>
      </c>
      <c r="BH11" s="73">
        <v>44.3</v>
      </c>
      <c r="BI11" s="74">
        <v>12.03</v>
      </c>
      <c r="BJ11" s="73">
        <v>42.35</v>
      </c>
      <c r="BK11" s="74">
        <v>15.39</v>
      </c>
      <c r="BL11" s="73">
        <v>42.93</v>
      </c>
      <c r="BM11" s="74">
        <v>13.66</v>
      </c>
      <c r="BN11" s="73">
        <v>-13.71</v>
      </c>
      <c r="BO11" s="74">
        <v>-32.700000000000003</v>
      </c>
      <c r="BP11" s="73">
        <v>-3.49</v>
      </c>
      <c r="BQ11" s="74">
        <v>-158.91</v>
      </c>
      <c r="BR11" s="73">
        <v>13.28</v>
      </c>
      <c r="BS11" s="74">
        <v>40.159999999999997</v>
      </c>
      <c r="BT11" s="73">
        <v>28.65</v>
      </c>
      <c r="BU11" s="74">
        <v>19.28</v>
      </c>
      <c r="BV11" s="73">
        <v>35.71</v>
      </c>
      <c r="BW11" s="74">
        <v>15.47</v>
      </c>
      <c r="BX11" s="74"/>
      <c r="BY11" s="74">
        <v>386.351033763217</v>
      </c>
      <c r="BZ11" s="74">
        <v>429.95155640507198</v>
      </c>
      <c r="CA11" s="74">
        <v>506.75</v>
      </c>
      <c r="CB11" s="87">
        <v>520.80999999999995</v>
      </c>
      <c r="CC11" s="104">
        <v>532.96</v>
      </c>
      <c r="CD11" s="87">
        <v>651.66999999999996</v>
      </c>
      <c r="CE11" s="87">
        <v>586.59</v>
      </c>
      <c r="CF11" s="87">
        <v>448.44</v>
      </c>
      <c r="CG11" s="87">
        <v>554.5</v>
      </c>
      <c r="CH11" s="87">
        <v>533.41</v>
      </c>
      <c r="CI11" s="70" t="s">
        <v>67</v>
      </c>
    </row>
    <row r="12" spans="1:87" x14ac:dyDescent="0.2">
      <c r="A12" s="70" t="s">
        <v>334</v>
      </c>
      <c r="B12" s="173">
        <v>479.29</v>
      </c>
      <c r="C12" s="73">
        <v>-0.8</v>
      </c>
      <c r="D12" s="73">
        <v>-1.05</v>
      </c>
      <c r="E12" s="73">
        <v>-5.46</v>
      </c>
      <c r="F12" s="73">
        <v>-13.93</v>
      </c>
      <c r="G12" s="73">
        <v>0.5</v>
      </c>
      <c r="H12" s="73">
        <v>1.01</v>
      </c>
      <c r="I12" s="73">
        <v>1.35</v>
      </c>
      <c r="J12" s="73">
        <v>1.54</v>
      </c>
      <c r="K12" s="73">
        <v>3.66</v>
      </c>
      <c r="L12" s="73">
        <v>3.81</v>
      </c>
      <c r="M12" s="73">
        <v>3.92</v>
      </c>
      <c r="N12" s="73">
        <v>3.43</v>
      </c>
      <c r="O12" s="73">
        <v>3.75</v>
      </c>
      <c r="P12" s="73">
        <v>3.95</v>
      </c>
      <c r="Q12" s="73">
        <v>4.4800000000000004</v>
      </c>
      <c r="R12" s="73">
        <v>4.05</v>
      </c>
      <c r="S12" s="73">
        <v>3.93</v>
      </c>
      <c r="T12" s="73">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8.68</v>
      </c>
      <c r="AT12" s="58">
        <v>8.9700000000000006</v>
      </c>
      <c r="AU12" s="58">
        <v>9.43</v>
      </c>
      <c r="AV12" s="58">
        <v>9.58</v>
      </c>
      <c r="AW12" s="58">
        <v>9.6999999999999993</v>
      </c>
      <c r="AX12" s="58">
        <v>10</v>
      </c>
      <c r="AY12" s="74"/>
      <c r="AZ12" s="73">
        <v>-21.24</v>
      </c>
      <c r="BA12" s="74">
        <v>-7.95</v>
      </c>
      <c r="BB12" s="73">
        <v>4.4000000000000004</v>
      </c>
      <c r="BC12" s="74">
        <v>44.04</v>
      </c>
      <c r="BD12" s="73">
        <v>14.82</v>
      </c>
      <c r="BE12" s="74">
        <v>14.49</v>
      </c>
      <c r="BF12" s="73">
        <v>16.23</v>
      </c>
      <c r="BG12" s="74">
        <v>10.79</v>
      </c>
      <c r="BH12" s="73">
        <v>16.440000000000001</v>
      </c>
      <c r="BI12" s="74">
        <v>13.46</v>
      </c>
      <c r="BJ12" s="73">
        <v>21.07</v>
      </c>
      <c r="BK12" s="74">
        <v>13.99</v>
      </c>
      <c r="BL12" s="73">
        <v>21.96</v>
      </c>
      <c r="BM12" s="74">
        <v>15.18</v>
      </c>
      <c r="BN12" s="73">
        <v>23.01</v>
      </c>
      <c r="BO12" s="74">
        <v>13.98</v>
      </c>
      <c r="BP12" s="73">
        <v>23.78</v>
      </c>
      <c r="BQ12" s="74">
        <v>16.25</v>
      </c>
      <c r="BR12" s="73">
        <v>26.59</v>
      </c>
      <c r="BS12" s="74">
        <v>17.45</v>
      </c>
      <c r="BT12" s="73">
        <v>34.64</v>
      </c>
      <c r="BU12" s="74">
        <v>13.84</v>
      </c>
      <c r="BV12" s="73">
        <v>38.71</v>
      </c>
      <c r="BW12" s="74">
        <v>12.38</v>
      </c>
      <c r="BX12" s="74"/>
      <c r="BY12" s="74">
        <v>168.79165229151201</v>
      </c>
      <c r="BZ12" s="74">
        <v>193.77928611669799</v>
      </c>
      <c r="CA12" s="74">
        <v>214.77</v>
      </c>
      <c r="CB12" s="87">
        <v>175.23</v>
      </c>
      <c r="CC12" s="104">
        <v>221.24</v>
      </c>
      <c r="CD12" s="87">
        <v>294.70999999999998</v>
      </c>
      <c r="CE12" s="87">
        <v>333.32</v>
      </c>
      <c r="CF12" s="87">
        <v>321.73</v>
      </c>
      <c r="CG12" s="87">
        <v>386.53</v>
      </c>
      <c r="CH12" s="87">
        <v>463.94</v>
      </c>
      <c r="CI12" s="70" t="s">
        <v>68</v>
      </c>
    </row>
    <row r="13" spans="1:87" x14ac:dyDescent="0.2">
      <c r="A13" s="70" t="s">
        <v>69</v>
      </c>
      <c r="B13" s="173">
        <v>1089.8599999999999</v>
      </c>
      <c r="C13" s="73">
        <v>6.19</v>
      </c>
      <c r="D13" s="73">
        <v>6.34</v>
      </c>
      <c r="E13" s="73">
        <v>6.28</v>
      </c>
      <c r="F13" s="73">
        <v>5.66</v>
      </c>
      <c r="G13" s="73">
        <v>6.61</v>
      </c>
      <c r="H13" s="73">
        <v>6.6</v>
      </c>
      <c r="I13" s="73">
        <v>6.92</v>
      </c>
      <c r="J13" s="73">
        <v>6.27</v>
      </c>
      <c r="K13" s="73">
        <v>7.08</v>
      </c>
      <c r="L13" s="73">
        <v>7.23</v>
      </c>
      <c r="M13" s="73">
        <v>7.44</v>
      </c>
      <c r="N13" s="73">
        <v>7.15</v>
      </c>
      <c r="O13" s="73">
        <v>7.7</v>
      </c>
      <c r="P13" s="73">
        <v>8.27</v>
      </c>
      <c r="Q13" s="73">
        <v>7.7</v>
      </c>
      <c r="R13" s="73">
        <v>7.4</v>
      </c>
      <c r="S13" s="73">
        <v>8.35</v>
      </c>
      <c r="T13" s="73">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15.43</v>
      </c>
      <c r="AT13" s="58">
        <v>15.41</v>
      </c>
      <c r="AU13" s="58">
        <v>16.47</v>
      </c>
      <c r="AV13" s="58">
        <v>16.920000000000002</v>
      </c>
      <c r="AW13" s="58">
        <v>17</v>
      </c>
      <c r="AX13" s="58">
        <v>17.059999999999999</v>
      </c>
      <c r="AY13" s="74"/>
      <c r="AZ13" s="73">
        <v>24.47</v>
      </c>
      <c r="BA13" s="74">
        <v>12.64</v>
      </c>
      <c r="BB13" s="73">
        <v>26.4</v>
      </c>
      <c r="BC13" s="74">
        <v>13.72</v>
      </c>
      <c r="BD13" s="73">
        <v>28.9</v>
      </c>
      <c r="BE13" s="74">
        <v>12.62</v>
      </c>
      <c r="BF13" s="73">
        <v>31.08</v>
      </c>
      <c r="BG13" s="74">
        <v>12.93</v>
      </c>
      <c r="BH13" s="73">
        <v>31.53</v>
      </c>
      <c r="BI13" s="74">
        <v>14.68</v>
      </c>
      <c r="BJ13" s="73">
        <v>32.43</v>
      </c>
      <c r="BK13" s="74">
        <v>19.809999999999999</v>
      </c>
      <c r="BL13" s="73">
        <v>35.79</v>
      </c>
      <c r="BM13" s="74">
        <v>22.13</v>
      </c>
      <c r="BN13" s="73">
        <v>38.72</v>
      </c>
      <c r="BO13" s="74">
        <v>21.52</v>
      </c>
      <c r="BP13" s="73">
        <v>42.45</v>
      </c>
      <c r="BQ13" s="74">
        <v>18.77</v>
      </c>
      <c r="BR13" s="73">
        <v>45.08</v>
      </c>
      <c r="BS13" s="74">
        <v>21.21</v>
      </c>
      <c r="BT13" s="73">
        <v>55.48</v>
      </c>
      <c r="BU13" s="74">
        <v>19.64</v>
      </c>
      <c r="BV13" s="73">
        <v>67.459999999999994</v>
      </c>
      <c r="BW13" s="74">
        <v>16.16</v>
      </c>
      <c r="BX13" s="74"/>
      <c r="BY13" s="74">
        <v>309.41269753717103</v>
      </c>
      <c r="BZ13" s="74">
        <v>362.22076951876102</v>
      </c>
      <c r="CA13" s="74">
        <v>364.78</v>
      </c>
      <c r="CB13" s="87">
        <v>401.9</v>
      </c>
      <c r="CC13" s="104">
        <v>462.95</v>
      </c>
      <c r="CD13" s="87">
        <v>642.29999999999995</v>
      </c>
      <c r="CE13" s="87">
        <v>791.97</v>
      </c>
      <c r="CF13" s="87">
        <v>833.23</v>
      </c>
      <c r="CG13" s="87">
        <v>796.91</v>
      </c>
      <c r="CH13" s="87">
        <v>956.32</v>
      </c>
      <c r="CI13" s="70" t="s">
        <v>69</v>
      </c>
    </row>
    <row r="14" spans="1:87" x14ac:dyDescent="0.2">
      <c r="A14" s="70" t="s">
        <v>70</v>
      </c>
      <c r="B14" s="173">
        <v>668.47</v>
      </c>
      <c r="C14" s="73">
        <v>5.12</v>
      </c>
      <c r="D14" s="73">
        <v>5.97</v>
      </c>
      <c r="E14" s="73">
        <v>5.46</v>
      </c>
      <c r="F14" s="73">
        <v>4.63</v>
      </c>
      <c r="G14" s="73">
        <v>3.08</v>
      </c>
      <c r="H14" s="73">
        <v>3.75</v>
      </c>
      <c r="I14" s="73">
        <v>3.24</v>
      </c>
      <c r="J14" s="73">
        <v>4.1500000000000004</v>
      </c>
      <c r="K14" s="73">
        <v>3.71</v>
      </c>
      <c r="L14" s="73">
        <v>4.6100000000000003</v>
      </c>
      <c r="M14" s="73">
        <v>4.8499999999999996</v>
      </c>
      <c r="N14" s="73">
        <v>5.24</v>
      </c>
      <c r="O14" s="73">
        <v>4.5599999999999996</v>
      </c>
      <c r="P14" s="73">
        <v>5.54</v>
      </c>
      <c r="Q14" s="73">
        <v>5.44</v>
      </c>
      <c r="R14" s="73">
        <v>5.42</v>
      </c>
      <c r="S14" s="73">
        <v>5.48</v>
      </c>
      <c r="T14" s="73">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9.4</v>
      </c>
      <c r="AT14" s="58">
        <v>9.6</v>
      </c>
      <c r="AU14" s="58">
        <v>8.81</v>
      </c>
      <c r="AV14" s="58">
        <v>10.84</v>
      </c>
      <c r="AW14" s="58">
        <v>10.65</v>
      </c>
      <c r="AX14" s="58">
        <v>10.74</v>
      </c>
      <c r="AY14" s="74"/>
      <c r="AZ14" s="73">
        <v>21.18</v>
      </c>
      <c r="BA14" s="74">
        <v>9.7799999999999994</v>
      </c>
      <c r="BB14" s="73">
        <v>14.22</v>
      </c>
      <c r="BC14" s="74">
        <v>17.09</v>
      </c>
      <c r="BD14" s="73">
        <v>18.41</v>
      </c>
      <c r="BE14" s="74">
        <v>16.36</v>
      </c>
      <c r="BF14" s="73">
        <v>20.96</v>
      </c>
      <c r="BG14" s="74">
        <v>13.95</v>
      </c>
      <c r="BH14" s="73">
        <v>22.28</v>
      </c>
      <c r="BI14" s="74">
        <v>14.76</v>
      </c>
      <c r="BJ14" s="73">
        <v>24.88</v>
      </c>
      <c r="BK14" s="74">
        <v>18.190000000000001</v>
      </c>
      <c r="BL14" s="73">
        <v>26.83</v>
      </c>
      <c r="BM14" s="74">
        <v>18.13</v>
      </c>
      <c r="BN14" s="73">
        <v>28</v>
      </c>
      <c r="BO14" s="74">
        <v>16.559999999999999</v>
      </c>
      <c r="BP14" s="73">
        <v>27.07</v>
      </c>
      <c r="BQ14" s="74">
        <v>19.88</v>
      </c>
      <c r="BR14" s="73">
        <v>30.29</v>
      </c>
      <c r="BS14" s="74">
        <v>21.06</v>
      </c>
      <c r="BT14" s="73">
        <v>37.619999999999997</v>
      </c>
      <c r="BU14" s="74">
        <v>17.77</v>
      </c>
      <c r="BV14" s="73">
        <v>41.03</v>
      </c>
      <c r="BW14" s="74">
        <v>16.29</v>
      </c>
      <c r="BX14" s="74"/>
      <c r="BY14" s="74">
        <v>207.209458244704</v>
      </c>
      <c r="BZ14" s="74">
        <v>242.991959108782</v>
      </c>
      <c r="CA14" s="74">
        <v>301.12</v>
      </c>
      <c r="CB14" s="87">
        <v>292.32</v>
      </c>
      <c r="CC14" s="104">
        <v>328.75</v>
      </c>
      <c r="CD14" s="87">
        <v>452.46</v>
      </c>
      <c r="CE14" s="87">
        <v>486.47</v>
      </c>
      <c r="CF14" s="87">
        <v>463.53</v>
      </c>
      <c r="CG14" s="87">
        <v>538.07000000000005</v>
      </c>
      <c r="CH14" s="87">
        <v>637.80999999999995</v>
      </c>
      <c r="CI14" s="70" t="s">
        <v>70</v>
      </c>
    </row>
    <row r="15" spans="1:87" x14ac:dyDescent="0.2">
      <c r="A15" s="70" t="s">
        <v>71</v>
      </c>
      <c r="B15" s="173">
        <v>1315.67</v>
      </c>
      <c r="C15" s="73">
        <v>4.4400000000000004</v>
      </c>
      <c r="D15" s="73">
        <v>4.5599999999999996</v>
      </c>
      <c r="E15" s="73">
        <v>4.3899999999999997</v>
      </c>
      <c r="F15" s="73">
        <v>2.73</v>
      </c>
      <c r="G15" s="73">
        <v>2.9</v>
      </c>
      <c r="H15" s="73">
        <v>3.62</v>
      </c>
      <c r="I15" s="73">
        <v>4.5199999999999996</v>
      </c>
      <c r="J15" s="73">
        <v>6.44</v>
      </c>
      <c r="K15" s="73">
        <v>5.54</v>
      </c>
      <c r="L15" s="73">
        <v>6.11</v>
      </c>
      <c r="M15" s="73">
        <v>6.7</v>
      </c>
      <c r="N15" s="73">
        <v>7.9</v>
      </c>
      <c r="O15" s="73">
        <v>7.18</v>
      </c>
      <c r="P15" s="73">
        <v>7.69</v>
      </c>
      <c r="Q15" s="73">
        <v>7.32</v>
      </c>
      <c r="R15" s="73">
        <v>9.26</v>
      </c>
      <c r="S15" s="73">
        <v>8.27</v>
      </c>
      <c r="T15" s="73">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15.63</v>
      </c>
      <c r="AT15" s="58">
        <v>19.190000000000001</v>
      </c>
      <c r="AU15" s="58">
        <v>16.309999999999999</v>
      </c>
      <c r="AV15" s="58">
        <v>16.62</v>
      </c>
      <c r="AW15" s="58">
        <v>17.55</v>
      </c>
      <c r="AX15" s="58">
        <v>20.97</v>
      </c>
      <c r="AY15" s="74"/>
      <c r="AZ15" s="73">
        <v>16.12</v>
      </c>
      <c r="BA15" s="74">
        <v>14.38</v>
      </c>
      <c r="BB15" s="73">
        <v>17.48</v>
      </c>
      <c r="BC15" s="74">
        <v>21.21</v>
      </c>
      <c r="BD15" s="73">
        <v>26.25</v>
      </c>
      <c r="BE15" s="74">
        <v>15.41</v>
      </c>
      <c r="BF15" s="73">
        <v>31.44</v>
      </c>
      <c r="BG15" s="74">
        <v>13.04</v>
      </c>
      <c r="BH15" s="73">
        <v>32.69</v>
      </c>
      <c r="BI15" s="74">
        <v>14.19</v>
      </c>
      <c r="BJ15" s="73">
        <v>33.58</v>
      </c>
      <c r="BK15" s="74">
        <v>17.440000000000001</v>
      </c>
      <c r="BL15" s="73">
        <v>36.99</v>
      </c>
      <c r="BM15" s="74">
        <v>18.7</v>
      </c>
      <c r="BN15" s="73">
        <v>37.97</v>
      </c>
      <c r="BO15" s="74">
        <v>19</v>
      </c>
      <c r="BP15" s="73">
        <v>37.99</v>
      </c>
      <c r="BQ15" s="74">
        <v>21.27</v>
      </c>
      <c r="BR15" s="73">
        <v>50.59</v>
      </c>
      <c r="BS15" s="74">
        <v>21.87</v>
      </c>
      <c r="BT15" s="73">
        <v>64.7</v>
      </c>
      <c r="BU15" s="74">
        <v>20.34</v>
      </c>
      <c r="BV15" s="73">
        <v>71.44</v>
      </c>
      <c r="BW15" s="74">
        <v>18.420000000000002</v>
      </c>
      <c r="BX15" s="74"/>
      <c r="BY15" s="74">
        <v>231.80951797071199</v>
      </c>
      <c r="BZ15" s="74">
        <v>370.71108667205903</v>
      </c>
      <c r="CA15" s="74">
        <v>404.55</v>
      </c>
      <c r="CB15" s="87">
        <v>409.93</v>
      </c>
      <c r="CC15" s="104">
        <v>463.82</v>
      </c>
      <c r="CD15" s="87">
        <v>585.48</v>
      </c>
      <c r="CE15" s="87">
        <v>691.95</v>
      </c>
      <c r="CF15" s="87">
        <v>721.48</v>
      </c>
      <c r="CG15" s="87">
        <v>807.95</v>
      </c>
      <c r="CH15" s="87">
        <v>1106.18</v>
      </c>
      <c r="CI15" s="70" t="s">
        <v>71</v>
      </c>
    </row>
    <row r="16" spans="1:87" x14ac:dyDescent="0.2">
      <c r="A16" s="70" t="s">
        <v>72</v>
      </c>
      <c r="B16" s="173">
        <v>381.03</v>
      </c>
      <c r="C16" s="73">
        <v>4.49</v>
      </c>
      <c r="D16" s="73">
        <v>4.7300000000000004</v>
      </c>
      <c r="E16" s="73">
        <v>3.43</v>
      </c>
      <c r="F16" s="73">
        <v>-4.5599999999999996</v>
      </c>
      <c r="G16" s="73">
        <v>1.04</v>
      </c>
      <c r="H16" s="73">
        <v>1.67</v>
      </c>
      <c r="I16" s="73">
        <v>2.27</v>
      </c>
      <c r="J16" s="73">
        <v>2.11</v>
      </c>
      <c r="K16" s="73">
        <v>3.2</v>
      </c>
      <c r="L16" s="73">
        <v>3.47</v>
      </c>
      <c r="M16" s="73">
        <v>3.25</v>
      </c>
      <c r="N16" s="73">
        <v>3.42</v>
      </c>
      <c r="O16" s="73">
        <v>4.96</v>
      </c>
      <c r="P16" s="73">
        <v>5.44</v>
      </c>
      <c r="Q16" s="73">
        <v>3.92</v>
      </c>
      <c r="R16" s="73">
        <v>1.87</v>
      </c>
      <c r="S16" s="73">
        <v>4.2300000000000004</v>
      </c>
      <c r="T16" s="73">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5.61</v>
      </c>
      <c r="AT16" s="58">
        <v>5.61</v>
      </c>
      <c r="AU16" s="58">
        <v>5.83</v>
      </c>
      <c r="AV16" s="58">
        <v>6.86</v>
      </c>
      <c r="AW16" s="58">
        <v>6.02</v>
      </c>
      <c r="AX16" s="58">
        <v>6.14</v>
      </c>
      <c r="AY16" s="74"/>
      <c r="AZ16" s="73">
        <v>8.09</v>
      </c>
      <c r="BA16" s="74">
        <v>17.010000000000002</v>
      </c>
      <c r="BB16" s="73">
        <v>7.09</v>
      </c>
      <c r="BC16" s="74">
        <v>28.18</v>
      </c>
      <c r="BD16" s="73">
        <v>13.33</v>
      </c>
      <c r="BE16" s="74">
        <v>17.97</v>
      </c>
      <c r="BF16" s="73">
        <v>16.2</v>
      </c>
      <c r="BG16" s="74">
        <v>13.07</v>
      </c>
      <c r="BH16" s="73">
        <v>14.67</v>
      </c>
      <c r="BI16" s="74">
        <v>16.2</v>
      </c>
      <c r="BJ16" s="73">
        <v>14.04</v>
      </c>
      <c r="BK16" s="74">
        <v>20.78</v>
      </c>
      <c r="BL16" s="73">
        <v>15.86</v>
      </c>
      <c r="BM16" s="74">
        <v>19.25</v>
      </c>
      <c r="BN16" s="73">
        <v>8.49</v>
      </c>
      <c r="BO16" s="74">
        <v>32.229999999999997</v>
      </c>
      <c r="BP16" s="73">
        <v>13.01</v>
      </c>
      <c r="BQ16" s="74">
        <v>23.99</v>
      </c>
      <c r="BR16" s="73">
        <v>17.18</v>
      </c>
      <c r="BS16" s="74">
        <v>22.05</v>
      </c>
      <c r="BT16" s="73">
        <v>23.33</v>
      </c>
      <c r="BU16" s="74">
        <v>16.329999999999998</v>
      </c>
      <c r="BV16" s="73">
        <v>24.85</v>
      </c>
      <c r="BW16" s="74">
        <v>15.34</v>
      </c>
      <c r="BX16" s="74"/>
      <c r="BY16" s="74">
        <v>137.58654915328501</v>
      </c>
      <c r="BZ16" s="74">
        <v>199.81024150392901</v>
      </c>
      <c r="CA16" s="74">
        <v>239.61</v>
      </c>
      <c r="CB16" s="87">
        <v>211.71</v>
      </c>
      <c r="CC16" s="104">
        <v>237.62</v>
      </c>
      <c r="CD16" s="87">
        <v>291.64</v>
      </c>
      <c r="CE16" s="87">
        <v>305.27999999999997</v>
      </c>
      <c r="CF16" s="87">
        <v>273.64</v>
      </c>
      <c r="CG16" s="87">
        <v>312.16000000000003</v>
      </c>
      <c r="CH16" s="87">
        <v>378.94</v>
      </c>
      <c r="CI16" s="70" t="s">
        <v>72</v>
      </c>
    </row>
    <row r="17" spans="1:87" x14ac:dyDescent="0.2">
      <c r="A17" s="70" t="s">
        <v>73</v>
      </c>
      <c r="B17" s="173">
        <v>157.32</v>
      </c>
      <c r="C17" s="73">
        <v>2.11</v>
      </c>
      <c r="D17" s="73">
        <v>2.25</v>
      </c>
      <c r="E17" s="73">
        <v>1.98</v>
      </c>
      <c r="F17" s="73">
        <v>1.87</v>
      </c>
      <c r="G17" s="73">
        <v>1.95</v>
      </c>
      <c r="H17" s="73">
        <v>1.88</v>
      </c>
      <c r="I17" s="73">
        <v>1.77</v>
      </c>
      <c r="J17" s="73">
        <v>1.62</v>
      </c>
      <c r="K17" s="73">
        <v>1.91</v>
      </c>
      <c r="L17" s="73">
        <v>1.98</v>
      </c>
      <c r="M17" s="73">
        <v>1.84</v>
      </c>
      <c r="N17" s="73">
        <v>1.63</v>
      </c>
      <c r="O17" s="73">
        <v>1.91</v>
      </c>
      <c r="P17" s="73">
        <v>1.78</v>
      </c>
      <c r="Q17" s="73">
        <v>1.95</v>
      </c>
      <c r="R17" s="73">
        <v>1.21</v>
      </c>
      <c r="S17" s="73">
        <v>1.9</v>
      </c>
      <c r="T17" s="73">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3.89</v>
      </c>
      <c r="AT17" s="58">
        <v>3.52</v>
      </c>
      <c r="AU17" s="58">
        <v>3.79</v>
      </c>
      <c r="AV17" s="58">
        <v>3.82</v>
      </c>
      <c r="AW17" s="58">
        <v>4.01</v>
      </c>
      <c r="AX17" s="58">
        <v>3.66</v>
      </c>
      <c r="AY17" s="74"/>
      <c r="AZ17" s="73">
        <v>8.2100000000000009</v>
      </c>
      <c r="BA17" s="74">
        <v>13.61</v>
      </c>
      <c r="BB17" s="73">
        <v>7.22</v>
      </c>
      <c r="BC17" s="74">
        <v>15.88</v>
      </c>
      <c r="BD17" s="73">
        <v>7.36</v>
      </c>
      <c r="BE17" s="74">
        <v>17.5</v>
      </c>
      <c r="BF17" s="73">
        <v>6.85</v>
      </c>
      <c r="BG17" s="74">
        <v>18.95</v>
      </c>
      <c r="BH17" s="73">
        <v>3.38</v>
      </c>
      <c r="BI17" s="74">
        <v>43.26</v>
      </c>
      <c r="BJ17" s="73">
        <v>12.31</v>
      </c>
      <c r="BK17" s="74">
        <v>12.63</v>
      </c>
      <c r="BL17" s="73">
        <v>7.21</v>
      </c>
      <c r="BM17" s="74">
        <v>21.16</v>
      </c>
      <c r="BN17" s="73">
        <v>12.15</v>
      </c>
      <c r="BO17" s="74">
        <v>12.34</v>
      </c>
      <c r="BP17" s="73">
        <v>9.86</v>
      </c>
      <c r="BQ17" s="74">
        <v>17.899999999999999</v>
      </c>
      <c r="BR17" s="73">
        <v>10.18</v>
      </c>
      <c r="BS17" s="74">
        <v>16.309999999999999</v>
      </c>
      <c r="BT17" s="73">
        <v>14.89</v>
      </c>
      <c r="BU17" s="74">
        <v>10.57</v>
      </c>
      <c r="BV17" s="73">
        <v>15.29</v>
      </c>
      <c r="BW17" s="74">
        <v>10.29</v>
      </c>
      <c r="BX17" s="74"/>
      <c r="BY17" s="74">
        <v>111.699218145443</v>
      </c>
      <c r="BZ17" s="74">
        <v>114.638431778259</v>
      </c>
      <c r="CA17" s="74">
        <v>128.74</v>
      </c>
      <c r="CB17" s="87">
        <v>129.82</v>
      </c>
      <c r="CC17" s="104">
        <v>146.04</v>
      </c>
      <c r="CD17" s="87">
        <v>155.52000000000001</v>
      </c>
      <c r="CE17" s="87">
        <v>152.55000000000001</v>
      </c>
      <c r="CF17" s="87">
        <v>149.91</v>
      </c>
      <c r="CG17" s="87">
        <v>176.61</v>
      </c>
      <c r="CH17" s="87">
        <v>166.07</v>
      </c>
      <c r="CI17" s="70" t="s">
        <v>73</v>
      </c>
    </row>
    <row r="18" spans="1:87" x14ac:dyDescent="0.2">
      <c r="A18" s="70" t="s">
        <v>74</v>
      </c>
      <c r="B18" s="173">
        <v>268.14999999999998</v>
      </c>
      <c r="C18" s="73">
        <v>3.2</v>
      </c>
      <c r="D18" s="73">
        <v>2.67</v>
      </c>
      <c r="E18" s="73">
        <v>4.01</v>
      </c>
      <c r="F18" s="73">
        <v>2.37</v>
      </c>
      <c r="G18" s="73">
        <v>2.89</v>
      </c>
      <c r="H18" s="73">
        <v>2.52</v>
      </c>
      <c r="I18" s="73">
        <v>3.81</v>
      </c>
      <c r="J18" s="73">
        <v>2.2799999999999998</v>
      </c>
      <c r="K18" s="73">
        <v>3.41</v>
      </c>
      <c r="L18" s="73">
        <v>2.66</v>
      </c>
      <c r="M18" s="73">
        <v>4.1100000000000003</v>
      </c>
      <c r="N18" s="73">
        <v>2.16</v>
      </c>
      <c r="O18" s="73">
        <v>3.15</v>
      </c>
      <c r="P18" s="73">
        <v>2.87</v>
      </c>
      <c r="Q18" s="73">
        <v>4.13</v>
      </c>
      <c r="R18" s="73">
        <v>2.3199999999999998</v>
      </c>
      <c r="S18" s="73">
        <v>2.98</v>
      </c>
      <c r="T18" s="73">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4.8600000000000003</v>
      </c>
      <c r="AT18" s="58">
        <v>3.08</v>
      </c>
      <c r="AU18" s="58">
        <v>4.3</v>
      </c>
      <c r="AV18" s="58">
        <v>3.55</v>
      </c>
      <c r="AW18" s="58">
        <v>4.99</v>
      </c>
      <c r="AX18" s="58">
        <v>3.54</v>
      </c>
      <c r="AY18" s="74"/>
      <c r="AZ18" s="73">
        <v>12.25</v>
      </c>
      <c r="BA18" s="74">
        <v>12.08</v>
      </c>
      <c r="BB18" s="73">
        <v>11.5</v>
      </c>
      <c r="BC18" s="74">
        <v>13.74</v>
      </c>
      <c r="BD18" s="73">
        <v>12.34</v>
      </c>
      <c r="BE18" s="74">
        <v>12.92</v>
      </c>
      <c r="BF18" s="73">
        <v>12.47</v>
      </c>
      <c r="BG18" s="74">
        <v>14.67</v>
      </c>
      <c r="BH18" s="73">
        <v>11.97</v>
      </c>
      <c r="BI18" s="74">
        <v>14.85</v>
      </c>
      <c r="BJ18" s="73">
        <v>12.15</v>
      </c>
      <c r="BK18" s="74">
        <v>15.91</v>
      </c>
      <c r="BL18" s="73">
        <v>13.22</v>
      </c>
      <c r="BM18" s="74">
        <v>18.16</v>
      </c>
      <c r="BN18" s="73">
        <v>11.25</v>
      </c>
      <c r="BO18" s="74">
        <v>19.55</v>
      </c>
      <c r="BP18" s="73">
        <v>13.67</v>
      </c>
      <c r="BQ18" s="74">
        <v>18.05</v>
      </c>
      <c r="BR18" s="73">
        <v>14.53</v>
      </c>
      <c r="BS18" s="74">
        <v>18.399999999999999</v>
      </c>
      <c r="BT18" s="73">
        <v>15.88</v>
      </c>
      <c r="BU18" s="74">
        <v>16.89</v>
      </c>
      <c r="BV18" s="73">
        <v>16.38</v>
      </c>
      <c r="BW18" s="74">
        <v>16.37</v>
      </c>
      <c r="BX18" s="74"/>
      <c r="BY18" s="74">
        <v>147.93465290177599</v>
      </c>
      <c r="BZ18" s="74">
        <v>157.98969503421301</v>
      </c>
      <c r="CA18" s="74">
        <v>159.34</v>
      </c>
      <c r="CB18" s="87">
        <v>182.98</v>
      </c>
      <c r="CC18" s="104">
        <v>177.66</v>
      </c>
      <c r="CD18" s="87">
        <v>193.21</v>
      </c>
      <c r="CE18" s="87">
        <v>240.14</v>
      </c>
      <c r="CF18" s="87">
        <v>220</v>
      </c>
      <c r="CG18" s="87">
        <v>246.83</v>
      </c>
      <c r="CH18" s="87">
        <v>267.37</v>
      </c>
      <c r="CI18" s="70" t="s">
        <v>74</v>
      </c>
    </row>
    <row r="19" spans="1:87" x14ac:dyDescent="0.2">
      <c r="A19" s="70" t="s">
        <v>335</v>
      </c>
      <c r="B19" s="173">
        <v>205.68</v>
      </c>
      <c r="C19" s="73">
        <v>1.08</v>
      </c>
      <c r="D19" s="73">
        <v>0.93</v>
      </c>
      <c r="E19" s="73">
        <v>0.74</v>
      </c>
      <c r="F19" s="73">
        <v>-0.96</v>
      </c>
      <c r="G19" s="73">
        <v>0.72</v>
      </c>
      <c r="H19" s="73">
        <v>0.02</v>
      </c>
      <c r="I19" s="73">
        <v>0.35</v>
      </c>
      <c r="J19" s="73">
        <v>-0.1</v>
      </c>
      <c r="K19" s="73">
        <v>0.38700000000000001</v>
      </c>
      <c r="L19" s="73">
        <v>0.44</v>
      </c>
      <c r="M19" s="73">
        <v>0.65200000000000002</v>
      </c>
      <c r="N19" s="73">
        <v>-0.156</v>
      </c>
      <c r="O19" s="73">
        <v>0.442</v>
      </c>
      <c r="P19" s="73">
        <v>0.58599999999999997</v>
      </c>
      <c r="Q19" s="73">
        <v>0.72799999999999998</v>
      </c>
      <c r="R19" s="73">
        <v>0.73099999999999998</v>
      </c>
      <c r="S19" s="73">
        <v>0.97099999999999997</v>
      </c>
      <c r="T19" s="73">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1.23</v>
      </c>
      <c r="AT19" s="58">
        <v>1.37</v>
      </c>
      <c r="AU19" s="58">
        <v>1.26</v>
      </c>
      <c r="AV19" s="58">
        <v>1.39</v>
      </c>
      <c r="AW19" s="58">
        <v>1.39</v>
      </c>
      <c r="AX19" s="58">
        <v>1.5</v>
      </c>
      <c r="AY19" s="74"/>
      <c r="AZ19" s="73">
        <f>SUM(C19:F19)</f>
        <v>1.79</v>
      </c>
      <c r="BA19" s="74">
        <f>BY19/AZ19</f>
        <v>43.558659217877093</v>
      </c>
      <c r="BB19" s="73">
        <f>SUM(G19:J19)</f>
        <v>0.98999999999999988</v>
      </c>
      <c r="BC19" s="74">
        <f>BZ19/BB19</f>
        <v>95.131313131313149</v>
      </c>
      <c r="BD19" s="73">
        <f>SUM(K19:N19)</f>
        <v>1.3230000000000002</v>
      </c>
      <c r="BE19" s="74">
        <f>CA19/BD19</f>
        <v>91.141345427059704</v>
      </c>
      <c r="BF19" s="73">
        <f>SUM(O19:R19)</f>
        <v>2.4870000000000001</v>
      </c>
      <c r="BG19" s="74">
        <f>CB19/BF19</f>
        <v>52.33212706071572</v>
      </c>
      <c r="BH19" s="73">
        <f>SUM(S19:V19)</f>
        <v>3.13</v>
      </c>
      <c r="BI19" s="74">
        <f>CC19/BH19</f>
        <v>48.325878594249197</v>
      </c>
      <c r="BJ19" s="73">
        <v>3.31</v>
      </c>
      <c r="BK19" s="74">
        <v>44.95</v>
      </c>
      <c r="BL19" s="73">
        <v>5.34</v>
      </c>
      <c r="BM19" s="74">
        <v>35.22</v>
      </c>
      <c r="BN19" s="73">
        <v>5.45</v>
      </c>
      <c r="BO19" s="74">
        <v>34.89</v>
      </c>
      <c r="BP19" s="73">
        <v>7.38</v>
      </c>
      <c r="BQ19" s="74">
        <v>25.78</v>
      </c>
      <c r="BR19" s="73">
        <v>5.6</v>
      </c>
      <c r="BS19" s="74">
        <v>36.380000000000003</v>
      </c>
      <c r="BT19" s="73">
        <v>5.54</v>
      </c>
      <c r="BU19" s="74">
        <v>37.15</v>
      </c>
      <c r="BV19" s="73">
        <v>5.54</v>
      </c>
      <c r="BW19" s="74">
        <v>37.15</v>
      </c>
      <c r="BX19" s="74"/>
      <c r="BY19" s="74">
        <v>77.97</v>
      </c>
      <c r="BZ19" s="74">
        <v>94.18</v>
      </c>
      <c r="CA19" s="74">
        <v>120.58</v>
      </c>
      <c r="CB19" s="87">
        <v>130.15</v>
      </c>
      <c r="CC19" s="87">
        <v>151.26</v>
      </c>
      <c r="CD19" s="87">
        <v>148.94999999999999</v>
      </c>
      <c r="CE19" s="87">
        <v>187.89</v>
      </c>
      <c r="CF19" s="87">
        <v>190.22</v>
      </c>
      <c r="CG19" s="87">
        <v>190.23</v>
      </c>
      <c r="CH19" s="87">
        <v>203.86</v>
      </c>
      <c r="CI19" s="70" t="str">
        <f>A19</f>
        <v>S&amp;P 500 Real Estate (proforma pre-9/19/16)</v>
      </c>
    </row>
    <row r="20" spans="1:87" x14ac:dyDescent="0.2">
      <c r="B20" s="173"/>
      <c r="C20" s="73"/>
      <c r="D20" s="73"/>
      <c r="E20" s="73"/>
      <c r="F20" s="73"/>
      <c r="G20" s="73"/>
      <c r="H20" s="73"/>
      <c r="I20" s="73"/>
      <c r="J20" s="73"/>
      <c r="K20" s="73"/>
      <c r="L20" s="73"/>
      <c r="M20" s="73"/>
      <c r="N20" s="73"/>
      <c r="O20" s="73"/>
      <c r="P20" s="73"/>
      <c r="Q20" s="73"/>
      <c r="R20" s="73"/>
      <c r="S20" s="73"/>
      <c r="T20" s="73"/>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74"/>
      <c r="BA20" s="74"/>
      <c r="BC20" s="74"/>
      <c r="BE20" s="74"/>
      <c r="BG20" s="74"/>
      <c r="BI20" s="74"/>
      <c r="BK20" s="74"/>
      <c r="BM20" s="74"/>
      <c r="BO20" s="74"/>
      <c r="BQ20" s="74"/>
      <c r="BR20" s="73"/>
      <c r="BS20" s="74"/>
      <c r="BT20" s="73"/>
      <c r="BU20" s="74"/>
      <c r="BV20" s="73"/>
      <c r="BW20" s="74"/>
      <c r="BX20" s="74"/>
      <c r="CD20" s="87"/>
      <c r="CE20" s="87"/>
      <c r="CF20" s="87"/>
      <c r="CG20" s="87"/>
      <c r="CH20" s="87"/>
    </row>
    <row r="21" spans="1:87" x14ac:dyDescent="0.2">
      <c r="A21" s="70" t="s">
        <v>75</v>
      </c>
      <c r="B21" s="173">
        <v>2045.2</v>
      </c>
      <c r="C21" s="73">
        <v>10.119999999999999</v>
      </c>
      <c r="D21" s="73">
        <v>10.71</v>
      </c>
      <c r="E21" s="73">
        <v>10.01</v>
      </c>
      <c r="F21" s="73">
        <v>-0.79</v>
      </c>
      <c r="G21" s="73">
        <v>2.4500000000000002</v>
      </c>
      <c r="H21" s="73">
        <v>7.52</v>
      </c>
      <c r="I21" s="73">
        <v>8.5</v>
      </c>
      <c r="J21" s="73">
        <v>9.1199999999999992</v>
      </c>
      <c r="K21" s="73">
        <v>9.2200000000000006</v>
      </c>
      <c r="L21" s="73">
        <v>10.93</v>
      </c>
      <c r="M21" s="73">
        <v>11.82</v>
      </c>
      <c r="N21" s="73">
        <v>11.94</v>
      </c>
      <c r="O21" s="73">
        <v>10.65</v>
      </c>
      <c r="P21" s="73">
        <v>13.07</v>
      </c>
      <c r="Q21" s="73">
        <v>13.23</v>
      </c>
      <c r="R21" s="73">
        <v>13.36</v>
      </c>
      <c r="S21" s="73">
        <v>12.84</v>
      </c>
      <c r="T21" s="73">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25.09</v>
      </c>
      <c r="AS21" s="58">
        <v>27.47</v>
      </c>
      <c r="AT21" s="58">
        <v>29.18</v>
      </c>
      <c r="AU21" s="58">
        <v>27.43</v>
      </c>
      <c r="AV21" s="58">
        <v>30.7</v>
      </c>
      <c r="AW21" s="58">
        <v>31.77</v>
      </c>
      <c r="AX21" s="58">
        <v>33.630000000000003</v>
      </c>
      <c r="AY21" s="74"/>
      <c r="AZ21" s="73">
        <v>30.05</v>
      </c>
      <c r="BA21" s="74">
        <v>17.91</v>
      </c>
      <c r="BB21" s="73">
        <v>27.59</v>
      </c>
      <c r="BC21" s="74">
        <v>26.34</v>
      </c>
      <c r="BD21" s="73">
        <v>43.92</v>
      </c>
      <c r="BE21" s="74">
        <v>20.66</v>
      </c>
      <c r="BF21" s="73">
        <v>50.31</v>
      </c>
      <c r="BG21" s="74">
        <v>17.48</v>
      </c>
      <c r="BH21" s="73">
        <v>54.54</v>
      </c>
      <c r="BI21" s="74">
        <v>18.71</v>
      </c>
      <c r="BJ21" s="73">
        <v>60</v>
      </c>
      <c r="BK21" s="74">
        <v>22.38</v>
      </c>
      <c r="BL21" s="73">
        <v>58.87</v>
      </c>
      <c r="BM21" s="74">
        <v>24.67</v>
      </c>
      <c r="BN21" s="73">
        <v>55.49</v>
      </c>
      <c r="BO21" s="74">
        <v>25.2</v>
      </c>
      <c r="BP21" s="73">
        <v>64.53</v>
      </c>
      <c r="BQ21" s="74">
        <v>25.73</v>
      </c>
      <c r="BR21" s="73">
        <v>78.12</v>
      </c>
      <c r="BS21" s="74">
        <v>24.33</v>
      </c>
      <c r="BT21" s="73">
        <v>104.04</v>
      </c>
      <c r="BU21" s="74">
        <v>19.66</v>
      </c>
      <c r="BV21" s="73">
        <v>123.53</v>
      </c>
      <c r="BW21" s="74">
        <v>16.559999999999999</v>
      </c>
      <c r="BX21" s="74"/>
      <c r="BY21" s="71">
        <v>538.27930100000003</v>
      </c>
      <c r="BZ21" s="71">
        <v>726.67478400000005</v>
      </c>
      <c r="CA21" s="71">
        <v>907.24987321098399</v>
      </c>
      <c r="CB21" s="87">
        <v>879.16</v>
      </c>
      <c r="CC21" s="104">
        <v>1020.43</v>
      </c>
      <c r="CD21" s="87">
        <v>1342.53</v>
      </c>
      <c r="CE21" s="87">
        <v>1452.44</v>
      </c>
      <c r="CF21" s="87">
        <v>1398.58</v>
      </c>
      <c r="CG21" s="87">
        <v>1660.58</v>
      </c>
      <c r="CH21" s="87">
        <v>1900.57</v>
      </c>
      <c r="CI21" s="70" t="s">
        <v>75</v>
      </c>
    </row>
    <row r="22" spans="1:87" x14ac:dyDescent="0.2">
      <c r="A22" s="70" t="s">
        <v>76</v>
      </c>
      <c r="B22" s="173">
        <v>802.59</v>
      </c>
      <c r="C22" s="73">
        <v>2.46</v>
      </c>
      <c r="D22" s="73">
        <v>2.98</v>
      </c>
      <c r="E22" s="73">
        <v>0.34</v>
      </c>
      <c r="F22" s="73">
        <v>0.61</v>
      </c>
      <c r="G22" s="73">
        <v>2</v>
      </c>
      <c r="H22" s="73">
        <v>2.57</v>
      </c>
      <c r="I22" s="73">
        <v>3.29</v>
      </c>
      <c r="J22" s="73">
        <v>4.28</v>
      </c>
      <c r="K22" s="73">
        <v>3.85</v>
      </c>
      <c r="L22" s="73">
        <v>4.43</v>
      </c>
      <c r="M22" s="73">
        <v>4.4000000000000004</v>
      </c>
      <c r="N22" s="73">
        <v>5.35</v>
      </c>
      <c r="O22" s="73">
        <v>3.66</v>
      </c>
      <c r="P22" s="73">
        <v>4.66</v>
      </c>
      <c r="Q22" s="73">
        <v>4.41</v>
      </c>
      <c r="R22" s="73">
        <v>7.01</v>
      </c>
      <c r="S22" s="73">
        <v>5.0999999999999996</v>
      </c>
      <c r="T22" s="73">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12.07</v>
      </c>
      <c r="AS22" s="58">
        <v>11.9</v>
      </c>
      <c r="AT22" s="58">
        <v>14.88</v>
      </c>
      <c r="AU22" s="58">
        <v>11.51</v>
      </c>
      <c r="AV22" s="58">
        <v>13.79</v>
      </c>
      <c r="AW22" s="58">
        <v>13.82</v>
      </c>
      <c r="AX22" s="58">
        <v>16.77</v>
      </c>
      <c r="AY22" s="74"/>
      <c r="AZ22" s="73">
        <v>6.39</v>
      </c>
      <c r="BA22" s="74">
        <v>28.11</v>
      </c>
      <c r="BB22" s="73">
        <v>12.14</v>
      </c>
      <c r="BC22" s="74">
        <v>22.69</v>
      </c>
      <c r="BD22" s="73">
        <v>18.02</v>
      </c>
      <c r="BE22" s="74">
        <v>20.02</v>
      </c>
      <c r="BF22" s="73">
        <v>19.73</v>
      </c>
      <c r="BG22" s="74">
        <v>18.510000000000002</v>
      </c>
      <c r="BH22" s="73">
        <v>24.4</v>
      </c>
      <c r="BI22" s="74">
        <v>18.2</v>
      </c>
      <c r="BJ22" s="73">
        <v>26.88</v>
      </c>
      <c r="BK22" s="74">
        <v>23.25</v>
      </c>
      <c r="BL22" s="73">
        <v>30.2</v>
      </c>
      <c r="BM22" s="74">
        <v>22.76</v>
      </c>
      <c r="BN22" s="73">
        <v>32.67</v>
      </c>
      <c r="BO22" s="74">
        <v>19.11</v>
      </c>
      <c r="BP22" s="73">
        <v>37.97</v>
      </c>
      <c r="BQ22" s="74">
        <v>17.78</v>
      </c>
      <c r="BR22" s="73">
        <v>42.42</v>
      </c>
      <c r="BS22" s="74">
        <v>18.760000000000002</v>
      </c>
      <c r="BT22" s="73">
        <v>49.19</v>
      </c>
      <c r="BU22" s="74">
        <v>16.309999999999999</v>
      </c>
      <c r="BV22" s="73">
        <v>55.89</v>
      </c>
      <c r="BW22" s="74">
        <v>14.36</v>
      </c>
      <c r="BX22" s="74"/>
      <c r="BY22" s="71">
        <v>179.63314700000001</v>
      </c>
      <c r="BZ22" s="71">
        <v>275.42848900000001</v>
      </c>
      <c r="CA22" s="71">
        <v>360.78854314944198</v>
      </c>
      <c r="CB22" s="87">
        <v>365.27</v>
      </c>
      <c r="CC22" s="104">
        <v>443.95</v>
      </c>
      <c r="CD22" s="87">
        <v>624.88</v>
      </c>
      <c r="CE22" s="87">
        <v>687.24</v>
      </c>
      <c r="CF22" s="87">
        <v>624.30999999999995</v>
      </c>
      <c r="CG22" s="87">
        <v>675.16</v>
      </c>
      <c r="CH22" s="87">
        <v>795.66</v>
      </c>
      <c r="CI22" s="70" t="s">
        <v>76</v>
      </c>
    </row>
    <row r="23" spans="1:87" x14ac:dyDescent="0.2">
      <c r="A23" s="70" t="s">
        <v>77</v>
      </c>
      <c r="B23" s="173">
        <v>1758.4</v>
      </c>
      <c r="C23" s="73">
        <v>6.21</v>
      </c>
      <c r="D23" s="73">
        <v>7.13</v>
      </c>
      <c r="E23" s="73">
        <v>8.51</v>
      </c>
      <c r="F23" s="73">
        <v>6.83</v>
      </c>
      <c r="G23" s="73">
        <v>5.45</v>
      </c>
      <c r="H23" s="73">
        <v>7.19</v>
      </c>
      <c r="I23" s="73">
        <v>8.31</v>
      </c>
      <c r="J23" s="73">
        <v>10.23</v>
      </c>
      <c r="K23" s="73">
        <v>7.59</v>
      </c>
      <c r="L23" s="73">
        <v>9.4700000000000006</v>
      </c>
      <c r="M23" s="73">
        <v>10.41</v>
      </c>
      <c r="N23" s="73">
        <v>11.83</v>
      </c>
      <c r="O23" s="73">
        <v>11.55</v>
      </c>
      <c r="P23" s="73">
        <v>11.24</v>
      </c>
      <c r="Q23" s="73">
        <v>11.37</v>
      </c>
      <c r="R23" s="73">
        <v>11.93</v>
      </c>
      <c r="S23" s="73">
        <v>10.97</v>
      </c>
      <c r="T23" s="73">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21.12</v>
      </c>
      <c r="AS23" s="58">
        <v>21.34</v>
      </c>
      <c r="AT23" s="58">
        <v>20.85</v>
      </c>
      <c r="AU23" s="58">
        <v>23</v>
      </c>
      <c r="AV23" s="58">
        <v>24.71</v>
      </c>
      <c r="AW23" s="58">
        <v>25.12</v>
      </c>
      <c r="AX23" s="58">
        <v>22.26</v>
      </c>
      <c r="AY23" s="74"/>
      <c r="AZ23" s="73">
        <v>28.68</v>
      </c>
      <c r="BA23" s="74">
        <v>14.56</v>
      </c>
      <c r="BB23" s="73">
        <v>31.18</v>
      </c>
      <c r="BC23" s="74">
        <v>15.9</v>
      </c>
      <c r="BD23" s="73">
        <v>39.299999999999997</v>
      </c>
      <c r="BE23" s="74">
        <v>15.77</v>
      </c>
      <c r="BF23" s="73">
        <v>46.09</v>
      </c>
      <c r="BG23" s="74">
        <v>16.309999999999999</v>
      </c>
      <c r="BH23" s="73">
        <v>51.35</v>
      </c>
      <c r="BI23" s="74">
        <v>16.8</v>
      </c>
      <c r="BJ23" s="73">
        <v>55.29</v>
      </c>
      <c r="BK23" s="74">
        <v>21.38</v>
      </c>
      <c r="BL23" s="73">
        <v>56.47</v>
      </c>
      <c r="BM23" s="74">
        <v>27.94</v>
      </c>
      <c r="BN23" s="73">
        <v>71.73</v>
      </c>
      <c r="BO23" s="74">
        <v>20.99</v>
      </c>
      <c r="BP23" s="73">
        <v>70.41</v>
      </c>
      <c r="BQ23" s="74">
        <v>24.01</v>
      </c>
      <c r="BR23" s="73">
        <v>73.569999999999993</v>
      </c>
      <c r="BS23" s="74">
        <v>23.47</v>
      </c>
      <c r="BT23" s="73">
        <v>86.62</v>
      </c>
      <c r="BU23" s="74">
        <v>20.3</v>
      </c>
      <c r="BV23" s="73">
        <v>95.09</v>
      </c>
      <c r="BW23" s="74">
        <v>18.489999999999998</v>
      </c>
      <c r="BX23" s="74"/>
      <c r="BY23" s="71">
        <v>417.55613299999999</v>
      </c>
      <c r="BZ23" s="71">
        <v>495.715306</v>
      </c>
      <c r="CA23" s="71">
        <v>619.58758692758499</v>
      </c>
      <c r="CB23" s="87">
        <v>751.72</v>
      </c>
      <c r="CC23" s="104">
        <v>862.71</v>
      </c>
      <c r="CD23" s="87">
        <v>1181.9000000000001</v>
      </c>
      <c r="CE23" s="87">
        <v>1577.72</v>
      </c>
      <c r="CF23" s="87">
        <v>1505.92</v>
      </c>
      <c r="CG23" s="87">
        <v>1690.47</v>
      </c>
      <c r="CH23" s="87">
        <v>1726.91</v>
      </c>
      <c r="CI23" s="70" t="s">
        <v>77</v>
      </c>
    </row>
    <row r="24" spans="1:87" x14ac:dyDescent="0.2">
      <c r="A24" s="70" t="s">
        <v>78</v>
      </c>
      <c r="B24" s="173">
        <v>492.72</v>
      </c>
      <c r="C24" s="73">
        <v>13.4</v>
      </c>
      <c r="D24" s="73">
        <v>13.38</v>
      </c>
      <c r="E24" s="73">
        <v>30.21</v>
      </c>
      <c r="F24" s="73">
        <v>-40.020000000000003</v>
      </c>
      <c r="G24" s="73">
        <v>-20.59</v>
      </c>
      <c r="H24" s="73">
        <v>4.3600000000000003</v>
      </c>
      <c r="I24" s="73">
        <v>6.91</v>
      </c>
      <c r="J24" s="73">
        <v>4.12</v>
      </c>
      <c r="K24" s="73">
        <v>10.6</v>
      </c>
      <c r="L24" s="73">
        <v>7.92</v>
      </c>
      <c r="M24" s="73">
        <v>8.1199999999999992</v>
      </c>
      <c r="N24" s="73">
        <v>4.7</v>
      </c>
      <c r="O24" s="73">
        <v>6.91</v>
      </c>
      <c r="P24" s="73">
        <v>12.87</v>
      </c>
      <c r="Q24" s="73">
        <v>17.829999999999998</v>
      </c>
      <c r="R24" s="73">
        <v>9.1</v>
      </c>
      <c r="S24" s="73">
        <v>10.9</v>
      </c>
      <c r="T24" s="73">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2.37</v>
      </c>
      <c r="AT24" s="58">
        <v>2.75</v>
      </c>
      <c r="AU24" s="58">
        <v>4.38</v>
      </c>
      <c r="AV24" s="58">
        <v>4.6100000000000003</v>
      </c>
      <c r="AW24" s="58">
        <v>5.64</v>
      </c>
      <c r="AX24" s="58">
        <v>6.02</v>
      </c>
      <c r="AY24" s="74"/>
      <c r="AZ24" s="73">
        <v>16.97</v>
      </c>
      <c r="BA24" s="74">
        <v>21.31</v>
      </c>
      <c r="BB24" s="73">
        <v>-5.2</v>
      </c>
      <c r="BC24" s="74">
        <v>-116.31</v>
      </c>
      <c r="BD24" s="73">
        <v>31.34</v>
      </c>
      <c r="BE24" s="74">
        <v>25.11</v>
      </c>
      <c r="BF24" s="73">
        <v>46.71</v>
      </c>
      <c r="BG24" s="74">
        <v>15.1</v>
      </c>
      <c r="BH24" s="73">
        <v>30.47</v>
      </c>
      <c r="BI24" s="74">
        <v>22.82</v>
      </c>
      <c r="BJ24" s="73">
        <v>32.99</v>
      </c>
      <c r="BK24" s="74">
        <v>26.58</v>
      </c>
      <c r="BL24" s="73">
        <v>27.67</v>
      </c>
      <c r="BM24" s="74">
        <v>23.36</v>
      </c>
      <c r="BN24" s="73">
        <v>-99.43</v>
      </c>
      <c r="BO24" s="74">
        <v>-4.29</v>
      </c>
      <c r="BP24" s="73">
        <v>-53.1</v>
      </c>
      <c r="BQ24" s="74">
        <v>-9.56</v>
      </c>
      <c r="BR24" s="73">
        <v>-1.6</v>
      </c>
      <c r="BS24" s="74">
        <v>-264.31</v>
      </c>
      <c r="BT24" s="73">
        <v>2.96</v>
      </c>
      <c r="BU24" s="74">
        <v>166.23</v>
      </c>
      <c r="BV24" s="73">
        <v>20.65</v>
      </c>
      <c r="BW24" s="74">
        <v>23.86</v>
      </c>
      <c r="BX24" s="74"/>
      <c r="BY24" s="71">
        <v>361.64458400000001</v>
      </c>
      <c r="BZ24" s="71">
        <v>604.81454900000006</v>
      </c>
      <c r="CA24" s="71">
        <v>786.99419431210197</v>
      </c>
      <c r="CB24" s="87">
        <v>705.18</v>
      </c>
      <c r="CC24" s="104">
        <v>695.36</v>
      </c>
      <c r="CD24" s="87">
        <v>877.03</v>
      </c>
      <c r="CE24" s="87">
        <v>646.46</v>
      </c>
      <c r="CF24" s="87">
        <v>426.16</v>
      </c>
      <c r="CG24" s="87">
        <v>507.43</v>
      </c>
      <c r="CH24" s="87">
        <v>422.18</v>
      </c>
      <c r="CI24" s="70" t="s">
        <v>78</v>
      </c>
    </row>
    <row r="25" spans="1:87" x14ac:dyDescent="0.2">
      <c r="A25" s="70" t="s">
        <v>79</v>
      </c>
      <c r="B25" s="173">
        <v>1033.6400000000001</v>
      </c>
      <c r="C25" s="73">
        <v>5.51</v>
      </c>
      <c r="D25" s="73">
        <v>2.66</v>
      </c>
      <c r="E25" s="73">
        <v>0.51</v>
      </c>
      <c r="F25" s="73">
        <v>-2.58</v>
      </c>
      <c r="G25" s="73">
        <v>2.57</v>
      </c>
      <c r="H25" s="73">
        <v>3.79</v>
      </c>
      <c r="I25" s="73">
        <v>2.96</v>
      </c>
      <c r="J25" s="73">
        <v>3.55</v>
      </c>
      <c r="K25" s="73">
        <v>3.4</v>
      </c>
      <c r="L25" s="73">
        <v>4.59</v>
      </c>
      <c r="M25" s="73">
        <v>4.95</v>
      </c>
      <c r="N25" s="73">
        <v>6</v>
      </c>
      <c r="O25" s="73">
        <v>3.49</v>
      </c>
      <c r="P25" s="73">
        <v>6.2</v>
      </c>
      <c r="Q25" s="73">
        <v>4.47</v>
      </c>
      <c r="R25" s="73">
        <v>6.2</v>
      </c>
      <c r="S25" s="73">
        <v>6.76</v>
      </c>
      <c r="T25" s="73">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18.79</v>
      </c>
      <c r="AU25" s="58">
        <v>17.87</v>
      </c>
      <c r="AV25" s="58">
        <v>19.05</v>
      </c>
      <c r="AW25" s="58">
        <v>19.649999999999999</v>
      </c>
      <c r="AX25" s="58">
        <v>20.399999999999999</v>
      </c>
      <c r="AY25" s="74"/>
      <c r="AZ25" s="73">
        <v>6.1</v>
      </c>
      <c r="BA25" s="74">
        <v>64.11</v>
      </c>
      <c r="BB25" s="73">
        <v>12.87</v>
      </c>
      <c r="BC25" s="74">
        <v>32.840000000000003</v>
      </c>
      <c r="BD25" s="73">
        <v>18.940000000000001</v>
      </c>
      <c r="BE25" s="74">
        <v>25.85</v>
      </c>
      <c r="BF25" s="73">
        <v>20.37</v>
      </c>
      <c r="BG25" s="74">
        <v>22.11</v>
      </c>
      <c r="BH25" s="73">
        <v>27.62</v>
      </c>
      <c r="BI25" s="74">
        <v>18.62</v>
      </c>
      <c r="BJ25" s="73">
        <v>30.78</v>
      </c>
      <c r="BK25" s="74">
        <v>20.29</v>
      </c>
      <c r="BL25" s="73">
        <v>36.39</v>
      </c>
      <c r="BM25" s="74">
        <v>19.2</v>
      </c>
      <c r="BN25" s="73">
        <v>36.33</v>
      </c>
      <c r="BO25" s="74">
        <v>19.649999999999999</v>
      </c>
      <c r="BP25" s="73">
        <v>44.82</v>
      </c>
      <c r="BQ25" s="74">
        <v>20.149999999999999</v>
      </c>
      <c r="BR25" s="73">
        <v>51.81</v>
      </c>
      <c r="BS25" s="74">
        <v>19.510000000000002</v>
      </c>
      <c r="BT25" s="73">
        <v>71.739999999999995</v>
      </c>
      <c r="BU25" s="74">
        <v>14.41</v>
      </c>
      <c r="BV25" s="73">
        <v>76.98</v>
      </c>
      <c r="BW25" s="74">
        <v>13.43</v>
      </c>
      <c r="BX25" s="74"/>
      <c r="BY25" s="71">
        <v>391.04396000000003</v>
      </c>
      <c r="BZ25" s="71">
        <v>422.69019600000001</v>
      </c>
      <c r="CA25" s="71">
        <v>489.730853141198</v>
      </c>
      <c r="CB25" s="87">
        <v>450.51</v>
      </c>
      <c r="CC25" s="104">
        <v>514.14</v>
      </c>
      <c r="CD25" s="87">
        <v>624.6</v>
      </c>
      <c r="CE25" s="87">
        <v>698.47</v>
      </c>
      <c r="CF25" s="87">
        <v>713.89</v>
      </c>
      <c r="CG25" s="87">
        <v>902.91</v>
      </c>
      <c r="CH25" s="87">
        <v>1010.74</v>
      </c>
      <c r="CI25" s="70" t="s">
        <v>79</v>
      </c>
    </row>
    <row r="26" spans="1:87" x14ac:dyDescent="0.2">
      <c r="A26" s="70" t="s">
        <v>80</v>
      </c>
      <c r="B26" s="173">
        <v>2087.04</v>
      </c>
      <c r="C26" s="73">
        <v>4.04</v>
      </c>
      <c r="D26" s="73">
        <v>6.43</v>
      </c>
      <c r="E26" s="73">
        <v>4.46</v>
      </c>
      <c r="F26" s="73">
        <v>4.55</v>
      </c>
      <c r="G26" s="73">
        <v>0.92</v>
      </c>
      <c r="H26" s="73">
        <v>4.59</v>
      </c>
      <c r="I26" s="73">
        <v>4.8899999999999997</v>
      </c>
      <c r="J26" s="73">
        <v>5.36</v>
      </c>
      <c r="K26" s="73">
        <v>4.51</v>
      </c>
      <c r="L26" s="73">
        <v>5.1100000000000003</v>
      </c>
      <c r="M26" s="73">
        <v>5.21</v>
      </c>
      <c r="N26" s="73">
        <v>5.8</v>
      </c>
      <c r="O26" s="73">
        <v>5.28</v>
      </c>
      <c r="P26" s="73">
        <v>6.57</v>
      </c>
      <c r="Q26" s="73">
        <v>8.5</v>
      </c>
      <c r="R26" s="73">
        <v>8.16</v>
      </c>
      <c r="S26" s="73">
        <v>6.86</v>
      </c>
      <c r="T26" s="73">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22.48</v>
      </c>
      <c r="AS26" s="58">
        <v>21.26</v>
      </c>
      <c r="AT26" s="58">
        <v>22.8</v>
      </c>
      <c r="AU26" s="58">
        <v>21.73</v>
      </c>
      <c r="AV26" s="58">
        <v>23.77</v>
      </c>
      <c r="AW26" s="58">
        <v>23.69</v>
      </c>
      <c r="AX26" s="58">
        <v>26.11</v>
      </c>
      <c r="AY26" s="74"/>
      <c r="AZ26" s="73">
        <v>19.48</v>
      </c>
      <c r="BA26" s="74">
        <v>15.13</v>
      </c>
      <c r="BB26" s="73">
        <v>15.76</v>
      </c>
      <c r="BC26" s="74">
        <v>25.18</v>
      </c>
      <c r="BD26" s="73">
        <v>20.63</v>
      </c>
      <c r="BE26" s="74">
        <v>23.58</v>
      </c>
      <c r="BF26" s="73">
        <v>28.52</v>
      </c>
      <c r="BG26" s="74">
        <v>17.170000000000002</v>
      </c>
      <c r="BH26" s="73">
        <v>29.14</v>
      </c>
      <c r="BI26" s="74">
        <v>21.23</v>
      </c>
      <c r="BJ26" s="73">
        <v>30.61</v>
      </c>
      <c r="BK26" s="74">
        <v>29.4</v>
      </c>
      <c r="BL26" s="73">
        <v>38.58</v>
      </c>
      <c r="BM26" s="74">
        <v>28.75</v>
      </c>
      <c r="BN26" s="73">
        <v>49.94</v>
      </c>
      <c r="BO26" s="74">
        <v>24.18</v>
      </c>
      <c r="BP26" s="73">
        <v>49.91</v>
      </c>
      <c r="BQ26" s="74">
        <v>26.19</v>
      </c>
      <c r="BR26" s="73">
        <v>51.61</v>
      </c>
      <c r="BS26" s="74">
        <v>30.96</v>
      </c>
      <c r="BT26" s="73">
        <v>81.2</v>
      </c>
      <c r="BU26" s="74">
        <v>25.7</v>
      </c>
      <c r="BV26" s="73">
        <v>95.29</v>
      </c>
      <c r="BW26" s="74">
        <v>21.9</v>
      </c>
      <c r="BX26" s="74"/>
      <c r="BY26" s="71">
        <v>294.701729</v>
      </c>
      <c r="BZ26" s="71">
        <v>396.845347</v>
      </c>
      <c r="CA26" s="71">
        <v>486.41714820689998</v>
      </c>
      <c r="CB26" s="87">
        <v>489.76</v>
      </c>
      <c r="CC26" s="104">
        <v>618.70000000000005</v>
      </c>
      <c r="CD26" s="87">
        <v>899.75</v>
      </c>
      <c r="CE26" s="87">
        <v>1109.24</v>
      </c>
      <c r="CF26" s="87">
        <v>1207.49</v>
      </c>
      <c r="CG26" s="87">
        <v>1307.22</v>
      </c>
      <c r="CH26" s="87">
        <v>1597.71</v>
      </c>
      <c r="CI26" s="70" t="s">
        <v>80</v>
      </c>
    </row>
    <row r="27" spans="1:87" x14ac:dyDescent="0.2">
      <c r="A27" s="70" t="s">
        <v>81</v>
      </c>
      <c r="B27" s="173">
        <v>1079.8900000000001</v>
      </c>
      <c r="C27" s="73">
        <v>5.03</v>
      </c>
      <c r="D27" s="73">
        <v>6.18</v>
      </c>
      <c r="E27" s="73">
        <v>6.29</v>
      </c>
      <c r="F27" s="73">
        <v>3.9</v>
      </c>
      <c r="G27" s="73">
        <v>2.56</v>
      </c>
      <c r="H27" s="73">
        <v>3.97</v>
      </c>
      <c r="I27" s="73">
        <v>4.29</v>
      </c>
      <c r="J27" s="73">
        <v>4.3600000000000003</v>
      </c>
      <c r="K27" s="73">
        <v>4.1399999999999997</v>
      </c>
      <c r="L27" s="73">
        <v>5.87</v>
      </c>
      <c r="M27" s="73">
        <v>6.16</v>
      </c>
      <c r="N27" s="73">
        <v>5.55</v>
      </c>
      <c r="O27" s="73">
        <v>5.37</v>
      </c>
      <c r="P27" s="73">
        <v>6.88</v>
      </c>
      <c r="Q27" s="73">
        <v>7.55</v>
      </c>
      <c r="R27" s="73">
        <v>7.37</v>
      </c>
      <c r="S27" s="73">
        <v>6.83</v>
      </c>
      <c r="T27" s="73">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15.61</v>
      </c>
      <c r="AT27" s="58">
        <v>14.2</v>
      </c>
      <c r="AU27" s="58">
        <v>12.79</v>
      </c>
      <c r="AV27" s="58">
        <v>17.05</v>
      </c>
      <c r="AW27" s="58">
        <v>17.88</v>
      </c>
      <c r="AX27" s="58">
        <v>16.45</v>
      </c>
      <c r="AY27" s="74"/>
      <c r="AZ27" s="73">
        <v>21.4</v>
      </c>
      <c r="BA27" s="74">
        <v>11.35</v>
      </c>
      <c r="BB27" s="73">
        <v>15.18</v>
      </c>
      <c r="BC27" s="74">
        <v>20.79</v>
      </c>
      <c r="BD27" s="73">
        <v>21.73</v>
      </c>
      <c r="BE27" s="74">
        <v>18.829999999999998</v>
      </c>
      <c r="BF27" s="73">
        <v>27.17</v>
      </c>
      <c r="BG27" s="74">
        <v>14.74</v>
      </c>
      <c r="BH27" s="73">
        <v>31.05</v>
      </c>
      <c r="BI27" s="74">
        <v>15.54</v>
      </c>
      <c r="BJ27" s="73">
        <v>35.65</v>
      </c>
      <c r="BK27" s="74">
        <v>19.28</v>
      </c>
      <c r="BL27" s="73">
        <v>36.229999999999997</v>
      </c>
      <c r="BM27" s="74">
        <v>19.03</v>
      </c>
      <c r="BN27" s="73">
        <v>39.799999999999997</v>
      </c>
      <c r="BO27" s="74">
        <v>16.579999999999998</v>
      </c>
      <c r="BP27" s="73">
        <v>40.18</v>
      </c>
      <c r="BQ27" s="74">
        <v>20.87</v>
      </c>
      <c r="BR27" s="73">
        <v>45.66</v>
      </c>
      <c r="BS27" s="74">
        <v>22.44</v>
      </c>
      <c r="BT27" s="73">
        <v>55.58</v>
      </c>
      <c r="BU27" s="74">
        <v>19.43</v>
      </c>
      <c r="BV27" s="73">
        <v>64.16</v>
      </c>
      <c r="BW27" s="74">
        <v>16.829999999999998</v>
      </c>
      <c r="BX27" s="74"/>
      <c r="BY27" s="71">
        <v>242.88265999999999</v>
      </c>
      <c r="BZ27" s="71">
        <v>315.55561299999999</v>
      </c>
      <c r="CA27" s="71">
        <v>409.05061502341601</v>
      </c>
      <c r="CB27" s="87">
        <v>400.42</v>
      </c>
      <c r="CC27" s="104">
        <v>482.54</v>
      </c>
      <c r="CD27" s="87">
        <v>687.4</v>
      </c>
      <c r="CE27" s="87">
        <v>689.46</v>
      </c>
      <c r="CF27" s="87">
        <v>659.95</v>
      </c>
      <c r="CG27" s="87">
        <v>838.63</v>
      </c>
      <c r="CH27" s="87">
        <v>1024.6099999999999</v>
      </c>
      <c r="CI27" s="70" t="s">
        <v>81</v>
      </c>
    </row>
    <row r="28" spans="1:87" x14ac:dyDescent="0.2">
      <c r="A28" s="70" t="s">
        <v>82</v>
      </c>
      <c r="B28" s="173">
        <v>2647.13</v>
      </c>
      <c r="C28" s="73">
        <v>9.31</v>
      </c>
      <c r="D28" s="73">
        <v>10.54</v>
      </c>
      <c r="E28" s="73">
        <v>8.89</v>
      </c>
      <c r="F28" s="73">
        <v>-2.08</v>
      </c>
      <c r="G28" s="73">
        <v>1.61</v>
      </c>
      <c r="H28" s="73">
        <v>6.65</v>
      </c>
      <c r="I28" s="73">
        <v>6.84</v>
      </c>
      <c r="J28" s="73">
        <v>10.75</v>
      </c>
      <c r="K28" s="73">
        <v>9.6999999999999993</v>
      </c>
      <c r="L28" s="73">
        <v>12.08</v>
      </c>
      <c r="M28" s="73">
        <v>13.69</v>
      </c>
      <c r="N28" s="73">
        <v>16.57</v>
      </c>
      <c r="O28" s="73">
        <v>14.17</v>
      </c>
      <c r="P28" s="73">
        <v>14.66</v>
      </c>
      <c r="Q28" s="73">
        <v>12.98</v>
      </c>
      <c r="R28" s="73">
        <v>12.18</v>
      </c>
      <c r="S28" s="73">
        <v>10.15</v>
      </c>
      <c r="T28" s="73">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32.49</v>
      </c>
      <c r="AT28" s="58">
        <v>36.29</v>
      </c>
      <c r="AU28" s="58">
        <v>33.049999999999997</v>
      </c>
      <c r="AV28" s="58">
        <v>36.07</v>
      </c>
      <c r="AW28" s="58">
        <v>38.93</v>
      </c>
      <c r="AX28" s="58">
        <v>42.81</v>
      </c>
      <c r="AY28" s="74"/>
      <c r="AZ28" s="73">
        <v>26.66</v>
      </c>
      <c r="BA28" s="74">
        <v>19.809999999999999</v>
      </c>
      <c r="BB28" s="73">
        <v>25.85</v>
      </c>
      <c r="BC28" s="74">
        <v>32.32</v>
      </c>
      <c r="BD28" s="73">
        <v>52.03</v>
      </c>
      <c r="BE28" s="74">
        <v>21.24</v>
      </c>
      <c r="BF28" s="73">
        <v>53.98</v>
      </c>
      <c r="BG28" s="74">
        <v>18.059999999999999</v>
      </c>
      <c r="BH28" s="73">
        <v>47.43</v>
      </c>
      <c r="BI28" s="74">
        <v>23.59</v>
      </c>
      <c r="BJ28" s="73">
        <v>47.74</v>
      </c>
      <c r="BK28" s="74">
        <v>30.06</v>
      </c>
      <c r="BL28" s="73">
        <v>47.33</v>
      </c>
      <c r="BM28" s="74">
        <v>32.56</v>
      </c>
      <c r="BN28" s="73">
        <v>47.42</v>
      </c>
      <c r="BO28" s="74">
        <v>32.49</v>
      </c>
      <c r="BP28" s="73">
        <v>59.68</v>
      </c>
      <c r="BQ28" s="74">
        <v>31.16</v>
      </c>
      <c r="BR28" s="73">
        <v>74.69</v>
      </c>
      <c r="BS28" s="74">
        <v>30.96</v>
      </c>
      <c r="BT28" s="73">
        <v>109.55</v>
      </c>
      <c r="BU28" s="74">
        <v>24.16</v>
      </c>
      <c r="BV28" s="73">
        <v>150.86000000000001</v>
      </c>
      <c r="BW28" s="74">
        <v>17.55</v>
      </c>
      <c r="BX28" s="74"/>
      <c r="BY28" s="71">
        <v>528.07611299999996</v>
      </c>
      <c r="BZ28" s="71">
        <v>835.384862</v>
      </c>
      <c r="CA28" s="71">
        <v>1105.3769852549799</v>
      </c>
      <c r="CB28" s="87">
        <v>974.98</v>
      </c>
      <c r="CC28" s="104">
        <v>1119.05</v>
      </c>
      <c r="CD28" s="87">
        <v>1435.18</v>
      </c>
      <c r="CE28" s="87">
        <v>1541.03</v>
      </c>
      <c r="CF28" s="87">
        <v>1540.74</v>
      </c>
      <c r="CG28" s="87">
        <v>1859.31</v>
      </c>
      <c r="CH28" s="87">
        <v>2312.38</v>
      </c>
      <c r="CI28" s="70" t="s">
        <v>82</v>
      </c>
    </row>
    <row r="29" spans="1:87" x14ac:dyDescent="0.2">
      <c r="A29" s="70" t="s">
        <v>83</v>
      </c>
      <c r="B29" s="173">
        <v>514.16</v>
      </c>
      <c r="C29" s="73">
        <v>3.93</v>
      </c>
      <c r="D29" s="73">
        <v>5.73</v>
      </c>
      <c r="E29" s="73">
        <v>4.5199999999999996</v>
      </c>
      <c r="F29" s="73">
        <v>0.99</v>
      </c>
      <c r="G29" s="73">
        <v>1.29</v>
      </c>
      <c r="H29" s="73">
        <v>2.59</v>
      </c>
      <c r="I29" s="73">
        <v>2.89</v>
      </c>
      <c r="J29" s="73">
        <v>2.5499999999999998</v>
      </c>
      <c r="K29" s="73">
        <v>2.36</v>
      </c>
      <c r="L29" s="73">
        <v>4.6500000000000004</v>
      </c>
      <c r="M29" s="73">
        <v>4.07</v>
      </c>
      <c r="N29" s="73">
        <v>3.11</v>
      </c>
      <c r="O29" s="73">
        <v>4.29</v>
      </c>
      <c r="P29" s="73">
        <v>4.7699999999999996</v>
      </c>
      <c r="Q29" s="73">
        <v>3.34</v>
      </c>
      <c r="R29" s="73">
        <v>3.41</v>
      </c>
      <c r="S29" s="73">
        <v>4.53</v>
      </c>
      <c r="T29" s="73">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10.95</v>
      </c>
      <c r="AT29" s="58">
        <v>10.220000000000001</v>
      </c>
      <c r="AU29" s="58">
        <v>10.52</v>
      </c>
      <c r="AV29" s="58">
        <v>12.12</v>
      </c>
      <c r="AW29" s="58">
        <v>11.48</v>
      </c>
      <c r="AX29" s="58">
        <v>11.06</v>
      </c>
      <c r="AY29" s="74"/>
      <c r="AZ29" s="73">
        <v>15.17</v>
      </c>
      <c r="BA29" s="74">
        <v>8.44</v>
      </c>
      <c r="BB29" s="73">
        <v>9.32</v>
      </c>
      <c r="BC29" s="74">
        <v>20.91</v>
      </c>
      <c r="BD29" s="73">
        <v>14.19</v>
      </c>
      <c r="BE29" s="74">
        <v>17.28</v>
      </c>
      <c r="BF29" s="73">
        <v>15.8</v>
      </c>
      <c r="BG29" s="74">
        <v>15.39</v>
      </c>
      <c r="BH29" s="73">
        <v>16.260000000000002</v>
      </c>
      <c r="BI29" s="74">
        <v>17.940000000000001</v>
      </c>
      <c r="BJ29" s="73">
        <v>19.78</v>
      </c>
      <c r="BK29" s="74">
        <v>18.05</v>
      </c>
      <c r="BL29" s="73">
        <v>-0.38</v>
      </c>
      <c r="BM29" s="74">
        <v>-983.43</v>
      </c>
      <c r="BN29" s="73">
        <v>15.93</v>
      </c>
      <c r="BO29" s="74">
        <v>20</v>
      </c>
      <c r="BP29" s="73">
        <v>17.88</v>
      </c>
      <c r="BQ29" s="74">
        <v>23.95</v>
      </c>
      <c r="BR29" s="73">
        <v>27.47</v>
      </c>
      <c r="BS29" s="74">
        <v>18.64</v>
      </c>
      <c r="BT29" s="73">
        <v>39.700000000000003</v>
      </c>
      <c r="BU29" s="74">
        <v>12.95</v>
      </c>
      <c r="BV29" s="73">
        <v>45.17</v>
      </c>
      <c r="BW29" s="74">
        <v>11.38</v>
      </c>
      <c r="BX29" s="74"/>
      <c r="BY29" s="71">
        <v>128.06459000000001</v>
      </c>
      <c r="BZ29" s="71">
        <v>194.888015</v>
      </c>
      <c r="CA29" s="71">
        <v>245.231305321018</v>
      </c>
      <c r="CB29" s="87">
        <v>243.2</v>
      </c>
      <c r="CC29" s="104">
        <v>291.69</v>
      </c>
      <c r="CD29" s="87">
        <v>357.13</v>
      </c>
      <c r="CE29" s="87">
        <v>372.73</v>
      </c>
      <c r="CF29" s="87">
        <v>318.49</v>
      </c>
      <c r="CG29" s="87">
        <v>428.14</v>
      </c>
      <c r="CH29" s="87">
        <v>511.92</v>
      </c>
      <c r="CI29" s="70" t="s">
        <v>83</v>
      </c>
    </row>
    <row r="30" spans="1:87" x14ac:dyDescent="0.2">
      <c r="A30" s="70" t="s">
        <v>84</v>
      </c>
      <c r="B30" s="173">
        <v>162.51</v>
      </c>
      <c r="C30" s="73">
        <v>3.48</v>
      </c>
      <c r="D30" s="73">
        <v>4.03</v>
      </c>
      <c r="E30" s="73">
        <v>4.34</v>
      </c>
      <c r="F30" s="73">
        <v>4.37</v>
      </c>
      <c r="G30" s="73">
        <v>3.16</v>
      </c>
      <c r="H30" s="73">
        <v>3.2</v>
      </c>
      <c r="I30" s="73">
        <v>2.35</v>
      </c>
      <c r="J30" s="73">
        <v>1.38</v>
      </c>
      <c r="K30" s="73">
        <v>2.0299999999999998</v>
      </c>
      <c r="L30" s="73">
        <v>6.84</v>
      </c>
      <c r="M30" s="73">
        <v>1.87</v>
      </c>
      <c r="N30" s="73">
        <v>1.49</v>
      </c>
      <c r="O30" s="73">
        <v>1.51</v>
      </c>
      <c r="P30" s="73">
        <v>2.69</v>
      </c>
      <c r="Q30" s="73">
        <v>2.4900000000000002</v>
      </c>
      <c r="R30" s="73">
        <v>0.54</v>
      </c>
      <c r="S30" s="73">
        <v>2.08</v>
      </c>
      <c r="T30" s="73">
        <v>1.86</v>
      </c>
      <c r="U30" s="58">
        <v>1.49</v>
      </c>
      <c r="V30" s="58">
        <v>0.08</v>
      </c>
      <c r="W30" s="58">
        <v>0.57999999999999996</v>
      </c>
      <c r="X30" s="58">
        <v>0.31</v>
      </c>
      <c r="Y30" s="58">
        <v>1.1200000000000001</v>
      </c>
      <c r="Z30" s="58">
        <v>-3.7</v>
      </c>
      <c r="AA30" s="58">
        <v>-0.9</v>
      </c>
      <c r="AB30" s="58">
        <v>-0.2</v>
      </c>
      <c r="AC30" s="58"/>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1.49</v>
      </c>
      <c r="AT30" s="58">
        <v>0.9</v>
      </c>
      <c r="AU30" s="58"/>
      <c r="AV30" s="58"/>
      <c r="AW30" s="58"/>
      <c r="AX30" s="58"/>
      <c r="AY30" s="74"/>
      <c r="AZ30" s="73">
        <v>16.22</v>
      </c>
      <c r="BA30" s="74">
        <v>8.83</v>
      </c>
      <c r="BB30" s="73">
        <v>10.09</v>
      </c>
      <c r="BC30" s="74">
        <v>16.02</v>
      </c>
      <c r="BD30" s="73">
        <v>12.23</v>
      </c>
      <c r="BE30" s="74">
        <v>14.99</v>
      </c>
      <c r="BF30" s="73">
        <v>7.23</v>
      </c>
      <c r="BG30" s="74">
        <v>22.72</v>
      </c>
      <c r="BH30" s="73">
        <v>5.51</v>
      </c>
      <c r="BI30" s="74">
        <v>34.06</v>
      </c>
      <c r="BJ30" s="73">
        <v>-1.69</v>
      </c>
      <c r="BK30" s="74">
        <v>-131.27000000000001</v>
      </c>
      <c r="BM30" s="74">
        <v>272.64999999999998</v>
      </c>
      <c r="BN30" s="73">
        <v>20.93</v>
      </c>
      <c r="BO30" s="74">
        <v>11.22</v>
      </c>
      <c r="BP30" s="73">
        <v>3.18</v>
      </c>
      <c r="BQ30" s="74">
        <v>82.49</v>
      </c>
      <c r="BR30" s="73">
        <v>-11.38</v>
      </c>
      <c r="BS30" s="74">
        <v>-12.96</v>
      </c>
      <c r="BT30" s="73">
        <v>5.84</v>
      </c>
      <c r="BU30" s="74">
        <v>27.85</v>
      </c>
      <c r="BV30" s="73"/>
      <c r="BW30" s="74"/>
      <c r="BX30" s="74"/>
      <c r="BY30" s="71">
        <v>143.15840499999999</v>
      </c>
      <c r="BZ30" s="71">
        <v>161.645354</v>
      </c>
      <c r="CA30" s="71">
        <v>183.360245492996</v>
      </c>
      <c r="CB30" s="87">
        <v>164.14</v>
      </c>
      <c r="CC30" s="104">
        <v>187.72</v>
      </c>
      <c r="CD30" s="87">
        <v>222.36</v>
      </c>
      <c r="CE30" s="87">
        <v>272.64999999999998</v>
      </c>
      <c r="CF30" s="87">
        <v>234.88</v>
      </c>
      <c r="CG30" s="87">
        <v>261.92</v>
      </c>
      <c r="CH30" s="87">
        <v>147.5</v>
      </c>
      <c r="CI30" s="70" t="s">
        <v>84</v>
      </c>
    </row>
    <row r="31" spans="1:87" x14ac:dyDescent="0.2">
      <c r="A31" s="70" t="s">
        <v>85</v>
      </c>
      <c r="B31" s="173">
        <v>555.94000000000005</v>
      </c>
      <c r="C31" s="73">
        <v>4.6500000000000004</v>
      </c>
      <c r="D31" s="73">
        <v>2.48</v>
      </c>
      <c r="E31" s="73">
        <v>4.74</v>
      </c>
      <c r="F31" s="73">
        <v>3.48</v>
      </c>
      <c r="G31" s="73">
        <v>4.45</v>
      </c>
      <c r="H31" s="73">
        <v>2.75</v>
      </c>
      <c r="I31" s="73">
        <v>5.01</v>
      </c>
      <c r="J31" s="73">
        <v>3.36</v>
      </c>
      <c r="K31" s="73">
        <v>5.65</v>
      </c>
      <c r="L31" s="73">
        <v>2.41</v>
      </c>
      <c r="M31" s="73">
        <v>6.1</v>
      </c>
      <c r="N31" s="73">
        <v>3.58</v>
      </c>
      <c r="O31" s="73">
        <v>5.1100000000000003</v>
      </c>
      <c r="P31" s="73">
        <v>3.05</v>
      </c>
      <c r="Q31" s="73">
        <v>5.62</v>
      </c>
      <c r="R31" s="73">
        <v>3.45</v>
      </c>
      <c r="S31" s="73">
        <v>4.43</v>
      </c>
      <c r="T31" s="73">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5.47</v>
      </c>
      <c r="AT31" s="58">
        <v>7.44</v>
      </c>
      <c r="AU31" s="58">
        <v>8.9700000000000006</v>
      </c>
      <c r="AV31" s="58">
        <v>5.04</v>
      </c>
      <c r="AW31" s="58">
        <v>6.04</v>
      </c>
      <c r="AX31" s="58">
        <v>8.19</v>
      </c>
      <c r="AY31" s="74"/>
      <c r="AZ31" s="73">
        <v>15.35</v>
      </c>
      <c r="BA31" s="74">
        <v>13.67</v>
      </c>
      <c r="BB31" s="73">
        <v>15.57</v>
      </c>
      <c r="BC31" s="74">
        <v>15.62</v>
      </c>
      <c r="BD31" s="73">
        <v>17.739999999999998</v>
      </c>
      <c r="BE31" s="74">
        <v>15.07</v>
      </c>
      <c r="BF31" s="73">
        <v>17.22</v>
      </c>
      <c r="BG31" s="74">
        <v>17.48</v>
      </c>
      <c r="BH31" s="73">
        <v>19.72</v>
      </c>
      <c r="BI31" s="74">
        <v>15.52</v>
      </c>
      <c r="BJ31" s="73">
        <v>21.52</v>
      </c>
      <c r="BK31" s="74">
        <v>17.489999999999998</v>
      </c>
      <c r="BL31" s="73">
        <v>22.7</v>
      </c>
      <c r="BM31" s="74">
        <v>19.12</v>
      </c>
      <c r="BN31" s="73">
        <v>21.17</v>
      </c>
      <c r="BO31" s="74">
        <v>18.66</v>
      </c>
      <c r="BP31" s="73">
        <v>24.34</v>
      </c>
      <c r="BQ31" s="74">
        <v>20.07</v>
      </c>
      <c r="BR31" s="73">
        <v>26.18</v>
      </c>
      <c r="BS31" s="74">
        <v>20.16</v>
      </c>
      <c r="BT31" s="73">
        <v>26.03</v>
      </c>
      <c r="BU31" s="74">
        <v>21.36</v>
      </c>
      <c r="BV31" s="73">
        <v>28.25</v>
      </c>
      <c r="BW31" s="74">
        <v>19.68</v>
      </c>
      <c r="BX31" s="74"/>
      <c r="BY31" s="71">
        <v>209.869193</v>
      </c>
      <c r="BZ31" s="71">
        <v>243.21781100000001</v>
      </c>
      <c r="CA31" s="71">
        <v>267.44165166607797</v>
      </c>
      <c r="CB31" s="87">
        <v>300.99</v>
      </c>
      <c r="CC31" s="104">
        <v>306.13</v>
      </c>
      <c r="CD31" s="87">
        <v>376.37</v>
      </c>
      <c r="CE31" s="87">
        <v>433.87</v>
      </c>
      <c r="CF31" s="87">
        <v>395.09</v>
      </c>
      <c r="CG31" s="87">
        <v>488.45</v>
      </c>
      <c r="CH31" s="87">
        <v>527.86</v>
      </c>
      <c r="CI31" s="70" t="s">
        <v>85</v>
      </c>
    </row>
    <row r="32" spans="1:87" x14ac:dyDescent="0.2">
      <c r="A32" s="190" t="s">
        <v>336</v>
      </c>
      <c r="B32" s="173">
        <v>234.42</v>
      </c>
      <c r="C32" s="73"/>
      <c r="D32" s="73"/>
      <c r="E32" s="73"/>
      <c r="F32" s="73"/>
      <c r="G32" s="73"/>
      <c r="H32" s="73"/>
      <c r="I32" s="73"/>
      <c r="J32" s="73"/>
      <c r="K32" s="73"/>
      <c r="L32" s="73"/>
      <c r="M32" s="73"/>
      <c r="N32" s="73"/>
      <c r="O32" s="73"/>
      <c r="P32" s="73"/>
      <c r="Q32" s="73"/>
      <c r="R32" s="73"/>
      <c r="S32" s="73"/>
      <c r="T32" s="73"/>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1.96</v>
      </c>
      <c r="AT32" s="58">
        <v>2.0699999999999998</v>
      </c>
      <c r="AU32" s="58">
        <v>1.59</v>
      </c>
      <c r="AV32" s="58">
        <v>2.17</v>
      </c>
      <c r="AW32" s="58"/>
      <c r="AX32" s="58"/>
      <c r="AY32" s="74"/>
      <c r="BA32" s="74"/>
      <c r="BC32" s="74"/>
      <c r="BE32" s="74"/>
      <c r="BG32" s="74"/>
      <c r="BI32" s="74"/>
      <c r="BJ32" s="73">
        <v>4.01</v>
      </c>
      <c r="BK32" s="74">
        <v>41.63</v>
      </c>
      <c r="BL32" s="73">
        <v>5.79</v>
      </c>
      <c r="BM32" s="74">
        <v>36.01</v>
      </c>
      <c r="BN32" s="73">
        <v>6.53</v>
      </c>
      <c r="BO32" s="74">
        <v>31.83</v>
      </c>
      <c r="BP32" s="73">
        <v>8.1</v>
      </c>
      <c r="BQ32" s="74">
        <v>28.31</v>
      </c>
      <c r="BR32" s="73">
        <v>7.27</v>
      </c>
      <c r="BS32" s="74">
        <v>31.32</v>
      </c>
      <c r="BT32" s="73">
        <v>8.98</v>
      </c>
      <c r="BU32" s="74">
        <v>26.09</v>
      </c>
      <c r="BV32" s="73"/>
      <c r="BW32" s="74"/>
      <c r="BX32" s="74"/>
      <c r="BY32" s="71"/>
      <c r="BZ32" s="71"/>
      <c r="CA32" s="71"/>
      <c r="CD32" s="87"/>
      <c r="CE32" s="87"/>
      <c r="CF32" s="87"/>
      <c r="CG32" s="87">
        <v>229.19</v>
      </c>
      <c r="CH32" s="87">
        <v>227.79</v>
      </c>
    </row>
    <row r="33" spans="1:87" x14ac:dyDescent="0.2">
      <c r="B33" s="173"/>
      <c r="C33" s="73"/>
      <c r="D33" s="73"/>
      <c r="E33" s="73"/>
      <c r="F33" s="73"/>
      <c r="G33" s="73"/>
      <c r="H33" s="73"/>
      <c r="I33" s="73"/>
      <c r="J33" s="73"/>
      <c r="K33" s="73"/>
      <c r="L33" s="73"/>
      <c r="M33" s="73"/>
      <c r="N33" s="73"/>
      <c r="O33" s="73"/>
      <c r="P33" s="73"/>
      <c r="Q33" s="73"/>
      <c r="R33" s="73"/>
      <c r="S33" s="73"/>
      <c r="T33" s="73"/>
      <c r="U33" s="58"/>
      <c r="V33" s="58"/>
      <c r="W33" s="99"/>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74"/>
      <c r="BA33" s="74"/>
      <c r="BC33" s="74"/>
      <c r="BE33" s="74"/>
      <c r="BG33" s="74"/>
      <c r="BI33" s="74"/>
      <c r="BK33" s="74"/>
      <c r="BM33" s="74"/>
      <c r="BO33" s="74"/>
      <c r="BQ33" s="74"/>
      <c r="BR33" s="73"/>
      <c r="BS33" s="74"/>
      <c r="BT33" s="73"/>
      <c r="BU33" s="74"/>
      <c r="BV33" s="73"/>
      <c r="BW33" s="74"/>
      <c r="BX33" s="74"/>
      <c r="CD33" s="87"/>
      <c r="CE33" s="87"/>
      <c r="CF33" s="87"/>
      <c r="CG33" s="87"/>
      <c r="CH33" s="87"/>
    </row>
    <row r="34" spans="1:87" x14ac:dyDescent="0.2">
      <c r="A34" s="70" t="s">
        <v>86</v>
      </c>
      <c r="B34" s="173">
        <v>1079.92</v>
      </c>
      <c r="C34" s="73">
        <v>3.7</v>
      </c>
      <c r="D34" s="73">
        <v>4.28</v>
      </c>
      <c r="E34" s="73">
        <v>3.51</v>
      </c>
      <c r="F34" s="73">
        <v>-1.27</v>
      </c>
      <c r="G34" s="73">
        <v>0.68</v>
      </c>
      <c r="H34" s="73">
        <v>1.83</v>
      </c>
      <c r="I34" s="73">
        <v>2.2599999999999998</v>
      </c>
      <c r="J34" s="73">
        <v>2.85</v>
      </c>
      <c r="K34" s="73">
        <v>3.45</v>
      </c>
      <c r="L34" s="73">
        <v>4.28</v>
      </c>
      <c r="M34" s="73">
        <v>4.8600000000000003</v>
      </c>
      <c r="N34" s="73">
        <v>4.4000000000000004</v>
      </c>
      <c r="O34" s="73">
        <v>4.74</v>
      </c>
      <c r="P34" s="73">
        <v>5.36</v>
      </c>
      <c r="Q34" s="73">
        <v>5.26</v>
      </c>
      <c r="R34" s="73">
        <v>5.23</v>
      </c>
      <c r="S34" s="73">
        <v>5.28</v>
      </c>
      <c r="T34" s="73">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10.09</v>
      </c>
      <c r="AS34" s="58">
        <v>12.36</v>
      </c>
      <c r="AT34" s="58">
        <v>14.81</v>
      </c>
      <c r="AU34" s="58">
        <v>13.28</v>
      </c>
      <c r="AV34" s="58">
        <v>14.98</v>
      </c>
      <c r="AW34" s="58">
        <v>15.44</v>
      </c>
      <c r="AX34" s="58">
        <v>17.239999999999998</v>
      </c>
      <c r="AY34" s="74"/>
      <c r="AZ34" s="73">
        <v>10.220000000000001</v>
      </c>
      <c r="BA34" s="74">
        <v>26.29</v>
      </c>
      <c r="BB34" s="73">
        <v>7.62</v>
      </c>
      <c r="BC34" s="74">
        <v>43.65</v>
      </c>
      <c r="BD34" s="73">
        <v>17</v>
      </c>
      <c r="BE34" s="74">
        <v>24.46</v>
      </c>
      <c r="BF34" s="73">
        <v>20.59</v>
      </c>
      <c r="BG34" s="74">
        <v>20.16</v>
      </c>
      <c r="BH34" s="73">
        <v>21.62</v>
      </c>
      <c r="BI34" s="74">
        <v>22.04</v>
      </c>
      <c r="BJ34" s="73">
        <v>25.33</v>
      </c>
      <c r="BK34" s="74">
        <v>26.28</v>
      </c>
      <c r="BL34" s="73">
        <v>26.79</v>
      </c>
      <c r="BM34" s="74">
        <v>25.95</v>
      </c>
      <c r="BN34" s="73">
        <v>19.66</v>
      </c>
      <c r="BO34" s="74">
        <v>34.159999999999997</v>
      </c>
      <c r="BP34" s="73">
        <v>25.6</v>
      </c>
      <c r="BQ34" s="74">
        <v>32.729999999999997</v>
      </c>
      <c r="BR34" s="73">
        <v>31.19</v>
      </c>
      <c r="BS34" s="74">
        <v>30.01</v>
      </c>
      <c r="BT34" s="73">
        <v>46.4</v>
      </c>
      <c r="BU34" s="74">
        <v>23.28</v>
      </c>
      <c r="BV34" s="73">
        <v>60.94</v>
      </c>
      <c r="BW34" s="74">
        <v>17.72</v>
      </c>
      <c r="BX34" s="74"/>
      <c r="BY34" s="71">
        <v>268.73003299999999</v>
      </c>
      <c r="BZ34" s="71">
        <v>332.63385699999998</v>
      </c>
      <c r="CA34" s="71">
        <v>415.72857196557999</v>
      </c>
      <c r="CB34" s="87">
        <v>415.07</v>
      </c>
      <c r="CC34" s="104">
        <v>476.57</v>
      </c>
      <c r="CD34" s="87">
        <v>665.54</v>
      </c>
      <c r="CE34" s="87">
        <v>695.08</v>
      </c>
      <c r="CF34" s="87">
        <v>671.74</v>
      </c>
      <c r="CG34" s="87">
        <v>837.96</v>
      </c>
      <c r="CH34" s="87">
        <v>936.26</v>
      </c>
      <c r="CI34" s="70" t="s">
        <v>86</v>
      </c>
    </row>
    <row r="35" spans="1:87" x14ac:dyDescent="0.2">
      <c r="A35" s="70" t="s">
        <v>87</v>
      </c>
      <c r="B35" s="173">
        <v>643.96</v>
      </c>
      <c r="C35" s="73">
        <v>1.06</v>
      </c>
      <c r="D35" s="73">
        <v>1.42</v>
      </c>
      <c r="E35" s="73">
        <v>0.53</v>
      </c>
      <c r="F35" s="73">
        <v>-0.9</v>
      </c>
      <c r="G35" s="73">
        <v>0.48</v>
      </c>
      <c r="H35" s="73">
        <v>0.56999999999999995</v>
      </c>
      <c r="I35" s="73">
        <v>2.42</v>
      </c>
      <c r="J35" s="73">
        <v>1.7</v>
      </c>
      <c r="K35" s="73">
        <v>2.33</v>
      </c>
      <c r="L35" s="73">
        <v>2.66</v>
      </c>
      <c r="M35" s="73">
        <v>3.23</v>
      </c>
      <c r="N35" s="73">
        <v>1.98</v>
      </c>
      <c r="O35" s="73">
        <v>2.9</v>
      </c>
      <c r="P35" s="73">
        <v>3.17</v>
      </c>
      <c r="Q35" s="73">
        <v>3.89</v>
      </c>
      <c r="R35" s="73">
        <v>3.14</v>
      </c>
      <c r="S35" s="73">
        <v>3.35</v>
      </c>
      <c r="T35" s="73">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8.6999999999999993</v>
      </c>
      <c r="AS35" s="58">
        <v>8.07</v>
      </c>
      <c r="AT35" s="58">
        <v>13.63</v>
      </c>
      <c r="AU35" s="58">
        <v>7.92</v>
      </c>
      <c r="AV35" s="58">
        <v>9.9</v>
      </c>
      <c r="AW35" s="58">
        <v>10.67</v>
      </c>
      <c r="AX35" s="58">
        <v>14.32</v>
      </c>
      <c r="AY35" s="74"/>
      <c r="AZ35" s="73">
        <v>2.11</v>
      </c>
      <c r="BA35" s="74">
        <v>59.3</v>
      </c>
      <c r="BB35" s="73">
        <v>5.17</v>
      </c>
      <c r="BC35" s="74">
        <v>36.47</v>
      </c>
      <c r="BD35" s="73">
        <v>10.19</v>
      </c>
      <c r="BE35" s="74">
        <v>24.96</v>
      </c>
      <c r="BF35" s="73">
        <v>13.11</v>
      </c>
      <c r="BG35" s="74">
        <v>18.809999999999999</v>
      </c>
      <c r="BH35" s="73">
        <v>14.16</v>
      </c>
      <c r="BI35" s="74">
        <v>21.43</v>
      </c>
      <c r="BJ35" s="73">
        <v>17.84</v>
      </c>
      <c r="BK35" s="74">
        <v>25.13</v>
      </c>
      <c r="BL35" s="73">
        <v>18.809999999999999</v>
      </c>
      <c r="BM35" s="74">
        <v>24.78</v>
      </c>
      <c r="BN35" s="73">
        <v>20.329999999999998</v>
      </c>
      <c r="BO35" s="74">
        <v>20.73</v>
      </c>
      <c r="BP35" s="73">
        <v>23.87</v>
      </c>
      <c r="BQ35" s="74">
        <v>20.239999999999998</v>
      </c>
      <c r="BR35" s="73">
        <v>24.04</v>
      </c>
      <c r="BS35" s="74">
        <v>23.27</v>
      </c>
      <c r="BT35" s="73">
        <v>36.450000000000003</v>
      </c>
      <c r="BU35" s="74">
        <v>17.670000000000002</v>
      </c>
      <c r="BV35" s="73">
        <v>42.8</v>
      </c>
      <c r="BW35" s="74">
        <v>15.04</v>
      </c>
      <c r="BX35" s="74"/>
      <c r="BY35" s="71">
        <v>125.120938</v>
      </c>
      <c r="BZ35" s="71">
        <v>188.551579</v>
      </c>
      <c r="CA35" s="71">
        <v>254.457481513792</v>
      </c>
      <c r="CB35" s="87">
        <v>246.53</v>
      </c>
      <c r="CC35" s="104">
        <v>303.55</v>
      </c>
      <c r="CD35" s="87">
        <v>448.34</v>
      </c>
      <c r="CE35" s="87">
        <v>466.27</v>
      </c>
      <c r="CF35" s="87">
        <v>421.45</v>
      </c>
      <c r="CG35" s="87">
        <v>483.14</v>
      </c>
      <c r="CH35" s="87">
        <v>559.41</v>
      </c>
      <c r="CI35" s="70" t="s">
        <v>87</v>
      </c>
    </row>
    <row r="36" spans="1:87" x14ac:dyDescent="0.2">
      <c r="A36" s="70" t="s">
        <v>88</v>
      </c>
      <c r="B36" s="173">
        <v>1989.84</v>
      </c>
      <c r="C36" s="73">
        <v>4.1100000000000003</v>
      </c>
      <c r="D36" s="73">
        <v>8.11</v>
      </c>
      <c r="E36" s="73">
        <v>5.98</v>
      </c>
      <c r="F36" s="73">
        <v>5.04</v>
      </c>
      <c r="G36" s="73">
        <v>7.47</v>
      </c>
      <c r="H36" s="73">
        <v>9.0500000000000007</v>
      </c>
      <c r="I36" s="73">
        <v>7.75</v>
      </c>
      <c r="J36" s="73">
        <v>3.8</v>
      </c>
      <c r="K36" s="73">
        <v>8.8800000000000008</v>
      </c>
      <c r="L36" s="73">
        <v>10.07</v>
      </c>
      <c r="M36" s="73">
        <v>7.75</v>
      </c>
      <c r="N36" s="73">
        <v>8.07</v>
      </c>
      <c r="O36" s="73">
        <v>6.94</v>
      </c>
      <c r="P36" s="73">
        <v>10.38</v>
      </c>
      <c r="Q36" s="73">
        <v>9.4600000000000009</v>
      </c>
      <c r="R36" s="73">
        <v>9.8800000000000008</v>
      </c>
      <c r="S36" s="73">
        <v>12.39</v>
      </c>
      <c r="T36" s="73">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17.41</v>
      </c>
      <c r="AT36" s="58">
        <v>25.02</v>
      </c>
      <c r="AU36" s="58">
        <v>21.69</v>
      </c>
      <c r="AV36" s="58">
        <v>21.33</v>
      </c>
      <c r="AW36" s="58">
        <v>24.53</v>
      </c>
      <c r="AX36" s="58"/>
      <c r="AY36" s="74"/>
      <c r="AZ36" s="73">
        <v>23.24</v>
      </c>
      <c r="BA36" s="74">
        <v>17.690000000000001</v>
      </c>
      <c r="BB36" s="73">
        <v>28.07</v>
      </c>
      <c r="BC36" s="74">
        <v>20.2</v>
      </c>
      <c r="BD36" s="73">
        <v>34.770000000000003</v>
      </c>
      <c r="BE36" s="74">
        <v>20.39</v>
      </c>
      <c r="BF36" s="73">
        <v>36.659999999999997</v>
      </c>
      <c r="BG36" s="74">
        <v>20.78</v>
      </c>
      <c r="BH36" s="73">
        <v>46.88</v>
      </c>
      <c r="BI36" s="74">
        <v>18.260000000000002</v>
      </c>
      <c r="BJ36" s="73">
        <v>47.21</v>
      </c>
      <c r="BK36" s="74">
        <v>25.99</v>
      </c>
      <c r="BL36" s="73">
        <v>64.87</v>
      </c>
      <c r="BM36" s="74">
        <v>20.68</v>
      </c>
      <c r="BN36" s="73">
        <v>77.06</v>
      </c>
      <c r="BO36" s="74">
        <v>17.23</v>
      </c>
      <c r="BP36" s="73">
        <v>76.11</v>
      </c>
      <c r="BQ36" s="74">
        <v>21.65</v>
      </c>
      <c r="BR36" s="73">
        <v>63.83</v>
      </c>
      <c r="BS36" s="74">
        <v>27.78</v>
      </c>
      <c r="BT36" s="73">
        <v>85.98</v>
      </c>
      <c r="BU36" s="74">
        <v>23.14</v>
      </c>
      <c r="BV36" s="73"/>
      <c r="BW36" s="74"/>
      <c r="BX36" s="74"/>
      <c r="BY36" s="71">
        <v>411.18553700000001</v>
      </c>
      <c r="BZ36" s="71">
        <v>566.97425799999996</v>
      </c>
      <c r="CA36" s="71">
        <v>708.93524962621302</v>
      </c>
      <c r="CB36" s="87">
        <v>761.75</v>
      </c>
      <c r="CC36" s="104">
        <v>855.92</v>
      </c>
      <c r="CD36" s="87">
        <v>1227.1199999999999</v>
      </c>
      <c r="CE36" s="87">
        <v>1341.7</v>
      </c>
      <c r="CF36" s="87">
        <v>1327.38</v>
      </c>
      <c r="CG36" s="87">
        <v>1647.99</v>
      </c>
      <c r="CH36" s="87">
        <v>1773.17</v>
      </c>
      <c r="CI36" s="70" t="s">
        <v>88</v>
      </c>
    </row>
    <row r="37" spans="1:87" x14ac:dyDescent="0.2">
      <c r="A37" s="70" t="s">
        <v>89</v>
      </c>
      <c r="B37" s="173">
        <v>584.87</v>
      </c>
      <c r="C37" s="73">
        <v>16.13</v>
      </c>
      <c r="D37" s="73">
        <v>21.06</v>
      </c>
      <c r="E37" s="73">
        <v>33.26</v>
      </c>
      <c r="F37" s="73">
        <v>-35.78</v>
      </c>
      <c r="G37" s="73">
        <v>-4.28</v>
      </c>
      <c r="H37" s="73">
        <v>6.89</v>
      </c>
      <c r="I37" s="73">
        <v>6.14</v>
      </c>
      <c r="J37" s="73">
        <v>-1.67</v>
      </c>
      <c r="K37" s="73">
        <v>11.49</v>
      </c>
      <c r="L37" s="73">
        <v>11.79</v>
      </c>
      <c r="M37" s="73">
        <v>16.21</v>
      </c>
      <c r="N37" s="73">
        <v>7.01</v>
      </c>
      <c r="O37" s="73">
        <v>13.89</v>
      </c>
      <c r="P37" s="73">
        <v>21.51</v>
      </c>
      <c r="Q37" s="73">
        <v>16.78</v>
      </c>
      <c r="R37" s="73">
        <v>8.98</v>
      </c>
      <c r="S37" s="73">
        <v>12.3</v>
      </c>
      <c r="T37" s="73">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6.65</v>
      </c>
      <c r="AT37" s="58">
        <v>7.76</v>
      </c>
      <c r="AU37" s="58">
        <v>8.36</v>
      </c>
      <c r="AV37" s="58">
        <v>9.94</v>
      </c>
      <c r="AW37" s="58">
        <v>11.75</v>
      </c>
      <c r="AX37" s="58">
        <v>12.67</v>
      </c>
      <c r="AY37" s="74"/>
      <c r="AZ37" s="73">
        <v>34.67</v>
      </c>
      <c r="BA37" s="74">
        <v>14.68</v>
      </c>
      <c r="BB37" s="73">
        <v>7.08</v>
      </c>
      <c r="BC37" s="74">
        <v>116.43</v>
      </c>
      <c r="BD37" s="73">
        <v>46.51</v>
      </c>
      <c r="BE37" s="74">
        <v>25.58</v>
      </c>
      <c r="BF37" s="73">
        <v>61.15</v>
      </c>
      <c r="BG37" s="74">
        <v>19.899999999999999</v>
      </c>
      <c r="BH37" s="73">
        <v>15.63</v>
      </c>
      <c r="BI37" s="74">
        <v>77.62</v>
      </c>
      <c r="BJ37" s="73">
        <v>32.35</v>
      </c>
      <c r="BK37" s="74">
        <v>51.79</v>
      </c>
      <c r="BL37" s="73">
        <v>-67.52</v>
      </c>
      <c r="BM37" s="74">
        <v>-15.83</v>
      </c>
      <c r="BN37" s="73">
        <v>-307.5</v>
      </c>
      <c r="BO37" s="74">
        <v>-1.82</v>
      </c>
      <c r="BP37" s="73">
        <v>-119</v>
      </c>
      <c r="BQ37" s="74">
        <v>-6.44</v>
      </c>
      <c r="BR37" s="73">
        <v>-20.5</v>
      </c>
      <c r="BS37" s="74">
        <v>-27.41</v>
      </c>
      <c r="BT37" s="73">
        <v>4.78</v>
      </c>
      <c r="BU37" s="74">
        <v>122.31</v>
      </c>
      <c r="BV37" s="73">
        <v>42.72</v>
      </c>
      <c r="BW37" s="74">
        <v>13.69</v>
      </c>
      <c r="BX37" s="74"/>
      <c r="BY37" s="71">
        <v>509.004437</v>
      </c>
      <c r="BZ37" s="71">
        <v>824.31099900000004</v>
      </c>
      <c r="CA37" s="71">
        <v>1189.83001928814</v>
      </c>
      <c r="CB37" s="87">
        <v>1216.75</v>
      </c>
      <c r="CC37" s="104">
        <v>1213.24</v>
      </c>
      <c r="CD37" s="87">
        <v>1675.39</v>
      </c>
      <c r="CE37" s="87">
        <v>1068.8599999999999</v>
      </c>
      <c r="CF37" s="87">
        <v>559.04</v>
      </c>
      <c r="CG37" s="87">
        <v>766.14</v>
      </c>
      <c r="CH37" s="87">
        <v>561.77</v>
      </c>
      <c r="CI37" s="70" t="s">
        <v>89</v>
      </c>
    </row>
    <row r="38" spans="1:87" x14ac:dyDescent="0.2">
      <c r="A38" s="70" t="s">
        <v>90</v>
      </c>
      <c r="B38" s="173">
        <v>1153.45</v>
      </c>
      <c r="C38" s="73">
        <v>3.15</v>
      </c>
      <c r="D38" s="73">
        <v>2.56</v>
      </c>
      <c r="E38" s="73">
        <v>-1.17</v>
      </c>
      <c r="F38" s="73">
        <v>-10.69</v>
      </c>
      <c r="G38" s="73">
        <v>-4.43</v>
      </c>
      <c r="H38" s="73">
        <v>-1.31</v>
      </c>
      <c r="I38" s="73">
        <v>-5.89</v>
      </c>
      <c r="J38" s="73">
        <v>0.56000000000000005</v>
      </c>
      <c r="K38" s="73">
        <v>1.55</v>
      </c>
      <c r="L38" s="73">
        <v>2.2000000000000002</v>
      </c>
      <c r="M38" s="73">
        <v>3.72</v>
      </c>
      <c r="N38" s="73">
        <v>2.2400000000000002</v>
      </c>
      <c r="O38" s="73">
        <v>3.55</v>
      </c>
      <c r="P38" s="73">
        <v>4.72</v>
      </c>
      <c r="Q38" s="73">
        <v>4.95</v>
      </c>
      <c r="R38" s="73">
        <v>6.26</v>
      </c>
      <c r="S38" s="73">
        <v>6.54</v>
      </c>
      <c r="T38" s="73">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17.7</v>
      </c>
      <c r="AT38" s="58">
        <v>19.37</v>
      </c>
      <c r="AU38" s="58">
        <v>20.010000000000002</v>
      </c>
      <c r="AV38" s="58">
        <v>20.329999999999998</v>
      </c>
      <c r="AW38" s="58">
        <v>20.399999999999999</v>
      </c>
      <c r="AX38" s="58">
        <v>21.67</v>
      </c>
      <c r="AY38" s="74"/>
      <c r="AZ38" s="73">
        <v>-6.15</v>
      </c>
      <c r="BA38" s="74">
        <v>-74.11</v>
      </c>
      <c r="BB38" s="73">
        <v>-11.07</v>
      </c>
      <c r="BC38" s="74">
        <v>-37.75</v>
      </c>
      <c r="BD38" s="73">
        <v>9.7100000000000009</v>
      </c>
      <c r="BE38" s="74">
        <v>50.98</v>
      </c>
      <c r="BF38" s="73">
        <v>19.48</v>
      </c>
      <c r="BG38" s="74">
        <v>25.17</v>
      </c>
      <c r="BH38" s="73">
        <v>27.83</v>
      </c>
      <c r="BI38" s="74">
        <v>20.100000000000001</v>
      </c>
      <c r="BJ38" s="73">
        <v>34.51</v>
      </c>
      <c r="BK38" s="74">
        <v>20.77</v>
      </c>
      <c r="BL38" s="73">
        <v>38.21</v>
      </c>
      <c r="BM38" s="74">
        <v>19.75</v>
      </c>
      <c r="BN38" s="73">
        <v>36.93</v>
      </c>
      <c r="BO38" s="74">
        <v>19.91</v>
      </c>
      <c r="BP38" s="73">
        <v>46.04</v>
      </c>
      <c r="BQ38" s="74">
        <v>21.61</v>
      </c>
      <c r="BR38" s="73">
        <v>53.79</v>
      </c>
      <c r="BS38" s="74">
        <v>19.29</v>
      </c>
      <c r="BT38" s="73">
        <v>72.61</v>
      </c>
      <c r="BU38" s="74">
        <v>15.89</v>
      </c>
      <c r="BV38" s="73">
        <v>82.41</v>
      </c>
      <c r="BW38" s="74">
        <v>14</v>
      </c>
      <c r="BX38" s="74"/>
      <c r="BY38" s="71">
        <v>455.79289599999998</v>
      </c>
      <c r="BZ38" s="71">
        <v>417.94242200000002</v>
      </c>
      <c r="CA38" s="71">
        <v>494.85522157515697</v>
      </c>
      <c r="CB38" s="87">
        <v>490.3</v>
      </c>
      <c r="CC38" s="104">
        <v>559.32000000000005</v>
      </c>
      <c r="CD38" s="87">
        <v>716.59</v>
      </c>
      <c r="CE38" s="87">
        <v>754.55</v>
      </c>
      <c r="CF38" s="87">
        <v>735.23</v>
      </c>
      <c r="CG38" s="87">
        <v>994.78</v>
      </c>
      <c r="CH38" s="87">
        <v>1037.6600000000001</v>
      </c>
      <c r="CI38" s="70" t="s">
        <v>90</v>
      </c>
    </row>
    <row r="39" spans="1:87" x14ac:dyDescent="0.2">
      <c r="A39" s="70" t="s">
        <v>91</v>
      </c>
      <c r="B39" s="173">
        <v>3389.61</v>
      </c>
      <c r="C39" s="73">
        <v>4.6500000000000004</v>
      </c>
      <c r="D39" s="73">
        <v>5.96</v>
      </c>
      <c r="E39" s="73">
        <v>5.21</v>
      </c>
      <c r="F39" s="73">
        <v>5.93</v>
      </c>
      <c r="G39" s="73">
        <v>5.15</v>
      </c>
      <c r="H39" s="73">
        <v>5.85</v>
      </c>
      <c r="I39" s="73">
        <v>6.88</v>
      </c>
      <c r="J39" s="73">
        <v>7.05</v>
      </c>
      <c r="K39" s="73">
        <v>6.52</v>
      </c>
      <c r="L39" s="73">
        <v>7.98</v>
      </c>
      <c r="M39" s="73">
        <v>7.76</v>
      </c>
      <c r="N39" s="73">
        <v>9.44</v>
      </c>
      <c r="O39" s="73">
        <v>7.89</v>
      </c>
      <c r="P39" s="73">
        <v>8.5399999999999991</v>
      </c>
      <c r="Q39" s="73">
        <v>9.64</v>
      </c>
      <c r="R39" s="73">
        <v>11.36</v>
      </c>
      <c r="S39" s="73">
        <v>8.3800000000000008</v>
      </c>
      <c r="T39" s="73">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11.93</v>
      </c>
      <c r="AS39" s="58">
        <v>18.059999999999999</v>
      </c>
      <c r="AT39" s="58">
        <v>23.56</v>
      </c>
      <c r="AU39" s="58">
        <v>21.13</v>
      </c>
      <c r="AV39" s="58">
        <v>24.68</v>
      </c>
      <c r="AW39" s="58">
        <v>25.59</v>
      </c>
      <c r="AX39" s="58">
        <v>32.35</v>
      </c>
      <c r="AY39" s="74"/>
      <c r="AZ39" s="73">
        <v>21.75</v>
      </c>
      <c r="BA39" s="74">
        <v>19.87</v>
      </c>
      <c r="BB39" s="73">
        <v>24.93</v>
      </c>
      <c r="BC39" s="74">
        <v>21.19</v>
      </c>
      <c r="BD39" s="73">
        <v>31.7</v>
      </c>
      <c r="BE39" s="74">
        <v>20.36</v>
      </c>
      <c r="BF39" s="73">
        <v>37.43</v>
      </c>
      <c r="BG39" s="74">
        <v>19.57</v>
      </c>
      <c r="BH39" s="73">
        <v>38.369999999999997</v>
      </c>
      <c r="BI39" s="74">
        <v>21.58</v>
      </c>
      <c r="BJ39" s="73">
        <v>38.619999999999997</v>
      </c>
      <c r="BK39" s="74">
        <v>33.35</v>
      </c>
      <c r="BL39" s="73">
        <v>46.84</v>
      </c>
      <c r="BM39" s="74">
        <v>30.5</v>
      </c>
      <c r="BN39" s="73">
        <v>40.75</v>
      </c>
      <c r="BO39" s="74">
        <v>42.2</v>
      </c>
      <c r="BP39" s="73">
        <v>13.87</v>
      </c>
      <c r="BQ39" s="74">
        <v>126.35</v>
      </c>
      <c r="BR39" s="73">
        <v>-4.59</v>
      </c>
      <c r="BS39" s="74">
        <v>-514.05999999999995</v>
      </c>
      <c r="BT39" s="73">
        <v>61.51</v>
      </c>
      <c r="BU39" s="74">
        <v>55.1</v>
      </c>
      <c r="BV39" s="73">
        <v>103.75</v>
      </c>
      <c r="BW39" s="74">
        <v>32.67</v>
      </c>
      <c r="BX39" s="74"/>
      <c r="BY39" s="71">
        <v>432.21943900000002</v>
      </c>
      <c r="BZ39" s="71">
        <v>528.228252</v>
      </c>
      <c r="CA39" s="71">
        <v>645.648413465369</v>
      </c>
      <c r="CB39" s="87">
        <v>732.64</v>
      </c>
      <c r="CC39" s="104">
        <v>828.04</v>
      </c>
      <c r="CD39" s="87">
        <v>1287.72</v>
      </c>
      <c r="CE39" s="87">
        <v>1428.29</v>
      </c>
      <c r="CF39" s="87">
        <v>1719.5</v>
      </c>
      <c r="CG39" s="87">
        <v>1752.93</v>
      </c>
      <c r="CH39" s="87">
        <v>2357.34</v>
      </c>
      <c r="CI39" s="70" t="s">
        <v>91</v>
      </c>
    </row>
    <row r="40" spans="1:87" x14ac:dyDescent="0.2">
      <c r="A40" s="70" t="s">
        <v>92</v>
      </c>
      <c r="B40" s="173">
        <v>1218.83</v>
      </c>
      <c r="C40" s="73">
        <v>6.11</v>
      </c>
      <c r="D40" s="73">
        <v>8.3800000000000008</v>
      </c>
      <c r="E40" s="73">
        <v>7.61</v>
      </c>
      <c r="F40" s="73">
        <v>4</v>
      </c>
      <c r="G40" s="73">
        <v>2.75</v>
      </c>
      <c r="H40" s="73">
        <v>4.5599999999999996</v>
      </c>
      <c r="I40" s="73">
        <v>5.1100000000000003</v>
      </c>
      <c r="J40" s="73">
        <v>4.04</v>
      </c>
      <c r="K40" s="73">
        <v>2.86</v>
      </c>
      <c r="L40" s="73">
        <v>5.98</v>
      </c>
      <c r="M40" s="73">
        <v>6.16</v>
      </c>
      <c r="N40" s="73">
        <v>5.97</v>
      </c>
      <c r="O40" s="73">
        <v>6.03</v>
      </c>
      <c r="P40" s="73">
        <v>7.09</v>
      </c>
      <c r="Q40" s="73">
        <v>6.94</v>
      </c>
      <c r="R40" s="73">
        <v>6.11</v>
      </c>
      <c r="S40" s="73">
        <v>6.68</v>
      </c>
      <c r="T40" s="73">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14.22</v>
      </c>
      <c r="AS40" s="58">
        <v>15.41</v>
      </c>
      <c r="AT40" s="58">
        <v>14.79</v>
      </c>
      <c r="AU40" s="58">
        <v>14.21</v>
      </c>
      <c r="AV40" s="58">
        <v>17.920000000000002</v>
      </c>
      <c r="AW40" s="58">
        <v>17.72</v>
      </c>
      <c r="AX40" s="58">
        <v>17.16</v>
      </c>
      <c r="AY40" s="74"/>
      <c r="AZ40" s="73">
        <v>26.1</v>
      </c>
      <c r="BA40" s="74">
        <v>12.39</v>
      </c>
      <c r="BB40" s="73">
        <v>16.46</v>
      </c>
      <c r="BC40" s="74">
        <v>22.63</v>
      </c>
      <c r="BD40" s="73">
        <v>20.97</v>
      </c>
      <c r="BE40" s="74">
        <v>22.36</v>
      </c>
      <c r="BF40" s="73">
        <v>26.17</v>
      </c>
      <c r="BG40" s="74">
        <v>16.86</v>
      </c>
      <c r="BH40" s="73">
        <v>29.67</v>
      </c>
      <c r="BI40" s="74">
        <v>17.86</v>
      </c>
      <c r="BJ40" s="73">
        <v>32.619999999999997</v>
      </c>
      <c r="BK40" s="74">
        <v>22.87</v>
      </c>
      <c r="BL40" s="73">
        <v>34.229999999999997</v>
      </c>
      <c r="BM40" s="74">
        <v>22.16</v>
      </c>
      <c r="BN40" s="73">
        <v>36.94</v>
      </c>
      <c r="BO40" s="74">
        <v>19.25</v>
      </c>
      <c r="BP40" s="73">
        <v>37.11</v>
      </c>
      <c r="BQ40" s="74">
        <v>24.57</v>
      </c>
      <c r="BR40" s="73">
        <v>44.23</v>
      </c>
      <c r="BS40" s="74">
        <v>23.94</v>
      </c>
      <c r="BT40" s="73">
        <v>54.93</v>
      </c>
      <c r="BU40" s="74">
        <v>22.19</v>
      </c>
      <c r="BV40" s="73">
        <v>67.010000000000005</v>
      </c>
      <c r="BW40" s="74">
        <v>18.190000000000001</v>
      </c>
      <c r="BX40" s="74"/>
      <c r="BY40" s="71">
        <v>323.26309500000002</v>
      </c>
      <c r="BZ40" s="71">
        <v>372.565789</v>
      </c>
      <c r="CA40" s="71">
        <v>468.88068339173702</v>
      </c>
      <c r="CB40" s="87">
        <v>441.05</v>
      </c>
      <c r="CC40" s="104">
        <v>529.85</v>
      </c>
      <c r="CD40" s="87">
        <v>746.08</v>
      </c>
      <c r="CE40" s="87">
        <v>758.61</v>
      </c>
      <c r="CF40" s="87">
        <v>711.08</v>
      </c>
      <c r="CG40" s="87">
        <v>911.68</v>
      </c>
      <c r="CH40" s="87">
        <v>1058.76</v>
      </c>
      <c r="CI40" s="70" t="s">
        <v>92</v>
      </c>
    </row>
    <row r="41" spans="1:87" x14ac:dyDescent="0.2">
      <c r="A41" s="70" t="s">
        <v>93</v>
      </c>
      <c r="B41" s="173">
        <v>753.27</v>
      </c>
      <c r="C41" s="73">
        <v>1.93</v>
      </c>
      <c r="D41" s="73">
        <v>1.77</v>
      </c>
      <c r="E41" s="73">
        <v>1.49</v>
      </c>
      <c r="F41" s="73">
        <v>-0.76</v>
      </c>
      <c r="G41" s="73">
        <v>-0.65</v>
      </c>
      <c r="H41" s="73">
        <v>0.09</v>
      </c>
      <c r="I41" s="73">
        <v>1.47</v>
      </c>
      <c r="J41" s="73">
        <v>1.88</v>
      </c>
      <c r="K41" s="73">
        <v>2.08</v>
      </c>
      <c r="L41" s="73">
        <v>2.79</v>
      </c>
      <c r="M41" s="73">
        <v>3.27</v>
      </c>
      <c r="N41" s="73">
        <v>3.52</v>
      </c>
      <c r="O41" s="73">
        <v>2.6</v>
      </c>
      <c r="P41" s="73">
        <v>3.01</v>
      </c>
      <c r="Q41" s="73">
        <v>2.5</v>
      </c>
      <c r="R41" s="73">
        <v>2.27</v>
      </c>
      <c r="S41" s="73">
        <v>1.63</v>
      </c>
      <c r="T41" s="73">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8.91</v>
      </c>
      <c r="AT41" s="58">
        <v>10.34</v>
      </c>
      <c r="AU41" s="58">
        <v>9.4499999999999993</v>
      </c>
      <c r="AV41" s="58">
        <v>11</v>
      </c>
      <c r="AW41" s="58">
        <v>11.52</v>
      </c>
      <c r="AX41" s="58">
        <v>12.61</v>
      </c>
      <c r="AY41" s="74"/>
      <c r="AZ41" s="73">
        <v>4.43</v>
      </c>
      <c r="BA41" s="74">
        <v>30.94</v>
      </c>
      <c r="BB41" s="73">
        <v>2.79</v>
      </c>
      <c r="BC41" s="74">
        <v>72.61</v>
      </c>
      <c r="BD41" s="73">
        <v>11.66</v>
      </c>
      <c r="BE41" s="74">
        <v>21.61</v>
      </c>
      <c r="BF41" s="73">
        <v>10.39</v>
      </c>
      <c r="BG41" s="74">
        <v>23.2</v>
      </c>
      <c r="BH41" s="73">
        <v>8.57</v>
      </c>
      <c r="BI41" s="74">
        <v>31.36</v>
      </c>
      <c r="BJ41" s="73">
        <v>11.87</v>
      </c>
      <c r="BK41" s="74">
        <v>32.700000000000003</v>
      </c>
      <c r="BL41" s="73">
        <v>12.98</v>
      </c>
      <c r="BM41" s="74">
        <v>33.75</v>
      </c>
      <c r="BN41" s="73">
        <v>15.2</v>
      </c>
      <c r="BO41" s="74">
        <v>30.01</v>
      </c>
      <c r="BP41" s="73">
        <v>16.940000000000001</v>
      </c>
      <c r="BQ41" s="74">
        <v>35.869999999999997</v>
      </c>
      <c r="BR41" s="73">
        <v>23.12</v>
      </c>
      <c r="BS41" s="74">
        <v>28.87</v>
      </c>
      <c r="BT41" s="73">
        <v>29.75</v>
      </c>
      <c r="BU41" s="74">
        <v>25.32</v>
      </c>
      <c r="BV41" s="73">
        <v>44.57</v>
      </c>
      <c r="BW41" s="74">
        <v>16.899999999999999</v>
      </c>
      <c r="BX41" s="74"/>
      <c r="BY41" s="71">
        <v>137.085894</v>
      </c>
      <c r="BZ41" s="71">
        <v>202.58402699999999</v>
      </c>
      <c r="CA41" s="71">
        <v>251.92909297019099</v>
      </c>
      <c r="CB41" s="87">
        <v>241.05</v>
      </c>
      <c r="CC41" s="104">
        <v>268.88</v>
      </c>
      <c r="CD41" s="87">
        <v>388.16</v>
      </c>
      <c r="CE41" s="87">
        <v>438.01</v>
      </c>
      <c r="CF41" s="87">
        <v>456.15</v>
      </c>
      <c r="CG41" s="87">
        <v>607.80999999999995</v>
      </c>
      <c r="CH41" s="87">
        <v>667.42</v>
      </c>
      <c r="CI41" s="70" t="s">
        <v>93</v>
      </c>
    </row>
    <row r="42" spans="1:87" x14ac:dyDescent="0.2">
      <c r="A42" s="70" t="s">
        <v>94</v>
      </c>
      <c r="B42" s="173">
        <v>576.98</v>
      </c>
      <c r="C42" s="73">
        <v>-0.23</v>
      </c>
      <c r="D42" s="73">
        <v>4.7699999999999996</v>
      </c>
      <c r="E42" s="73">
        <v>4.26</v>
      </c>
      <c r="F42" s="73">
        <v>-3.57</v>
      </c>
      <c r="G42" s="73">
        <v>0.01</v>
      </c>
      <c r="H42" s="73">
        <v>2.89</v>
      </c>
      <c r="I42" s="73">
        <v>3.75</v>
      </c>
      <c r="J42" s="73">
        <v>3.17</v>
      </c>
      <c r="K42" s="73">
        <v>2.85</v>
      </c>
      <c r="L42" s="73">
        <v>4.2</v>
      </c>
      <c r="M42" s="73">
        <v>3.18</v>
      </c>
      <c r="N42" s="73">
        <v>2.71</v>
      </c>
      <c r="O42" s="73">
        <v>3.67</v>
      </c>
      <c r="P42" s="73">
        <v>4.97</v>
      </c>
      <c r="Q42" s="73">
        <v>4.18</v>
      </c>
      <c r="R42" s="73">
        <v>2.91</v>
      </c>
      <c r="S42" s="73">
        <v>3.61</v>
      </c>
      <c r="T42" s="73">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8.41</v>
      </c>
      <c r="AT42" s="58">
        <v>8.4499999999999993</v>
      </c>
      <c r="AU42" s="58">
        <v>8.8000000000000007</v>
      </c>
      <c r="AV42" s="58">
        <v>10.27</v>
      </c>
      <c r="AW42" s="58">
        <v>10.43</v>
      </c>
      <c r="AX42" s="58">
        <v>9.35</v>
      </c>
      <c r="AY42" s="74"/>
      <c r="AZ42" s="73">
        <v>5.23</v>
      </c>
      <c r="BA42" s="74">
        <v>32.1</v>
      </c>
      <c r="BB42" s="73">
        <v>9.82</v>
      </c>
      <c r="BC42" s="74">
        <v>25.01</v>
      </c>
      <c r="BD42" s="73">
        <v>12.94</v>
      </c>
      <c r="BE42" s="74">
        <v>22.23</v>
      </c>
      <c r="BF42" s="73">
        <v>15.73</v>
      </c>
      <c r="BG42" s="74">
        <v>16.62</v>
      </c>
      <c r="BH42" s="73">
        <v>14.37</v>
      </c>
      <c r="BI42" s="74">
        <v>22.56</v>
      </c>
      <c r="BJ42" s="73">
        <v>12.04</v>
      </c>
      <c r="BK42" s="74">
        <v>36.22</v>
      </c>
      <c r="BL42" s="73">
        <v>18.79</v>
      </c>
      <c r="BM42" s="74">
        <v>23.06</v>
      </c>
      <c r="BN42" s="73">
        <v>10.32</v>
      </c>
      <c r="BO42" s="74">
        <v>30.8</v>
      </c>
      <c r="BP42" s="73">
        <v>19.09</v>
      </c>
      <c r="BQ42" s="74">
        <v>25.45</v>
      </c>
      <c r="BR42" s="73">
        <v>23.22</v>
      </c>
      <c r="BS42" s="74">
        <v>22.75</v>
      </c>
      <c r="BT42" s="73">
        <v>31.52</v>
      </c>
      <c r="BU42" s="74">
        <v>18.309999999999999</v>
      </c>
      <c r="BV42" s="73">
        <v>38.85</v>
      </c>
      <c r="BW42" s="74">
        <v>14.85</v>
      </c>
      <c r="BX42" s="74"/>
      <c r="BY42" s="71">
        <v>167.886177</v>
      </c>
      <c r="BZ42" s="71">
        <v>245.56984800000001</v>
      </c>
      <c r="CA42" s="71">
        <v>287.68724360763201</v>
      </c>
      <c r="CB42" s="87">
        <v>261.44</v>
      </c>
      <c r="CC42" s="104">
        <v>324.22000000000003</v>
      </c>
      <c r="CD42" s="87">
        <v>436.1</v>
      </c>
      <c r="CE42" s="87">
        <v>433.19</v>
      </c>
      <c r="CF42" s="87">
        <v>317.93</v>
      </c>
      <c r="CG42" s="87">
        <v>485.75</v>
      </c>
      <c r="CH42" s="87">
        <v>528.41</v>
      </c>
      <c r="CI42" s="70" t="s">
        <v>94</v>
      </c>
    </row>
    <row r="43" spans="1:87" x14ac:dyDescent="0.2">
      <c r="A43" s="70" t="s">
        <v>95</v>
      </c>
      <c r="B43" s="173">
        <v>3.44</v>
      </c>
      <c r="C43" s="73">
        <v>7.0000000000000007E-2</v>
      </c>
      <c r="D43" s="73">
        <v>0.49</v>
      </c>
      <c r="E43" s="73">
        <v>0.12</v>
      </c>
      <c r="F43" s="73">
        <v>-0.22</v>
      </c>
      <c r="G43" s="73">
        <v>7.0000000000000007E-2</v>
      </c>
      <c r="H43" s="73">
        <v>-0.01</v>
      </c>
      <c r="I43" s="73">
        <v>0.03</v>
      </c>
      <c r="J43" s="73">
        <v>0.02</v>
      </c>
      <c r="K43" s="73">
        <v>0.03</v>
      </c>
      <c r="L43" s="73">
        <v>0.04</v>
      </c>
      <c r="M43" s="73">
        <v>0.04</v>
      </c>
      <c r="N43" s="73">
        <v>0.02</v>
      </c>
      <c r="O43" s="73">
        <v>0.04</v>
      </c>
      <c r="P43" s="73">
        <v>0.04</v>
      </c>
      <c r="Q43" s="73">
        <v>0.04</v>
      </c>
      <c r="R43" s="73">
        <v>0.02</v>
      </c>
      <c r="S43" s="73">
        <v>0.04</v>
      </c>
      <c r="T43" s="73">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-0.01</v>
      </c>
      <c r="AU43" s="58">
        <v>-0.01</v>
      </c>
      <c r="AV43" s="58">
        <v>-0.01</v>
      </c>
      <c r="AW43" s="58">
        <v>-0.01</v>
      </c>
      <c r="AX43" s="58">
        <v>-0.01</v>
      </c>
      <c r="AY43" s="74"/>
      <c r="AZ43" s="73">
        <v>0.46</v>
      </c>
      <c r="BA43" s="74">
        <v>10.58</v>
      </c>
      <c r="BB43" s="73">
        <v>0.11</v>
      </c>
      <c r="BC43" s="74">
        <v>24.85</v>
      </c>
      <c r="BD43" s="73">
        <v>0.14000000000000001</v>
      </c>
      <c r="BE43" s="74">
        <v>20.63</v>
      </c>
      <c r="BF43" s="73">
        <v>0.15</v>
      </c>
      <c r="BG43" s="74">
        <v>15.73</v>
      </c>
      <c r="BH43" s="73">
        <v>0.09</v>
      </c>
      <c r="BI43" s="74">
        <v>26.48</v>
      </c>
      <c r="BJ43" s="73">
        <v>0.08</v>
      </c>
      <c r="BK43" s="74">
        <v>31.73</v>
      </c>
      <c r="BL43" s="73">
        <v>0.18</v>
      </c>
      <c r="BM43" s="74">
        <v>13.47</v>
      </c>
      <c r="BN43" s="73">
        <v>0.08</v>
      </c>
      <c r="BO43" s="74">
        <v>30.34</v>
      </c>
      <c r="BP43" s="73">
        <v>7.0000000000000007E-2</v>
      </c>
      <c r="BQ43" s="74">
        <v>43.44</v>
      </c>
      <c r="BR43" s="73">
        <v>0.01</v>
      </c>
      <c r="BS43" s="74">
        <v>322.20999999999998</v>
      </c>
      <c r="BT43" s="73">
        <v>-0.05</v>
      </c>
      <c r="BU43" s="74">
        <v>-72.180000000000007</v>
      </c>
      <c r="BV43" s="73">
        <v>-0.04</v>
      </c>
      <c r="BW43" s="74">
        <v>-90.08</v>
      </c>
      <c r="BX43" s="74"/>
      <c r="BY43" s="71">
        <v>4.8689799999999996</v>
      </c>
      <c r="BZ43" s="71">
        <v>2.733466</v>
      </c>
      <c r="CA43" s="71">
        <v>2.78718630060018</v>
      </c>
      <c r="CB43" s="87">
        <v>2.35</v>
      </c>
      <c r="CC43" s="104">
        <v>2.42</v>
      </c>
      <c r="CD43" s="87">
        <v>2.54</v>
      </c>
      <c r="CE43" s="87">
        <v>2.46</v>
      </c>
      <c r="CF43" s="87">
        <v>2.4700000000000002</v>
      </c>
      <c r="CG43" s="87">
        <v>2.9</v>
      </c>
      <c r="CH43" s="87">
        <v>2.84</v>
      </c>
      <c r="CI43" s="70" t="s">
        <v>95</v>
      </c>
    </row>
    <row r="44" spans="1:87" x14ac:dyDescent="0.2">
      <c r="A44" s="70" t="s">
        <v>96</v>
      </c>
      <c r="B44" s="173">
        <v>995.49</v>
      </c>
      <c r="C44" s="73">
        <v>10.210000000000001</v>
      </c>
      <c r="D44" s="73">
        <v>2.25</v>
      </c>
      <c r="E44" s="73">
        <v>3.73</v>
      </c>
      <c r="F44" s="73">
        <v>8.26</v>
      </c>
      <c r="G44" s="73">
        <v>9.93</v>
      </c>
      <c r="H44" s="73">
        <v>2.2599999999999998</v>
      </c>
      <c r="I44" s="73">
        <v>2.15</v>
      </c>
      <c r="J44" s="73">
        <v>8.92</v>
      </c>
      <c r="K44" s="73">
        <v>11.21</v>
      </c>
      <c r="L44" s="73">
        <v>3.26</v>
      </c>
      <c r="M44" s="73">
        <v>4.71</v>
      </c>
      <c r="N44" s="73">
        <v>8.4700000000000006</v>
      </c>
      <c r="O44" s="73">
        <v>12.27</v>
      </c>
      <c r="P44" s="73">
        <v>4.5199999999999996</v>
      </c>
      <c r="Q44" s="73">
        <v>3.57</v>
      </c>
      <c r="R44" s="73">
        <v>9.9</v>
      </c>
      <c r="S44" s="73">
        <v>11.7</v>
      </c>
      <c r="T44" s="73">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4.2</v>
      </c>
      <c r="AT44" s="58">
        <v>11.82</v>
      </c>
      <c r="AU44" s="58">
        <v>19.28</v>
      </c>
      <c r="AV44" s="58">
        <v>6.87</v>
      </c>
      <c r="AW44" s="58">
        <v>4.7699999999999996</v>
      </c>
      <c r="AX44" s="58">
        <v>11.6</v>
      </c>
      <c r="AY44" s="74"/>
      <c r="AZ44" s="73">
        <v>24.45</v>
      </c>
      <c r="BA44" s="74">
        <v>15.39</v>
      </c>
      <c r="BB44" s="73">
        <v>23.26</v>
      </c>
      <c r="BC44" s="74">
        <v>16.46</v>
      </c>
      <c r="BD44" s="73">
        <v>27.65</v>
      </c>
      <c r="BE44" s="74">
        <v>15.74</v>
      </c>
      <c r="BF44" s="73">
        <v>30.26</v>
      </c>
      <c r="BG44" s="74">
        <v>16.52</v>
      </c>
      <c r="BH44" s="73">
        <v>29.07</v>
      </c>
      <c r="BI44" s="74">
        <v>16.7</v>
      </c>
      <c r="BJ44" s="73">
        <v>30.48</v>
      </c>
      <c r="BK44" s="74">
        <v>18.600000000000001</v>
      </c>
      <c r="BL44" s="73">
        <v>36.76</v>
      </c>
      <c r="BM44" s="74">
        <v>18.16</v>
      </c>
      <c r="BN44" s="73">
        <v>35.14</v>
      </c>
      <c r="BO44" s="74">
        <v>19.73</v>
      </c>
      <c r="BP44" s="73">
        <v>35.67</v>
      </c>
      <c r="BQ44" s="74">
        <v>23.24</v>
      </c>
      <c r="BR44" s="73">
        <v>36.21</v>
      </c>
      <c r="BS44" s="74">
        <v>26.5</v>
      </c>
      <c r="BT44" s="73">
        <v>41.79</v>
      </c>
      <c r="BU44" s="74">
        <v>23.82</v>
      </c>
      <c r="BV44" s="73">
        <v>42.52</v>
      </c>
      <c r="BW44" s="74">
        <v>23.41</v>
      </c>
      <c r="BX44" s="74"/>
      <c r="BY44" s="71">
        <v>376.25567999999998</v>
      </c>
      <c r="BZ44" s="71">
        <v>382.95429799999999</v>
      </c>
      <c r="CA44" s="71">
        <v>435.23831515996199</v>
      </c>
      <c r="CB44" s="87">
        <v>500.03</v>
      </c>
      <c r="CC44" s="104">
        <v>485.39</v>
      </c>
      <c r="CD44" s="87">
        <v>566.92999999999995</v>
      </c>
      <c r="CE44" s="87">
        <v>667.54</v>
      </c>
      <c r="CF44" s="87">
        <v>693.15</v>
      </c>
      <c r="CG44" s="87">
        <v>828.85</v>
      </c>
      <c r="CH44" s="87">
        <v>959.55</v>
      </c>
      <c r="CI44" s="70" t="s">
        <v>96</v>
      </c>
    </row>
    <row r="45" spans="1:87" s="112" customFormat="1" x14ac:dyDescent="0.2">
      <c r="A45" s="79" t="s">
        <v>337</v>
      </c>
      <c r="B45" s="173">
        <v>196.85</v>
      </c>
      <c r="C45" s="110"/>
      <c r="D45" s="110"/>
      <c r="E45" s="110"/>
      <c r="F45" s="110"/>
      <c r="G45" s="110"/>
      <c r="H45" s="110"/>
      <c r="I45" s="110"/>
      <c r="J45" s="110"/>
      <c r="K45" s="110"/>
      <c r="L45" s="110"/>
      <c r="M45" s="110"/>
      <c r="N45" s="110"/>
      <c r="O45" s="110"/>
      <c r="P45" s="110"/>
      <c r="Q45" s="110"/>
      <c r="R45" s="110"/>
      <c r="S45" s="110"/>
      <c r="T45" s="11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c r="AT45" s="58"/>
      <c r="AU45" s="58"/>
      <c r="AV45" s="58"/>
      <c r="AW45" s="58"/>
      <c r="AX45" s="58"/>
      <c r="AY45" s="111"/>
      <c r="AZ45" s="110"/>
      <c r="BA45" s="111"/>
      <c r="BB45" s="110"/>
      <c r="BC45" s="111"/>
      <c r="BD45" s="110"/>
      <c r="BE45" s="111"/>
      <c r="BF45" s="110"/>
      <c r="BG45" s="111"/>
      <c r="BH45" s="110"/>
      <c r="BI45" s="111"/>
      <c r="BJ45" s="110">
        <v>4.32</v>
      </c>
      <c r="BK45" s="111">
        <v>36.299999999999997</v>
      </c>
      <c r="BL45" s="73">
        <v>6.43</v>
      </c>
      <c r="BM45" s="74">
        <v>28.64</v>
      </c>
      <c r="BN45" s="73">
        <v>5.51</v>
      </c>
      <c r="BO45" s="74">
        <v>30.52</v>
      </c>
      <c r="BP45" s="73">
        <v>6.92</v>
      </c>
      <c r="BQ45" s="111">
        <v>29.04</v>
      </c>
      <c r="BR45" s="110">
        <v>6.12</v>
      </c>
      <c r="BS45" s="111">
        <v>33.25</v>
      </c>
      <c r="BT45" s="110"/>
      <c r="BU45" s="111">
        <v>196.85</v>
      </c>
      <c r="BV45" s="110"/>
      <c r="BW45" s="111"/>
      <c r="BX45" s="74"/>
      <c r="BY45" s="111"/>
      <c r="BZ45" s="111"/>
      <c r="CA45" s="111"/>
      <c r="CB45" s="87"/>
      <c r="CC45" s="104"/>
      <c r="CD45" s="87"/>
      <c r="CE45" s="87"/>
      <c r="CF45" s="87"/>
      <c r="CG45" s="87">
        <v>201.01</v>
      </c>
      <c r="CH45" s="87">
        <v>203.41</v>
      </c>
      <c r="CI45" s="70"/>
    </row>
    <row r="46" spans="1:87" s="112" customFormat="1" x14ac:dyDescent="0.2">
      <c r="A46" s="79"/>
      <c r="B46" s="173"/>
      <c r="C46" s="110"/>
      <c r="D46" s="110"/>
      <c r="E46" s="110"/>
      <c r="F46" s="110"/>
      <c r="G46" s="110"/>
      <c r="H46" s="110"/>
      <c r="I46" s="110"/>
      <c r="J46" s="110"/>
      <c r="K46" s="110"/>
      <c r="L46" s="110"/>
      <c r="M46" s="110"/>
      <c r="N46" s="110"/>
      <c r="O46" s="110"/>
      <c r="P46" s="110"/>
      <c r="Q46" s="110"/>
      <c r="R46" s="110"/>
      <c r="S46" s="110"/>
      <c r="T46" s="11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111"/>
      <c r="AZ46" s="110"/>
      <c r="BA46" s="111"/>
      <c r="BB46" s="110"/>
      <c r="BC46" s="111"/>
      <c r="BD46" s="110"/>
      <c r="BE46" s="111"/>
      <c r="BF46" s="110"/>
      <c r="BG46" s="111"/>
      <c r="BH46" s="110"/>
      <c r="BI46" s="111"/>
      <c r="BJ46" s="110"/>
      <c r="BK46" s="111"/>
      <c r="BL46" s="73"/>
      <c r="BM46" s="74"/>
      <c r="BN46" s="73"/>
      <c r="BO46" s="74"/>
      <c r="BP46" s="73"/>
      <c r="BQ46" s="111"/>
      <c r="BR46" s="110"/>
      <c r="BS46" s="111"/>
      <c r="BT46" s="110"/>
      <c r="BU46" s="111"/>
      <c r="BV46" s="110"/>
      <c r="BW46" s="111"/>
      <c r="BX46" s="74"/>
      <c r="BY46" s="111"/>
      <c r="BZ46" s="111"/>
      <c r="CA46" s="111"/>
      <c r="CB46" s="87"/>
      <c r="CC46" s="104"/>
      <c r="CD46" s="87"/>
      <c r="CE46" s="87"/>
      <c r="CF46" s="87"/>
      <c r="CG46" s="87"/>
      <c r="CH46" s="87"/>
      <c r="CI46" s="70"/>
    </row>
    <row r="47" spans="1:87" s="112" customFormat="1" x14ac:dyDescent="0.2">
      <c r="A47" s="70" t="s">
        <v>168</v>
      </c>
      <c r="B47" s="173">
        <v>678.73</v>
      </c>
      <c r="C47" s="110">
        <v>3.74</v>
      </c>
      <c r="D47" s="110">
        <v>3.86</v>
      </c>
      <c r="E47" s="110">
        <v>3.6</v>
      </c>
      <c r="F47" s="110">
        <v>-0.08</v>
      </c>
      <c r="G47" s="110">
        <v>2.13</v>
      </c>
      <c r="H47" s="110">
        <v>3.05</v>
      </c>
      <c r="I47" s="110">
        <v>3.49</v>
      </c>
      <c r="J47" s="110">
        <v>3.8</v>
      </c>
      <c r="K47" s="110">
        <v>4.2699999999999996</v>
      </c>
      <c r="L47" s="110">
        <v>4.6500000000000004</v>
      </c>
      <c r="M47" s="110">
        <v>4.82</v>
      </c>
      <c r="N47" s="110">
        <v>4.8899999999999997</v>
      </c>
      <c r="O47" s="110">
        <v>4.99</v>
      </c>
      <c r="P47" s="110">
        <v>5.55</v>
      </c>
      <c r="Q47" s="110">
        <v>5.63</v>
      </c>
      <c r="R47" s="110">
        <v>5.32</v>
      </c>
      <c r="S47" s="110">
        <v>5.41</v>
      </c>
      <c r="T47" s="11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9.24</v>
      </c>
      <c r="AT47" s="58">
        <v>9.7799999999999994</v>
      </c>
      <c r="AU47" s="58">
        <v>9.4499999999999993</v>
      </c>
      <c r="AV47" s="58">
        <v>10.130000000000001</v>
      </c>
      <c r="AW47" s="58">
        <v>10.4</v>
      </c>
      <c r="AX47" s="58">
        <v>10.9</v>
      </c>
      <c r="AY47" s="111"/>
      <c r="AZ47" s="110">
        <v>11.12</v>
      </c>
      <c r="BA47" s="111">
        <v>18.43</v>
      </c>
      <c r="BB47" s="110">
        <v>12.47</v>
      </c>
      <c r="BC47" s="111">
        <v>20.43</v>
      </c>
      <c r="BD47" s="110">
        <v>18.64</v>
      </c>
      <c r="BE47" s="111">
        <v>15.61</v>
      </c>
      <c r="BF47" s="110">
        <v>21.5</v>
      </c>
      <c r="BG47" s="111">
        <v>13.5</v>
      </c>
      <c r="BH47" s="110">
        <v>21.73</v>
      </c>
      <c r="BI47" s="111">
        <v>15.18</v>
      </c>
      <c r="BJ47" s="110">
        <v>24.12</v>
      </c>
      <c r="BK47" s="111">
        <v>17.79</v>
      </c>
      <c r="BL47" s="73">
        <v>25.31</v>
      </c>
      <c r="BM47" s="74">
        <v>18.8</v>
      </c>
      <c r="BN47" s="73">
        <v>22.52</v>
      </c>
      <c r="BO47" s="74">
        <v>20.91</v>
      </c>
      <c r="BP47" s="73">
        <v>24.1</v>
      </c>
      <c r="BQ47" s="111">
        <v>21.62</v>
      </c>
      <c r="BR47" s="110">
        <v>28.34</v>
      </c>
      <c r="BS47" s="111">
        <v>21.84</v>
      </c>
      <c r="BT47" s="110">
        <v>36.15</v>
      </c>
      <c r="BU47" s="111">
        <v>18.78</v>
      </c>
      <c r="BV47" s="110">
        <v>40.880000000000003</v>
      </c>
      <c r="BW47" s="111">
        <v>16.600000000000001</v>
      </c>
      <c r="BX47" s="74"/>
      <c r="BY47" s="111">
        <v>204.93180699999999</v>
      </c>
      <c r="BZ47" s="111">
        <v>254.785774</v>
      </c>
      <c r="CA47" s="111">
        <v>254.785774</v>
      </c>
      <c r="CB47" s="87">
        <v>290.12</v>
      </c>
      <c r="CC47" s="104">
        <v>329.78</v>
      </c>
      <c r="CD47" s="87">
        <v>429.1</v>
      </c>
      <c r="CE47" s="87">
        <v>475.8</v>
      </c>
      <c r="CF47" s="87">
        <v>470.91</v>
      </c>
      <c r="CG47" s="87">
        <v>521.04</v>
      </c>
      <c r="CH47" s="87">
        <v>618.99</v>
      </c>
      <c r="CI47" s="70" t="s">
        <v>168</v>
      </c>
    </row>
    <row r="48" spans="1:87" s="112" customFormat="1" x14ac:dyDescent="0.2">
      <c r="A48" s="70" t="s">
        <v>169</v>
      </c>
      <c r="B48" s="173">
        <v>859.94</v>
      </c>
      <c r="C48" s="110">
        <v>2.35</v>
      </c>
      <c r="D48" s="110">
        <v>1.68</v>
      </c>
      <c r="E48" s="110">
        <v>1.1200000000000001</v>
      </c>
      <c r="F48" s="110">
        <v>-0.28000000000000003</v>
      </c>
      <c r="G48" s="110">
        <v>0.52</v>
      </c>
      <c r="H48" s="110">
        <v>2.4500000000000002</v>
      </c>
      <c r="I48" s="110">
        <v>3.19</v>
      </c>
      <c r="J48" s="110">
        <v>3.9</v>
      </c>
      <c r="K48" s="110">
        <v>3.72</v>
      </c>
      <c r="L48" s="110">
        <v>4.2300000000000004</v>
      </c>
      <c r="M48" s="110">
        <v>4.09</v>
      </c>
      <c r="N48" s="110">
        <v>4.6100000000000003</v>
      </c>
      <c r="O48" s="110">
        <v>4.21</v>
      </c>
      <c r="P48" s="110">
        <v>4.8899999999999997</v>
      </c>
      <c r="Q48" s="110">
        <v>4.74</v>
      </c>
      <c r="R48" s="110">
        <v>5.23</v>
      </c>
      <c r="S48" s="110">
        <v>4.5599999999999996</v>
      </c>
      <c r="T48" s="11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9.91</v>
      </c>
      <c r="AS48" s="58">
        <v>9.34</v>
      </c>
      <c r="AT48" s="58">
        <v>10.48</v>
      </c>
      <c r="AU48" s="58">
        <v>9.25</v>
      </c>
      <c r="AV48" s="58">
        <v>11.1</v>
      </c>
      <c r="AW48" s="58">
        <v>11.07</v>
      </c>
      <c r="AX48" s="58">
        <v>12.04</v>
      </c>
      <c r="AY48" s="111"/>
      <c r="AZ48" s="110">
        <v>4.87</v>
      </c>
      <c r="BA48" s="111">
        <v>32.299999999999997</v>
      </c>
      <c r="BB48" s="110">
        <v>10.06</v>
      </c>
      <c r="BC48" s="111">
        <v>22.06</v>
      </c>
      <c r="BD48" s="110">
        <v>16.649999999999999</v>
      </c>
      <c r="BE48" s="111">
        <v>16.899999999999999</v>
      </c>
      <c r="BF48" s="110">
        <v>19.079999999999998</v>
      </c>
      <c r="BG48" s="111">
        <v>15.3</v>
      </c>
      <c r="BH48" s="110">
        <v>20.71</v>
      </c>
      <c r="BI48" s="111">
        <v>17.18</v>
      </c>
      <c r="BJ48" s="110">
        <v>23.44</v>
      </c>
      <c r="BK48" s="111">
        <v>21.45</v>
      </c>
      <c r="BL48" s="73">
        <v>25.87</v>
      </c>
      <c r="BM48" s="74">
        <v>20.99</v>
      </c>
      <c r="BN48" s="73">
        <v>28.4</v>
      </c>
      <c r="BO48" s="74">
        <v>20.309999999999999</v>
      </c>
      <c r="BP48" s="73">
        <v>31.29</v>
      </c>
      <c r="BQ48" s="111">
        <v>19.36</v>
      </c>
      <c r="BR48" s="110">
        <v>33.18</v>
      </c>
      <c r="BS48" s="111">
        <v>22.05</v>
      </c>
      <c r="BT48" s="110">
        <v>38.35</v>
      </c>
      <c r="BU48" s="111">
        <v>22.42</v>
      </c>
      <c r="BV48" s="110">
        <v>43.44</v>
      </c>
      <c r="BW48" s="111">
        <v>19.8</v>
      </c>
      <c r="BX48" s="74"/>
      <c r="BY48" s="111">
        <v>157.30288400000001</v>
      </c>
      <c r="BZ48" s="111">
        <v>221.964673</v>
      </c>
      <c r="CA48" s="111">
        <v>221.964673</v>
      </c>
      <c r="CB48" s="87">
        <v>291.89999999999998</v>
      </c>
      <c r="CC48" s="104">
        <v>355.82</v>
      </c>
      <c r="CD48" s="87">
        <v>502.69</v>
      </c>
      <c r="CE48" s="87">
        <v>543.08000000000004</v>
      </c>
      <c r="CF48" s="87">
        <v>576.91999999999996</v>
      </c>
      <c r="CG48" s="87">
        <v>605.63</v>
      </c>
      <c r="CH48" s="87">
        <v>731.48</v>
      </c>
      <c r="CI48" s="70" t="s">
        <v>169</v>
      </c>
    </row>
    <row r="49" spans="1:87" s="112" customFormat="1" x14ac:dyDescent="0.2">
      <c r="A49" s="70" t="s">
        <v>170</v>
      </c>
      <c r="B49" s="173">
        <v>599.33000000000004</v>
      </c>
      <c r="C49" s="110">
        <v>4.13</v>
      </c>
      <c r="D49" s="110">
        <v>4.4000000000000004</v>
      </c>
      <c r="E49" s="110">
        <v>4.8</v>
      </c>
      <c r="F49" s="110">
        <v>4.3</v>
      </c>
      <c r="G49" s="110">
        <v>4</v>
      </c>
      <c r="H49" s="110">
        <v>4.75</v>
      </c>
      <c r="I49" s="110">
        <v>5.0199999999999996</v>
      </c>
      <c r="J49" s="110">
        <v>5.12</v>
      </c>
      <c r="K49" s="110">
        <v>4.5199999999999996</v>
      </c>
      <c r="L49" s="110">
        <v>4.99</v>
      </c>
      <c r="M49" s="110">
        <v>5.19</v>
      </c>
      <c r="N49" s="110">
        <v>5.46</v>
      </c>
      <c r="O49" s="110">
        <v>5.1100000000000003</v>
      </c>
      <c r="P49" s="110">
        <v>5.6</v>
      </c>
      <c r="Q49" s="110">
        <v>5.71</v>
      </c>
      <c r="R49" s="110">
        <v>5.77</v>
      </c>
      <c r="S49" s="110">
        <v>5.27</v>
      </c>
      <c r="T49" s="11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7.94</v>
      </c>
      <c r="AT49" s="58">
        <v>8.15</v>
      </c>
      <c r="AU49" s="58">
        <v>7.52</v>
      </c>
      <c r="AV49" s="58">
        <v>8.3699999999999992</v>
      </c>
      <c r="AW49" s="58">
        <v>8.6300000000000008</v>
      </c>
      <c r="AX49" s="58">
        <v>8.7899999999999991</v>
      </c>
      <c r="AY49" s="111"/>
      <c r="AZ49" s="110">
        <v>17.63</v>
      </c>
      <c r="BA49" s="111">
        <v>14.41</v>
      </c>
      <c r="BB49" s="110">
        <v>18.89</v>
      </c>
      <c r="BC49" s="111">
        <v>15.02</v>
      </c>
      <c r="BD49" s="110">
        <v>20.16</v>
      </c>
      <c r="BE49" s="111">
        <v>15.65</v>
      </c>
      <c r="BF49" s="110">
        <v>22.19</v>
      </c>
      <c r="BG49" s="111">
        <v>15.77</v>
      </c>
      <c r="BH49" s="110">
        <v>23.53</v>
      </c>
      <c r="BI49" s="111">
        <v>16.03</v>
      </c>
      <c r="BJ49" s="110">
        <v>24.94</v>
      </c>
      <c r="BK49" s="111">
        <v>18.649999999999999</v>
      </c>
      <c r="BL49" s="73">
        <v>25.33</v>
      </c>
      <c r="BM49" s="74">
        <v>20.84</v>
      </c>
      <c r="BN49" s="73">
        <v>25.69</v>
      </c>
      <c r="BO49" s="74">
        <v>21.25</v>
      </c>
      <c r="BP49" s="73">
        <v>26.67</v>
      </c>
      <c r="BQ49" s="111">
        <v>21.1</v>
      </c>
      <c r="BR49" s="110">
        <v>28.68</v>
      </c>
      <c r="BS49" s="111">
        <v>21.62</v>
      </c>
      <c r="BT49" s="110">
        <v>31.31</v>
      </c>
      <c r="BU49" s="111">
        <v>19.14</v>
      </c>
      <c r="BV49" s="110">
        <v>33.31</v>
      </c>
      <c r="BW49" s="111">
        <v>17.989999999999998</v>
      </c>
      <c r="BX49" s="74"/>
      <c r="BY49" s="111">
        <v>253.99034599999999</v>
      </c>
      <c r="BZ49" s="111">
        <v>283.697003</v>
      </c>
      <c r="CA49" s="111">
        <v>283.697003</v>
      </c>
      <c r="CB49" s="87">
        <v>349.81</v>
      </c>
      <c r="CC49" s="104">
        <v>377.01</v>
      </c>
      <c r="CD49" s="87">
        <v>465.29</v>
      </c>
      <c r="CE49" s="87">
        <v>527.99</v>
      </c>
      <c r="CF49" s="87">
        <v>545.97</v>
      </c>
      <c r="CG49" s="87">
        <v>562.89</v>
      </c>
      <c r="CH49" s="87">
        <v>620.03</v>
      </c>
      <c r="CI49" s="70" t="s">
        <v>170</v>
      </c>
    </row>
    <row r="50" spans="1:87" s="112" customFormat="1" x14ac:dyDescent="0.2">
      <c r="A50" s="70" t="s">
        <v>171</v>
      </c>
      <c r="B50" s="173">
        <v>570.46</v>
      </c>
      <c r="C50" s="110">
        <v>12.59</v>
      </c>
      <c r="D50" s="110">
        <v>14.04</v>
      </c>
      <c r="E50" s="110">
        <v>21.87</v>
      </c>
      <c r="F50" s="110">
        <v>2.2999999999999998</v>
      </c>
      <c r="G50" s="110">
        <v>-0.5</v>
      </c>
      <c r="H50" s="110">
        <v>4.74</v>
      </c>
      <c r="I50" s="110">
        <v>6.16</v>
      </c>
      <c r="J50" s="110">
        <v>6.37</v>
      </c>
      <c r="K50" s="110">
        <v>8.82</v>
      </c>
      <c r="L50" s="110">
        <v>9.6</v>
      </c>
      <c r="M50" s="110">
        <v>8.76</v>
      </c>
      <c r="N50" s="110">
        <v>9.3000000000000007</v>
      </c>
      <c r="O50" s="110">
        <v>11.12</v>
      </c>
      <c r="P50" s="110">
        <v>13.53</v>
      </c>
      <c r="Q50" s="110">
        <v>14.81</v>
      </c>
      <c r="R50" s="110">
        <v>10.39</v>
      </c>
      <c r="S50" s="110">
        <v>11.94</v>
      </c>
      <c r="T50" s="11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7.69</v>
      </c>
      <c r="AT50" s="58">
        <v>7.85</v>
      </c>
      <c r="AU50" s="58">
        <v>8.17</v>
      </c>
      <c r="AV50" s="58">
        <v>9.01</v>
      </c>
      <c r="AW50" s="58">
        <v>9.6300000000000008</v>
      </c>
      <c r="AX50" s="58">
        <v>9.3699999999999992</v>
      </c>
      <c r="AY50" s="111"/>
      <c r="AZ50" s="110">
        <v>50.8</v>
      </c>
      <c r="BA50" s="111">
        <v>7.86</v>
      </c>
      <c r="BB50" s="110">
        <v>16.77</v>
      </c>
      <c r="BC50" s="111">
        <v>27.12</v>
      </c>
      <c r="BD50" s="110">
        <v>36.479999999999997</v>
      </c>
      <c r="BE50" s="111">
        <v>14.82</v>
      </c>
      <c r="BF50" s="110">
        <v>49.85</v>
      </c>
      <c r="BG50" s="111">
        <v>11.07</v>
      </c>
      <c r="BH50" s="110">
        <v>45.25</v>
      </c>
      <c r="BI50" s="111">
        <v>12.46</v>
      </c>
      <c r="BJ50" s="110">
        <v>43.5</v>
      </c>
      <c r="BK50" s="111">
        <v>15.9</v>
      </c>
      <c r="BL50" s="73">
        <v>43.08</v>
      </c>
      <c r="BM50" s="74">
        <v>14.25</v>
      </c>
      <c r="BN50" s="73">
        <v>-20.440000000000001</v>
      </c>
      <c r="BO50" s="74">
        <v>-22.7</v>
      </c>
      <c r="BP50" s="73">
        <v>-7.23</v>
      </c>
      <c r="BQ50" s="111">
        <v>-79.349999999999994</v>
      </c>
      <c r="BR50" s="110">
        <v>12.33</v>
      </c>
      <c r="BS50" s="111">
        <v>44.35</v>
      </c>
      <c r="BT50" s="110">
        <v>27.51</v>
      </c>
      <c r="BU50" s="111">
        <v>20.74</v>
      </c>
      <c r="BV50" s="110">
        <v>36.19</v>
      </c>
      <c r="BW50" s="111">
        <v>15.76</v>
      </c>
      <c r="BX50" s="74"/>
      <c r="BY50" s="111">
        <v>399.124324</v>
      </c>
      <c r="BZ50" s="111">
        <v>454.72875099999999</v>
      </c>
      <c r="CA50" s="111">
        <v>454.72875099999999</v>
      </c>
      <c r="CB50" s="87">
        <v>551.87</v>
      </c>
      <c r="CC50" s="104">
        <v>563.64</v>
      </c>
      <c r="CD50" s="87">
        <v>691.56</v>
      </c>
      <c r="CE50" s="87">
        <v>613.71</v>
      </c>
      <c r="CF50" s="87">
        <v>463.95</v>
      </c>
      <c r="CG50" s="87">
        <v>573.98</v>
      </c>
      <c r="CH50" s="87">
        <v>546.99</v>
      </c>
      <c r="CI50" s="70" t="s">
        <v>171</v>
      </c>
    </row>
    <row r="51" spans="1:87" s="112" customFormat="1" x14ac:dyDescent="0.2">
      <c r="A51" s="70" t="s">
        <v>172</v>
      </c>
      <c r="B51" s="173">
        <v>527.74</v>
      </c>
      <c r="C51" s="110">
        <v>-0.39</v>
      </c>
      <c r="D51" s="110">
        <v>-0.78</v>
      </c>
      <c r="E51" s="110">
        <v>-5.08</v>
      </c>
      <c r="F51" s="110">
        <v>-13.36</v>
      </c>
      <c r="G51" s="110">
        <v>0.5</v>
      </c>
      <c r="H51" s="110">
        <v>1.1100000000000001</v>
      </c>
      <c r="I51" s="110">
        <v>1.27</v>
      </c>
      <c r="J51" s="110">
        <v>1.63</v>
      </c>
      <c r="K51" s="110">
        <v>3.64</v>
      </c>
      <c r="L51" s="110">
        <v>3.86</v>
      </c>
      <c r="M51" s="110">
        <v>4.01</v>
      </c>
      <c r="N51" s="110">
        <v>3.57</v>
      </c>
      <c r="O51" s="110">
        <v>3.78</v>
      </c>
      <c r="P51" s="110">
        <v>4.12</v>
      </c>
      <c r="Q51" s="110">
        <v>4.54</v>
      </c>
      <c r="R51" s="110">
        <v>4.25</v>
      </c>
      <c r="S51" s="110">
        <v>4.17</v>
      </c>
      <c r="T51" s="11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9.48</v>
      </c>
      <c r="AT51" s="58">
        <v>9.82</v>
      </c>
      <c r="AU51" s="58">
        <v>10.24</v>
      </c>
      <c r="AV51" s="58">
        <v>10.44</v>
      </c>
      <c r="AW51" s="58">
        <v>10.59</v>
      </c>
      <c r="AX51" s="58">
        <v>10.92</v>
      </c>
      <c r="AY51" s="111"/>
      <c r="AZ51" s="110">
        <v>-19.61</v>
      </c>
      <c r="BA51" s="111">
        <v>-9.59</v>
      </c>
      <c r="BB51" s="110">
        <v>4.51</v>
      </c>
      <c r="BC51" s="111">
        <v>47</v>
      </c>
      <c r="BD51" s="110">
        <v>15.09</v>
      </c>
      <c r="BE51" s="111">
        <v>15.69</v>
      </c>
      <c r="BF51" s="110">
        <v>16.690000000000001</v>
      </c>
      <c r="BG51" s="111">
        <v>11.83</v>
      </c>
      <c r="BH51" s="110">
        <v>17.41</v>
      </c>
      <c r="BI51" s="111">
        <v>14.09</v>
      </c>
      <c r="BJ51" s="110">
        <v>21.98</v>
      </c>
      <c r="BK51" s="111">
        <v>14.69</v>
      </c>
      <c r="BL51" s="73">
        <v>23.17</v>
      </c>
      <c r="BM51" s="74">
        <v>15.69</v>
      </c>
      <c r="BN51" s="73">
        <v>24.13</v>
      </c>
      <c r="BO51" s="74">
        <v>14.65</v>
      </c>
      <c r="BP51" s="73">
        <v>25.63</v>
      </c>
      <c r="BQ51" s="111">
        <v>16.760000000000002</v>
      </c>
      <c r="BR51" s="110">
        <v>28.89</v>
      </c>
      <c r="BS51" s="111">
        <v>17.649999999999999</v>
      </c>
      <c r="BT51" s="110">
        <v>37.85</v>
      </c>
      <c r="BU51" s="111">
        <v>13.94</v>
      </c>
      <c r="BV51" s="110">
        <v>42.19</v>
      </c>
      <c r="BW51" s="111">
        <v>12.51</v>
      </c>
      <c r="BX51" s="74"/>
      <c r="BY51" s="111">
        <v>187.99776499999999</v>
      </c>
      <c r="BZ51" s="111">
        <v>211.96466100000001</v>
      </c>
      <c r="CA51" s="111">
        <v>211.96466100000001</v>
      </c>
      <c r="CB51" s="87">
        <v>197.47</v>
      </c>
      <c r="CC51" s="104">
        <v>245.32</v>
      </c>
      <c r="CD51" s="87">
        <v>322.92</v>
      </c>
      <c r="CE51" s="87">
        <v>363.69</v>
      </c>
      <c r="CF51" s="87">
        <v>353.45</v>
      </c>
      <c r="CG51" s="87">
        <v>429.46</v>
      </c>
      <c r="CH51" s="87">
        <v>509.92</v>
      </c>
      <c r="CI51" s="70" t="s">
        <v>172</v>
      </c>
    </row>
    <row r="52" spans="1:87" s="112" customFormat="1" x14ac:dyDescent="0.2">
      <c r="A52" s="70" t="s">
        <v>173</v>
      </c>
      <c r="B52" s="173">
        <v>1157.6199999999999</v>
      </c>
      <c r="C52" s="110">
        <v>5.88</v>
      </c>
      <c r="D52" s="110">
        <v>6.23</v>
      </c>
      <c r="E52" s="110">
        <v>6.03</v>
      </c>
      <c r="F52" s="110">
        <v>5.51</v>
      </c>
      <c r="G52" s="110">
        <v>6.1</v>
      </c>
      <c r="H52" s="110">
        <v>6.34</v>
      </c>
      <c r="I52" s="110">
        <v>6.67</v>
      </c>
      <c r="J52" s="110">
        <v>6.12</v>
      </c>
      <c r="K52" s="110">
        <v>6.75</v>
      </c>
      <c r="L52" s="110">
        <v>6.99</v>
      </c>
      <c r="M52" s="110">
        <v>7.17</v>
      </c>
      <c r="N52" s="110">
        <v>7</v>
      </c>
      <c r="O52" s="110">
        <v>7.43</v>
      </c>
      <c r="P52" s="110">
        <v>8.07</v>
      </c>
      <c r="Q52" s="110">
        <v>7.71</v>
      </c>
      <c r="R52" s="110">
        <v>7.46</v>
      </c>
      <c r="S52" s="110">
        <v>8.1999999999999993</v>
      </c>
      <c r="T52" s="11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12.98</v>
      </c>
      <c r="AS52" s="58">
        <v>15.93</v>
      </c>
      <c r="AT52" s="58">
        <v>15.99</v>
      </c>
      <c r="AU52" s="58">
        <v>17.010000000000002</v>
      </c>
      <c r="AV52" s="58">
        <v>17.54</v>
      </c>
      <c r="AW52" s="58">
        <v>17.63</v>
      </c>
      <c r="AX52" s="58">
        <v>17.79</v>
      </c>
      <c r="AY52" s="111"/>
      <c r="AZ52" s="110">
        <v>23.65</v>
      </c>
      <c r="BA52" s="111">
        <v>12.96</v>
      </c>
      <c r="BB52" s="110">
        <v>25.23</v>
      </c>
      <c r="BC52" s="111">
        <v>14.37</v>
      </c>
      <c r="BD52" s="110">
        <v>27.92</v>
      </c>
      <c r="BE52" s="111">
        <v>13.4</v>
      </c>
      <c r="BF52" s="110">
        <v>30.68</v>
      </c>
      <c r="BG52" s="111">
        <v>13.37</v>
      </c>
      <c r="BH52" s="110">
        <v>31.31</v>
      </c>
      <c r="BI52" s="111">
        <v>15.18</v>
      </c>
      <c r="BJ52" s="110">
        <v>32.369999999999997</v>
      </c>
      <c r="BK52" s="111">
        <v>20.51</v>
      </c>
      <c r="BL52" s="73">
        <v>36.07</v>
      </c>
      <c r="BM52" s="74">
        <v>22.62</v>
      </c>
      <c r="BN52" s="73">
        <v>39.32</v>
      </c>
      <c r="BO52" s="74">
        <v>21.96</v>
      </c>
      <c r="BP52" s="73">
        <v>42.66</v>
      </c>
      <c r="BQ52" s="111">
        <v>19.5</v>
      </c>
      <c r="BR52" s="110">
        <v>45.13</v>
      </c>
      <c r="BS52" s="111">
        <v>22.22</v>
      </c>
      <c r="BT52" s="110">
        <v>57.27</v>
      </c>
      <c r="BU52" s="111">
        <v>20.21</v>
      </c>
      <c r="BV52" s="110">
        <v>69.97</v>
      </c>
      <c r="BW52" s="111">
        <v>16.55</v>
      </c>
      <c r="BX52" s="74"/>
      <c r="BY52" s="111">
        <v>306.441464</v>
      </c>
      <c r="BZ52" s="111">
        <v>362.62085500000001</v>
      </c>
      <c r="CA52" s="111">
        <v>362.62085500000001</v>
      </c>
      <c r="CB52" s="87">
        <v>410.14</v>
      </c>
      <c r="CC52" s="104">
        <v>475.27</v>
      </c>
      <c r="CD52" s="87">
        <v>663.81</v>
      </c>
      <c r="CE52" s="87">
        <v>815.87</v>
      </c>
      <c r="CF52" s="87">
        <v>863.43</v>
      </c>
      <c r="CG52" s="87">
        <v>832.05</v>
      </c>
      <c r="CH52" s="87">
        <v>1002.7</v>
      </c>
      <c r="CI52" s="70" t="s">
        <v>173</v>
      </c>
    </row>
    <row r="53" spans="1:87" s="112" customFormat="1" x14ac:dyDescent="0.2">
      <c r="A53" s="70" t="s">
        <v>174</v>
      </c>
      <c r="B53" s="173">
        <v>720.9</v>
      </c>
      <c r="C53" s="110">
        <v>5.1100000000000003</v>
      </c>
      <c r="D53" s="110">
        <v>6.04</v>
      </c>
      <c r="E53" s="110">
        <v>5.59</v>
      </c>
      <c r="F53" s="110">
        <v>4.5199999999999996</v>
      </c>
      <c r="G53" s="110">
        <v>3</v>
      </c>
      <c r="H53" s="110">
        <v>3.78</v>
      </c>
      <c r="I53" s="110">
        <v>3.38</v>
      </c>
      <c r="J53" s="110">
        <v>4.1399999999999997</v>
      </c>
      <c r="K53" s="110">
        <v>3.69</v>
      </c>
      <c r="L53" s="110">
        <v>4.75</v>
      </c>
      <c r="M53" s="110">
        <v>4.99</v>
      </c>
      <c r="N53" s="110">
        <v>5.26</v>
      </c>
      <c r="O53" s="110">
        <v>4.66</v>
      </c>
      <c r="P53" s="110">
        <v>5.69</v>
      </c>
      <c r="Q53" s="110">
        <v>5.66</v>
      </c>
      <c r="R53" s="110">
        <v>5.6</v>
      </c>
      <c r="S53" s="110">
        <v>5.62</v>
      </c>
      <c r="T53" s="11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10.26</v>
      </c>
      <c r="AS53" s="58">
        <v>10.1</v>
      </c>
      <c r="AT53" s="58">
        <v>10.17</v>
      </c>
      <c r="AU53" s="58">
        <v>9.35</v>
      </c>
      <c r="AV53" s="58">
        <v>11.59</v>
      </c>
      <c r="AW53" s="58">
        <v>11.47</v>
      </c>
      <c r="AX53" s="58">
        <v>11.45</v>
      </c>
      <c r="AY53" s="111"/>
      <c r="AZ53" s="110">
        <v>21.26</v>
      </c>
      <c r="BA53" s="111">
        <v>10.050000000000001</v>
      </c>
      <c r="BB53" s="110">
        <v>14.3</v>
      </c>
      <c r="BC53" s="111">
        <v>17.690000000000001</v>
      </c>
      <c r="BD53" s="110">
        <v>18.690000000000001</v>
      </c>
      <c r="BE53" s="111">
        <v>16.87</v>
      </c>
      <c r="BF53" s="110">
        <v>21.62</v>
      </c>
      <c r="BG53" s="111">
        <v>14.15</v>
      </c>
      <c r="BH53" s="110">
        <v>23.24</v>
      </c>
      <c r="BI53" s="111">
        <v>14.99</v>
      </c>
      <c r="BJ53" s="110">
        <v>26.05</v>
      </c>
      <c r="BK53" s="111">
        <v>18.510000000000002</v>
      </c>
      <c r="BL53" s="73">
        <v>27.89</v>
      </c>
      <c r="BM53" s="74">
        <v>18.39</v>
      </c>
      <c r="BN53" s="73">
        <v>29.32</v>
      </c>
      <c r="BO53" s="74">
        <v>16.670000000000002</v>
      </c>
      <c r="BP53" s="73">
        <v>28.51</v>
      </c>
      <c r="BQ53" s="111">
        <v>20.2</v>
      </c>
      <c r="BR53" s="110">
        <v>32.049999999999997</v>
      </c>
      <c r="BS53" s="111">
        <v>21.33</v>
      </c>
      <c r="BT53" s="110">
        <v>39.76</v>
      </c>
      <c r="BU53" s="111">
        <v>18.13</v>
      </c>
      <c r="BV53" s="110">
        <v>43.86</v>
      </c>
      <c r="BW53" s="111">
        <v>16.440000000000001</v>
      </c>
      <c r="BX53" s="74"/>
      <c r="BY53" s="111">
        <v>213.73174499999999</v>
      </c>
      <c r="BZ53" s="111">
        <v>252.96700100000001</v>
      </c>
      <c r="CA53" s="111">
        <v>252.96700100000001</v>
      </c>
      <c r="CB53" s="87">
        <v>306.02999999999997</v>
      </c>
      <c r="CC53" s="104">
        <v>348.35</v>
      </c>
      <c r="CD53" s="87">
        <v>482.23</v>
      </c>
      <c r="CE53" s="87">
        <v>513.05999999999995</v>
      </c>
      <c r="CF53" s="87">
        <v>488.83</v>
      </c>
      <c r="CG53" s="87">
        <v>575.83000000000004</v>
      </c>
      <c r="CH53" s="87">
        <v>683.83</v>
      </c>
      <c r="CI53" s="70" t="s">
        <v>174</v>
      </c>
    </row>
    <row r="54" spans="1:87" s="112" customFormat="1" x14ac:dyDescent="0.2">
      <c r="A54" s="70" t="s">
        <v>175</v>
      </c>
      <c r="B54" s="173">
        <v>1346.03</v>
      </c>
      <c r="C54" s="110">
        <v>4.49</v>
      </c>
      <c r="D54" s="110">
        <v>4.6399999999999997</v>
      </c>
      <c r="E54" s="110">
        <v>4.41</v>
      </c>
      <c r="F54" s="110">
        <v>2.41</v>
      </c>
      <c r="G54" s="110">
        <v>2.68</v>
      </c>
      <c r="H54" s="110">
        <v>3.55</v>
      </c>
      <c r="I54" s="110">
        <v>4.47</v>
      </c>
      <c r="J54" s="110">
        <v>6.39</v>
      </c>
      <c r="K54" s="110">
        <v>5.54</v>
      </c>
      <c r="L54" s="110">
        <v>6.18</v>
      </c>
      <c r="M54" s="110">
        <v>6.8</v>
      </c>
      <c r="N54" s="110">
        <v>8.02</v>
      </c>
      <c r="O54" s="110">
        <v>7.22</v>
      </c>
      <c r="P54" s="110">
        <v>7.73</v>
      </c>
      <c r="Q54" s="110">
        <v>7.31</v>
      </c>
      <c r="R54" s="110">
        <v>9.07</v>
      </c>
      <c r="S54" s="110">
        <v>8.06</v>
      </c>
      <c r="T54" s="11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16.010000000000002</v>
      </c>
      <c r="AT54" s="58">
        <v>19.559999999999999</v>
      </c>
      <c r="AU54" s="58">
        <v>16.690000000000001</v>
      </c>
      <c r="AV54" s="58">
        <v>17.11</v>
      </c>
      <c r="AW54" s="58">
        <v>18.079999999999998</v>
      </c>
      <c r="AX54" s="58">
        <v>21.48</v>
      </c>
      <c r="AY54" s="111"/>
      <c r="AZ54" s="110">
        <v>15.95</v>
      </c>
      <c r="BA54" s="111">
        <v>14.95</v>
      </c>
      <c r="BB54" s="110">
        <v>17.09</v>
      </c>
      <c r="BC54" s="111">
        <v>22.24</v>
      </c>
      <c r="BD54" s="110">
        <v>26.54</v>
      </c>
      <c r="BE54" s="111">
        <v>15.92</v>
      </c>
      <c r="BF54" s="110">
        <v>31.32</v>
      </c>
      <c r="BG54" s="111">
        <v>13.51</v>
      </c>
      <c r="BH54" s="110">
        <v>32.18</v>
      </c>
      <c r="BI54" s="111">
        <v>14.88</v>
      </c>
      <c r="BJ54" s="110">
        <v>33.21</v>
      </c>
      <c r="BK54" s="111">
        <v>18.309999999999999</v>
      </c>
      <c r="BL54" s="73">
        <v>36.43</v>
      </c>
      <c r="BM54" s="74">
        <v>19.559999999999999</v>
      </c>
      <c r="BN54" s="73">
        <v>37.64</v>
      </c>
      <c r="BO54" s="74">
        <v>19.7</v>
      </c>
      <c r="BP54" s="73">
        <v>38.159999999999997</v>
      </c>
      <c r="BQ54" s="111">
        <v>21.95</v>
      </c>
      <c r="BR54" s="110">
        <v>50.85</v>
      </c>
      <c r="BS54" s="111">
        <v>22.32</v>
      </c>
      <c r="BT54" s="110">
        <v>65.459999999999994</v>
      </c>
      <c r="BU54" s="111">
        <v>20.56</v>
      </c>
      <c r="BV54" s="110">
        <v>73.37</v>
      </c>
      <c r="BW54" s="111">
        <v>18.350000000000001</v>
      </c>
      <c r="BX54" s="74"/>
      <c r="BY54" s="111">
        <v>238.53137599999999</v>
      </c>
      <c r="BZ54" s="111">
        <v>380.15106400000002</v>
      </c>
      <c r="CA54" s="111">
        <v>380.15106400000002</v>
      </c>
      <c r="CB54" s="87">
        <v>423.04</v>
      </c>
      <c r="CC54" s="104">
        <v>478.87</v>
      </c>
      <c r="CD54" s="87">
        <v>608</v>
      </c>
      <c r="CE54" s="87">
        <v>712.45</v>
      </c>
      <c r="CF54" s="87">
        <v>741.27</v>
      </c>
      <c r="CG54" s="87">
        <v>837.68</v>
      </c>
      <c r="CH54" s="87">
        <v>1134.95</v>
      </c>
      <c r="CI54" s="70" t="s">
        <v>175</v>
      </c>
    </row>
    <row r="55" spans="1:87" s="112" customFormat="1" x14ac:dyDescent="0.2">
      <c r="A55" s="70" t="s">
        <v>176</v>
      </c>
      <c r="B55" s="173">
        <v>413.47</v>
      </c>
      <c r="C55" s="110">
        <v>4.3099999999999996</v>
      </c>
      <c r="D55" s="110">
        <v>4.99</v>
      </c>
      <c r="E55" s="110">
        <v>3.69</v>
      </c>
      <c r="F55" s="110">
        <v>-3.66</v>
      </c>
      <c r="G55" s="110">
        <v>1.06</v>
      </c>
      <c r="H55" s="110">
        <v>1.9</v>
      </c>
      <c r="I55" s="110">
        <v>2.4700000000000002</v>
      </c>
      <c r="J55" s="110">
        <v>2.2400000000000002</v>
      </c>
      <c r="K55" s="110">
        <v>3.12</v>
      </c>
      <c r="L55" s="110">
        <v>3.72</v>
      </c>
      <c r="M55" s="110">
        <v>3.42</v>
      </c>
      <c r="N55" s="110">
        <v>3.4</v>
      </c>
      <c r="O55" s="110">
        <v>4.9000000000000004</v>
      </c>
      <c r="P55" s="110">
        <v>5.39</v>
      </c>
      <c r="Q55" s="110">
        <v>3.92</v>
      </c>
      <c r="R55" s="110">
        <v>2.15</v>
      </c>
      <c r="S55" s="110">
        <v>4.3099999999999996</v>
      </c>
      <c r="T55" s="11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6.51</v>
      </c>
      <c r="AT55" s="58">
        <v>6.41</v>
      </c>
      <c r="AU55" s="58">
        <v>6.65</v>
      </c>
      <c r="AV55" s="58">
        <v>7.78</v>
      </c>
      <c r="AW55" s="58">
        <v>6.96</v>
      </c>
      <c r="AX55" s="58">
        <v>6.99</v>
      </c>
      <c r="AY55" s="111"/>
      <c r="AZ55" s="110">
        <v>9.33</v>
      </c>
      <c r="BA55" s="111">
        <v>14.93</v>
      </c>
      <c r="BB55" s="110">
        <v>7.67</v>
      </c>
      <c r="BC55" s="111">
        <v>26.59</v>
      </c>
      <c r="BD55" s="110">
        <v>13.65</v>
      </c>
      <c r="BE55" s="111">
        <v>18.02</v>
      </c>
      <c r="BF55" s="110">
        <v>16.36</v>
      </c>
      <c r="BG55" s="111">
        <v>13.52</v>
      </c>
      <c r="BH55" s="110">
        <v>15.09</v>
      </c>
      <c r="BI55" s="111">
        <v>16.71</v>
      </c>
      <c r="BJ55" s="110">
        <v>14.92</v>
      </c>
      <c r="BK55" s="111">
        <v>20.84</v>
      </c>
      <c r="BL55" s="73">
        <v>13.96</v>
      </c>
      <c r="BM55" s="74">
        <v>23.23</v>
      </c>
      <c r="BN55" s="73">
        <v>9.73</v>
      </c>
      <c r="BO55" s="74">
        <v>29.37</v>
      </c>
      <c r="BP55" s="73">
        <v>14.13</v>
      </c>
      <c r="BQ55" s="111">
        <v>24.09</v>
      </c>
      <c r="BR55" s="110">
        <v>19.05</v>
      </c>
      <c r="BS55" s="111">
        <v>21.5</v>
      </c>
      <c r="BT55" s="110">
        <v>26.2</v>
      </c>
      <c r="BU55" s="111">
        <v>15.78</v>
      </c>
      <c r="BV55" s="110">
        <v>28.38</v>
      </c>
      <c r="BW55" s="111">
        <v>14.57</v>
      </c>
      <c r="BX55" s="74"/>
      <c r="BY55" s="111">
        <v>139.32307499999999</v>
      </c>
      <c r="BZ55" s="111">
        <v>203.96750700000001</v>
      </c>
      <c r="CA55" s="111">
        <v>203.96750700000001</v>
      </c>
      <c r="CB55" s="87">
        <v>221.24</v>
      </c>
      <c r="CC55" s="104">
        <v>252.11</v>
      </c>
      <c r="CD55" s="87">
        <v>310.94</v>
      </c>
      <c r="CE55" s="87">
        <v>324.39</v>
      </c>
      <c r="CF55" s="87">
        <v>285.8</v>
      </c>
      <c r="CG55" s="87">
        <v>340.34</v>
      </c>
      <c r="CH55" s="87">
        <v>409.64</v>
      </c>
      <c r="CI55" s="70" t="s">
        <v>176</v>
      </c>
    </row>
    <row r="56" spans="1:87" s="112" customFormat="1" x14ac:dyDescent="0.2">
      <c r="A56" s="70" t="s">
        <v>177</v>
      </c>
      <c r="B56" s="173">
        <v>157.24</v>
      </c>
      <c r="C56" s="110">
        <v>2.12</v>
      </c>
      <c r="D56" s="110">
        <v>2.2799999999999998</v>
      </c>
      <c r="E56" s="110">
        <v>1.99</v>
      </c>
      <c r="F56" s="110">
        <v>1.87</v>
      </c>
      <c r="G56" s="110">
        <v>1.95</v>
      </c>
      <c r="H56" s="110">
        <v>1.87</v>
      </c>
      <c r="I56" s="110">
        <v>1.76</v>
      </c>
      <c r="J56" s="110">
        <v>1.59</v>
      </c>
      <c r="K56" s="110">
        <v>1.89</v>
      </c>
      <c r="L56" s="110">
        <v>2.04</v>
      </c>
      <c r="M56" s="110">
        <v>1.82</v>
      </c>
      <c r="N56" s="110">
        <v>1.6</v>
      </c>
      <c r="O56" s="110">
        <v>1.89</v>
      </c>
      <c r="P56" s="110">
        <v>1.78</v>
      </c>
      <c r="Q56" s="110">
        <v>1.94</v>
      </c>
      <c r="R56" s="110">
        <v>1.19</v>
      </c>
      <c r="S56" s="110">
        <v>1.88</v>
      </c>
      <c r="T56" s="11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3.79</v>
      </c>
      <c r="AT56" s="58">
        <v>3.42</v>
      </c>
      <c r="AU56" s="58">
        <v>3.7</v>
      </c>
      <c r="AV56" s="58">
        <v>3.73</v>
      </c>
      <c r="AW56" s="58">
        <v>3.92</v>
      </c>
      <c r="AX56" s="58">
        <v>3.58</v>
      </c>
      <c r="AY56" s="111"/>
      <c r="AZ56" s="110">
        <v>8.26</v>
      </c>
      <c r="BA56" s="111">
        <v>13.49</v>
      </c>
      <c r="BB56" s="110">
        <v>7.17</v>
      </c>
      <c r="BC56" s="111">
        <v>15.93</v>
      </c>
      <c r="BD56" s="110">
        <v>7.35</v>
      </c>
      <c r="BE56" s="111">
        <v>17.440000000000001</v>
      </c>
      <c r="BF56" s="110">
        <v>6.8</v>
      </c>
      <c r="BG56" s="111">
        <v>18.97</v>
      </c>
      <c r="BH56" s="110">
        <v>3.38</v>
      </c>
      <c r="BI56" s="111">
        <v>42.89</v>
      </c>
      <c r="BJ56" s="110">
        <v>11.96</v>
      </c>
      <c r="BK56" s="111">
        <v>12.94</v>
      </c>
      <c r="BL56" s="73">
        <v>7.06</v>
      </c>
      <c r="BM56" s="74">
        <v>21.58</v>
      </c>
      <c r="BN56" s="73">
        <v>12.04</v>
      </c>
      <c r="BO56" s="74">
        <v>12.43</v>
      </c>
      <c r="BP56" s="73">
        <v>9.7100000000000009</v>
      </c>
      <c r="BQ56" s="111">
        <v>18.14</v>
      </c>
      <c r="BR56" s="110">
        <v>9.82</v>
      </c>
      <c r="BS56" s="111">
        <v>16.809999999999999</v>
      </c>
      <c r="BT56" s="110">
        <v>14.48</v>
      </c>
      <c r="BU56" s="111">
        <v>10.86</v>
      </c>
      <c r="BV56" s="110">
        <v>14.94</v>
      </c>
      <c r="BW56" s="111">
        <v>10.53</v>
      </c>
      <c r="BX56" s="74"/>
      <c r="BY56" s="111">
        <v>111.414979</v>
      </c>
      <c r="BZ56" s="111">
        <v>114.226088</v>
      </c>
      <c r="CA56" s="111">
        <v>114.226088</v>
      </c>
      <c r="CB56" s="87">
        <v>128.91</v>
      </c>
      <c r="CC56" s="104">
        <v>144.97999999999999</v>
      </c>
      <c r="CD56" s="87">
        <v>154.66999999999999</v>
      </c>
      <c r="CE56" s="87">
        <v>152.32</v>
      </c>
      <c r="CF56" s="87">
        <v>149.56</v>
      </c>
      <c r="CG56" s="87">
        <v>176.17</v>
      </c>
      <c r="CH56" s="87">
        <v>165.04</v>
      </c>
      <c r="CI56" s="70" t="s">
        <v>177</v>
      </c>
    </row>
    <row r="57" spans="1:87" s="112" customFormat="1" x14ac:dyDescent="0.2">
      <c r="A57" s="70" t="s">
        <v>178</v>
      </c>
      <c r="B57" s="173">
        <v>311.99</v>
      </c>
      <c r="C57" s="110">
        <v>3.58</v>
      </c>
      <c r="D57" s="110">
        <v>2.65</v>
      </c>
      <c r="E57" s="110">
        <v>4.13</v>
      </c>
      <c r="F57" s="110">
        <v>2.65</v>
      </c>
      <c r="G57" s="110">
        <v>3.25</v>
      </c>
      <c r="H57" s="110">
        <v>2.61</v>
      </c>
      <c r="I57" s="110">
        <v>4</v>
      </c>
      <c r="J57" s="110">
        <v>2.56</v>
      </c>
      <c r="K57" s="110">
        <v>3.85</v>
      </c>
      <c r="L57" s="110">
        <v>2.74</v>
      </c>
      <c r="M57" s="110">
        <v>4.45</v>
      </c>
      <c r="N57" s="110">
        <v>2.46</v>
      </c>
      <c r="O57" s="110">
        <v>3.58</v>
      </c>
      <c r="P57" s="110">
        <v>3.01</v>
      </c>
      <c r="Q57" s="110">
        <v>4.4000000000000004</v>
      </c>
      <c r="R57" s="110">
        <v>2.63</v>
      </c>
      <c r="S57" s="110">
        <v>3.36</v>
      </c>
      <c r="T57" s="11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5.28</v>
      </c>
      <c r="AT57" s="58">
        <v>3.64</v>
      </c>
      <c r="AU57" s="58">
        <v>5.03</v>
      </c>
      <c r="AV57" s="58">
        <v>3.95</v>
      </c>
      <c r="AW57" s="58">
        <v>5.46</v>
      </c>
      <c r="AX57" s="58">
        <v>4.1500000000000004</v>
      </c>
      <c r="AY57" s="111"/>
      <c r="AZ57" s="110">
        <v>13.01</v>
      </c>
      <c r="BA57" s="111">
        <v>12.46</v>
      </c>
      <c r="BB57" s="110">
        <v>12.42</v>
      </c>
      <c r="BC57" s="111">
        <v>14.05</v>
      </c>
      <c r="BD57" s="110">
        <v>13.49</v>
      </c>
      <c r="BE57" s="111">
        <v>13.26</v>
      </c>
      <c r="BF57" s="110">
        <v>13.62</v>
      </c>
      <c r="BG57" s="111">
        <v>15.05</v>
      </c>
      <c r="BH57" s="110">
        <v>13.35</v>
      </c>
      <c r="BI57" s="111">
        <v>14.99</v>
      </c>
      <c r="BJ57" s="110">
        <v>13.68</v>
      </c>
      <c r="BK57" s="111">
        <v>16.18</v>
      </c>
      <c r="BL57" s="73">
        <v>14.9</v>
      </c>
      <c r="BM57" s="74">
        <v>18.260000000000002</v>
      </c>
      <c r="BN57" s="73">
        <v>12.86</v>
      </c>
      <c r="BO57" s="74">
        <v>19.47</v>
      </c>
      <c r="BP57" s="73">
        <v>15.47</v>
      </c>
      <c r="BQ57" s="111">
        <v>18.399999999999999</v>
      </c>
      <c r="BR57" s="110">
        <v>16.47</v>
      </c>
      <c r="BS57" s="111">
        <v>18.75</v>
      </c>
      <c r="BT57" s="110">
        <v>17.920000000000002</v>
      </c>
      <c r="BU57" s="111">
        <v>17.41</v>
      </c>
      <c r="BV57" s="110">
        <v>18.59</v>
      </c>
      <c r="BW57" s="111">
        <v>16.78</v>
      </c>
      <c r="BX57" s="74"/>
      <c r="BY57" s="111">
        <v>162.06434999999999</v>
      </c>
      <c r="BZ57" s="111">
        <v>174.496937</v>
      </c>
      <c r="CA57" s="111">
        <v>174.496937</v>
      </c>
      <c r="CB57" s="87">
        <v>204.99</v>
      </c>
      <c r="CC57" s="104">
        <v>200.04</v>
      </c>
      <c r="CD57" s="87">
        <v>221.38</v>
      </c>
      <c r="CE57" s="87">
        <v>272.12</v>
      </c>
      <c r="CF57" s="87">
        <v>250.42</v>
      </c>
      <c r="CG57" s="87">
        <v>284.70999999999998</v>
      </c>
      <c r="CH57" s="87">
        <v>308.86</v>
      </c>
      <c r="CI57" s="70" t="s">
        <v>178</v>
      </c>
    </row>
    <row r="58" spans="1:87" s="112" customFormat="1" x14ac:dyDescent="0.2">
      <c r="A58" s="70" t="s">
        <v>338</v>
      </c>
      <c r="B58" s="173">
        <v>202</v>
      </c>
      <c r="C58" s="110"/>
      <c r="D58" s="110"/>
      <c r="E58" s="110"/>
      <c r="F58" s="110"/>
      <c r="G58" s="110"/>
      <c r="H58" s="110"/>
      <c r="I58" s="110"/>
      <c r="J58" s="110"/>
      <c r="K58" s="110"/>
      <c r="L58" s="110"/>
      <c r="M58" s="110"/>
      <c r="N58" s="110"/>
      <c r="O58" s="110"/>
      <c r="P58" s="110"/>
      <c r="Q58" s="110"/>
      <c r="R58" s="110"/>
      <c r="S58" s="110"/>
      <c r="T58" s="11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1.31</v>
      </c>
      <c r="AT58" s="58">
        <v>1.43</v>
      </c>
      <c r="AU58" s="58">
        <v>1.25</v>
      </c>
      <c r="AV58" s="58">
        <v>1.43</v>
      </c>
      <c r="AW58" s="58">
        <v>1.43</v>
      </c>
      <c r="AX58" s="58">
        <v>1.55</v>
      </c>
      <c r="AY58" s="111"/>
      <c r="AZ58" s="110"/>
      <c r="BA58" s="111"/>
      <c r="BB58" s="110"/>
      <c r="BC58" s="111"/>
      <c r="BD58" s="110"/>
      <c r="BE58" s="111"/>
      <c r="BF58" s="110"/>
      <c r="BG58" s="111"/>
      <c r="BH58" s="110"/>
      <c r="BI58" s="111"/>
      <c r="BJ58" s="110">
        <v>3.41</v>
      </c>
      <c r="BK58" s="111">
        <v>43.01</v>
      </c>
      <c r="BL58" s="73">
        <v>5.29</v>
      </c>
      <c r="BM58" s="74">
        <v>34.69</v>
      </c>
      <c r="BN58" s="73">
        <v>5.43</v>
      </c>
      <c r="BO58" s="74">
        <v>33.83</v>
      </c>
      <c r="BP58" s="73">
        <v>7.17</v>
      </c>
      <c r="BQ58" s="111">
        <v>26.47</v>
      </c>
      <c r="BR58" s="110">
        <v>5.69</v>
      </c>
      <c r="BS58" s="111">
        <v>35.119999999999997</v>
      </c>
      <c r="BT58" s="110">
        <v>5.85</v>
      </c>
      <c r="BU58" s="111">
        <v>34.53</v>
      </c>
      <c r="BV58" s="110">
        <v>5.65</v>
      </c>
      <c r="BW58" s="111">
        <v>35.72</v>
      </c>
      <c r="BX58" s="74"/>
      <c r="BY58" s="111"/>
      <c r="BZ58" s="111"/>
      <c r="CA58" s="111"/>
      <c r="CB58" s="87"/>
      <c r="CC58" s="104"/>
      <c r="CD58" s="87"/>
      <c r="CE58" s="87"/>
      <c r="CF58" s="87"/>
      <c r="CG58" s="87">
        <v>189.91</v>
      </c>
      <c r="CH58" s="87">
        <v>199.89</v>
      </c>
      <c r="CI58" s="70"/>
    </row>
    <row r="59" spans="1:87" x14ac:dyDescent="0.2">
      <c r="B59" s="173"/>
      <c r="C59" s="73"/>
      <c r="D59" s="73"/>
      <c r="E59" s="73"/>
      <c r="F59" s="73"/>
      <c r="G59" s="73"/>
      <c r="H59" s="73"/>
      <c r="I59" s="73"/>
      <c r="J59" s="73"/>
      <c r="K59" s="73"/>
      <c r="L59" s="73"/>
      <c r="M59" s="73"/>
      <c r="N59" s="73"/>
      <c r="O59" s="73"/>
      <c r="P59" s="73"/>
      <c r="Q59" s="73"/>
      <c r="R59" s="73"/>
      <c r="S59" s="73"/>
      <c r="T59" s="73"/>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74"/>
      <c r="BA59" s="74"/>
      <c r="BC59" s="74"/>
      <c r="BE59" s="74"/>
      <c r="BG59" s="74"/>
      <c r="BI59" s="74"/>
      <c r="BK59" s="74"/>
      <c r="BM59" s="74"/>
      <c r="BO59" s="74"/>
      <c r="BQ59" s="74"/>
      <c r="BR59" s="73"/>
      <c r="BS59" s="74"/>
      <c r="BT59" s="73"/>
      <c r="BU59" s="74"/>
      <c r="BV59" s="73"/>
      <c r="BW59" s="74"/>
      <c r="BX59" s="74"/>
      <c r="CD59" s="87"/>
      <c r="CE59" s="87"/>
      <c r="CF59" s="87"/>
      <c r="CG59" s="87"/>
      <c r="CH59" s="87"/>
    </row>
    <row r="60" spans="1:87" x14ac:dyDescent="0.2">
      <c r="B60" s="173"/>
      <c r="BR60" s="73"/>
      <c r="BT60" s="73"/>
      <c r="BV60" s="73"/>
      <c r="BX60" s="74"/>
      <c r="CD60" s="87"/>
      <c r="CE60" s="87"/>
      <c r="CF60" s="87"/>
      <c r="CG60" s="87"/>
      <c r="CH60" s="87"/>
    </row>
    <row r="61" spans="1:87" x14ac:dyDescent="0.2">
      <c r="A61" s="70" t="s">
        <v>97</v>
      </c>
      <c r="B61" s="173"/>
      <c r="BR61" s="73"/>
      <c r="BT61" s="73"/>
      <c r="BV61" s="73"/>
      <c r="BX61" s="74"/>
      <c r="CD61" s="87"/>
      <c r="CE61" s="87"/>
      <c r="CF61" s="87"/>
      <c r="CG61" s="87"/>
      <c r="CH61" s="87"/>
      <c r="CI61" s="70" t="s">
        <v>97</v>
      </c>
    </row>
    <row r="62" spans="1:87" s="70" customFormat="1" x14ac:dyDescent="0.2">
      <c r="A62" s="70" t="s">
        <v>34</v>
      </c>
      <c r="B62" s="192" t="s">
        <v>147</v>
      </c>
      <c r="C62" s="76" t="s">
        <v>35</v>
      </c>
      <c r="D62" s="76" t="s">
        <v>36</v>
      </c>
      <c r="E62" s="76" t="s">
        <v>37</v>
      </c>
      <c r="F62" s="76" t="s">
        <v>38</v>
      </c>
      <c r="G62" s="76" t="s">
        <v>39</v>
      </c>
      <c r="H62" s="76" t="s">
        <v>40</v>
      </c>
      <c r="I62" s="76" t="s">
        <v>41</v>
      </c>
      <c r="J62" s="76" t="s">
        <v>42</v>
      </c>
      <c r="K62" s="76" t="s">
        <v>43</v>
      </c>
      <c r="L62" s="76" t="s">
        <v>44</v>
      </c>
      <c r="M62" s="76" t="s">
        <v>45</v>
      </c>
      <c r="N62" s="76" t="s">
        <v>46</v>
      </c>
      <c r="O62" s="76" t="s">
        <v>47</v>
      </c>
      <c r="P62" s="76" t="s">
        <v>48</v>
      </c>
      <c r="Q62" s="76" t="s">
        <v>49</v>
      </c>
      <c r="R62" s="76" t="s">
        <v>50</v>
      </c>
      <c r="S62" s="76" t="s">
        <v>51</v>
      </c>
      <c r="T62" s="109" t="s">
        <v>52</v>
      </c>
      <c r="U62" s="76" t="s">
        <v>53</v>
      </c>
      <c r="V62" s="76" t="s">
        <v>54</v>
      </c>
      <c r="W62" s="79" t="s">
        <v>150</v>
      </c>
      <c r="X62" s="79" t="s">
        <v>151</v>
      </c>
      <c r="Y62" s="79" t="s">
        <v>152</v>
      </c>
      <c r="Z62" s="79" t="s">
        <v>153</v>
      </c>
      <c r="AA62" s="79" t="s">
        <v>181</v>
      </c>
      <c r="AB62" s="79" t="s">
        <v>182</v>
      </c>
      <c r="AC62" s="79" t="s">
        <v>183</v>
      </c>
      <c r="AD62" s="79" t="s">
        <v>184</v>
      </c>
      <c r="AE62" s="79" t="s">
        <v>200</v>
      </c>
      <c r="AF62" s="79" t="s">
        <v>201</v>
      </c>
      <c r="AG62" s="79" t="s">
        <v>202</v>
      </c>
      <c r="AH62" s="79" t="s">
        <v>203</v>
      </c>
      <c r="AI62" s="79" t="s">
        <v>233</v>
      </c>
      <c r="AJ62" s="79" t="s">
        <v>234</v>
      </c>
      <c r="AK62" s="79" t="s">
        <v>235</v>
      </c>
      <c r="AL62" s="79" t="s">
        <v>236</v>
      </c>
      <c r="AM62" s="79" t="s">
        <v>287</v>
      </c>
      <c r="AN62" s="79" t="s">
        <v>288</v>
      </c>
      <c r="AO62" s="79" t="s">
        <v>289</v>
      </c>
      <c r="AP62" s="79" t="s">
        <v>290</v>
      </c>
      <c r="AQ62" s="79" t="s">
        <v>356</v>
      </c>
      <c r="AR62" s="79" t="s">
        <v>357</v>
      </c>
      <c r="AS62" s="79" t="s">
        <v>358</v>
      </c>
      <c r="AT62" s="79" t="s">
        <v>359</v>
      </c>
      <c r="AU62" s="79" t="s">
        <v>412</v>
      </c>
      <c r="AV62" s="79" t="s">
        <v>413</v>
      </c>
      <c r="AW62" s="79" t="s">
        <v>414</v>
      </c>
      <c r="AX62" s="79" t="s">
        <v>415</v>
      </c>
      <c r="AY62" s="76"/>
      <c r="AZ62" s="77" t="s">
        <v>55</v>
      </c>
      <c r="BA62" s="76" t="s">
        <v>56</v>
      </c>
      <c r="BB62" s="77" t="s">
        <v>57</v>
      </c>
      <c r="BC62" s="76" t="s">
        <v>58</v>
      </c>
      <c r="BD62" s="77" t="s">
        <v>59</v>
      </c>
      <c r="BE62" s="76" t="s">
        <v>60</v>
      </c>
      <c r="BF62" s="77" t="s">
        <v>61</v>
      </c>
      <c r="BG62" s="76" t="s">
        <v>62</v>
      </c>
      <c r="BH62" s="77" t="s">
        <v>63</v>
      </c>
      <c r="BI62" s="76" t="s">
        <v>64</v>
      </c>
      <c r="BJ62" s="77" t="s">
        <v>154</v>
      </c>
      <c r="BK62" s="76" t="s">
        <v>155</v>
      </c>
      <c r="BL62" s="77" t="s">
        <v>185</v>
      </c>
      <c r="BM62" s="76" t="s">
        <v>186</v>
      </c>
      <c r="BN62" s="77" t="s">
        <v>221</v>
      </c>
      <c r="BO62" s="76" t="s">
        <v>222</v>
      </c>
      <c r="BP62" s="77" t="s">
        <v>237</v>
      </c>
      <c r="BQ62" s="76" t="s">
        <v>238</v>
      </c>
      <c r="BR62" s="77" t="s">
        <v>291</v>
      </c>
      <c r="BS62" s="76" t="s">
        <v>292</v>
      </c>
      <c r="BT62" s="77" t="s">
        <v>360</v>
      </c>
      <c r="BU62" s="76" t="s">
        <v>361</v>
      </c>
      <c r="BV62" s="77" t="s">
        <v>418</v>
      </c>
      <c r="BW62" s="76" t="s">
        <v>417</v>
      </c>
      <c r="BX62" s="74"/>
      <c r="BY62" s="78" t="s">
        <v>115</v>
      </c>
      <c r="BZ62" s="78" t="s">
        <v>114</v>
      </c>
      <c r="CA62" s="78" t="s">
        <v>113</v>
      </c>
      <c r="CB62" s="78" t="s">
        <v>148</v>
      </c>
      <c r="CC62" s="78" t="s">
        <v>179</v>
      </c>
      <c r="CD62" s="78" t="s">
        <v>198</v>
      </c>
      <c r="CE62" s="78" t="s">
        <v>212</v>
      </c>
      <c r="CF62" s="78" t="s">
        <v>286</v>
      </c>
      <c r="CG62" s="78" t="s">
        <v>362</v>
      </c>
      <c r="CH62" s="78" t="s">
        <v>419</v>
      </c>
      <c r="CI62" s="70" t="s">
        <v>34</v>
      </c>
    </row>
    <row r="63" spans="1:87" x14ac:dyDescent="0.2">
      <c r="A63" s="70" t="s">
        <v>25</v>
      </c>
      <c r="B63" s="173">
        <v>2930.75</v>
      </c>
      <c r="C63" s="73">
        <v>15.54</v>
      </c>
      <c r="D63" s="73">
        <v>12.86</v>
      </c>
      <c r="E63" s="73">
        <v>9.73</v>
      </c>
      <c r="F63" s="73">
        <v>-23.25</v>
      </c>
      <c r="G63" s="73">
        <v>7.52</v>
      </c>
      <c r="H63" s="73">
        <v>13.51</v>
      </c>
      <c r="I63" s="73">
        <v>14.76</v>
      </c>
      <c r="J63" s="73">
        <v>15.18</v>
      </c>
      <c r="K63" s="73">
        <v>17.48</v>
      </c>
      <c r="L63" s="73">
        <v>19.68</v>
      </c>
      <c r="M63" s="73">
        <v>19.52</v>
      </c>
      <c r="N63" s="73">
        <v>20.67</v>
      </c>
      <c r="O63" s="73">
        <v>21.44</v>
      </c>
      <c r="P63" s="73">
        <v>22.24</v>
      </c>
      <c r="Q63" s="73">
        <v>22.63</v>
      </c>
      <c r="R63" s="73">
        <v>20.64</v>
      </c>
      <c r="S63" s="58">
        <v>23.03</v>
      </c>
      <c r="T63" s="73">
        <v>21.62</v>
      </c>
      <c r="U63" s="73">
        <v>21.21</v>
      </c>
      <c r="V63" s="73">
        <v>20.65</v>
      </c>
      <c r="W63" s="73">
        <v>24.22</v>
      </c>
      <c r="X63" s="73">
        <v>24.87</v>
      </c>
      <c r="Y63" s="73">
        <v>24.63</v>
      </c>
      <c r="Z63" s="73">
        <v>26.48</v>
      </c>
      <c r="AA63" s="73">
        <v>24.87</v>
      </c>
      <c r="AB63" s="73">
        <v>27.14</v>
      </c>
      <c r="AC63" s="73">
        <v>27.47</v>
      </c>
      <c r="AD63" s="73">
        <v>22.83</v>
      </c>
      <c r="AE63" s="73">
        <v>21.81</v>
      </c>
      <c r="AF63" s="73">
        <v>22.8</v>
      </c>
      <c r="AG63" s="73">
        <v>23.22</v>
      </c>
      <c r="AH63" s="73">
        <v>18.7</v>
      </c>
      <c r="AI63" s="73">
        <v>21.72</v>
      </c>
      <c r="AJ63" s="73">
        <v>23.28</v>
      </c>
      <c r="AK63" s="73">
        <v>25.39</v>
      </c>
      <c r="AL63" s="73">
        <v>24.16</v>
      </c>
      <c r="AM63" s="73">
        <v>27.46</v>
      </c>
      <c r="AN63" s="73">
        <v>27.01</v>
      </c>
      <c r="AO63" s="73">
        <v>28.45</v>
      </c>
      <c r="AP63" s="73">
        <v>26.96</v>
      </c>
      <c r="AQ63" s="73">
        <v>33.020000000000003</v>
      </c>
      <c r="AR63" s="73">
        <v>34.049999999999997</v>
      </c>
      <c r="AS63" s="73"/>
      <c r="AT63" s="73"/>
      <c r="AU63" s="73"/>
      <c r="AV63" s="73"/>
      <c r="AW63" s="73"/>
      <c r="AX63" s="73"/>
      <c r="AY63" s="74"/>
      <c r="AZ63" s="73">
        <v>14.88</v>
      </c>
      <c r="BA63" s="74">
        <v>60.7</v>
      </c>
      <c r="BB63" s="73">
        <v>50.97</v>
      </c>
      <c r="BC63" s="74">
        <v>21.88</v>
      </c>
      <c r="BD63" s="73">
        <v>77.349999999999994</v>
      </c>
      <c r="BE63" s="74">
        <v>16.260000000000002</v>
      </c>
      <c r="BF63" s="73">
        <v>86.95</v>
      </c>
      <c r="BG63" s="74">
        <v>14.46</v>
      </c>
      <c r="BH63" s="73">
        <v>86.51</v>
      </c>
      <c r="BI63" s="74">
        <v>16.489999999999998</v>
      </c>
      <c r="BJ63" s="73">
        <v>100.2</v>
      </c>
      <c r="BK63" s="74">
        <v>18.45</v>
      </c>
      <c r="BL63" s="73">
        <v>102.31</v>
      </c>
      <c r="BM63" s="74">
        <v>20.12</v>
      </c>
      <c r="BN63" s="73">
        <v>86.52</v>
      </c>
      <c r="BO63" s="74">
        <v>23.62</v>
      </c>
      <c r="BP63" s="73">
        <v>94.55</v>
      </c>
      <c r="BQ63" s="74">
        <v>23.68</v>
      </c>
      <c r="BR63" s="73">
        <v>109.88</v>
      </c>
      <c r="BS63" s="74">
        <v>24.33</v>
      </c>
      <c r="BT63" s="73"/>
      <c r="BU63" s="74"/>
      <c r="BV63" s="73"/>
      <c r="BW63" s="74"/>
      <c r="BX63" s="74"/>
      <c r="BY63" s="74">
        <v>903.25492143355405</v>
      </c>
      <c r="BZ63" s="74">
        <v>1115.10268063072</v>
      </c>
      <c r="CA63" s="74">
        <v>1257.6400000000001</v>
      </c>
      <c r="CB63" s="87">
        <v>1257.5999999999999</v>
      </c>
      <c r="CC63" s="104">
        <v>1426.19</v>
      </c>
      <c r="CD63" s="87">
        <v>1848.36</v>
      </c>
      <c r="CE63" s="87">
        <v>2058.9</v>
      </c>
      <c r="CF63" s="87">
        <v>2043.94</v>
      </c>
      <c r="CG63" s="87">
        <v>2238.83</v>
      </c>
      <c r="CH63" s="87">
        <v>2673.61</v>
      </c>
      <c r="CI63" s="70" t="s">
        <v>25</v>
      </c>
    </row>
    <row r="64" spans="1:87" x14ac:dyDescent="0.2">
      <c r="A64" s="70" t="s">
        <v>65</v>
      </c>
      <c r="B64" s="173">
        <v>935.01</v>
      </c>
      <c r="C64" s="73">
        <v>2.0299999999999998</v>
      </c>
      <c r="D64" s="73">
        <v>-3.28</v>
      </c>
      <c r="E64" s="73">
        <v>-1.18</v>
      </c>
      <c r="F64" s="73">
        <v>-11.28</v>
      </c>
      <c r="G64" s="73">
        <v>0.45</v>
      </c>
      <c r="H64" s="73">
        <v>3.14</v>
      </c>
      <c r="I64" s="73">
        <v>3.11</v>
      </c>
      <c r="J64" s="73">
        <v>3.79</v>
      </c>
      <c r="K64" s="73">
        <v>3.81</v>
      </c>
      <c r="L64" s="73">
        <v>4.3600000000000003</v>
      </c>
      <c r="M64" s="73">
        <v>3.95</v>
      </c>
      <c r="N64" s="73">
        <v>4.54</v>
      </c>
      <c r="O64" s="73">
        <v>4.4000000000000004</v>
      </c>
      <c r="P64" s="73">
        <v>5.0199999999999996</v>
      </c>
      <c r="Q64" s="73">
        <v>4.76</v>
      </c>
      <c r="R64" s="73">
        <v>8.18</v>
      </c>
      <c r="S64" s="58">
        <v>4.7300000000000004</v>
      </c>
      <c r="T64" s="73">
        <v>4.79</v>
      </c>
      <c r="U64" s="73">
        <v>5.49</v>
      </c>
      <c r="V64" s="73">
        <v>6.21</v>
      </c>
      <c r="W64" s="73">
        <v>5.63</v>
      </c>
      <c r="X64" s="73">
        <v>5.96</v>
      </c>
      <c r="Y64" s="73">
        <v>5.92</v>
      </c>
      <c r="Z64" s="73">
        <v>6.79</v>
      </c>
      <c r="AA64" s="73">
        <v>5.8</v>
      </c>
      <c r="AB64" s="73">
        <v>6.37</v>
      </c>
      <c r="AC64" s="73">
        <v>6.56</v>
      </c>
      <c r="AD64" s="73">
        <v>8.36</v>
      </c>
      <c r="AE64" s="73">
        <v>5.89</v>
      </c>
      <c r="AF64" s="73">
        <v>6.89</v>
      </c>
      <c r="AG64" s="73">
        <v>7.28</v>
      </c>
      <c r="AH64" s="73">
        <v>8.68</v>
      </c>
      <c r="AI64" s="73">
        <v>7.01</v>
      </c>
      <c r="AJ64" s="73">
        <v>7.74</v>
      </c>
      <c r="AK64" s="73">
        <v>7.14</v>
      </c>
      <c r="AL64" s="73">
        <v>7.16</v>
      </c>
      <c r="AM64" s="73">
        <v>7.78</v>
      </c>
      <c r="AN64" s="73">
        <v>8.1300000000000008</v>
      </c>
      <c r="AO64" s="73">
        <v>7.95</v>
      </c>
      <c r="AP64" s="73">
        <v>13.75</v>
      </c>
      <c r="AQ64" s="73">
        <v>7.81</v>
      </c>
      <c r="AR64" s="73">
        <v>9.7100000000000009</v>
      </c>
      <c r="AS64" s="73"/>
      <c r="AT64" s="73"/>
      <c r="AU64" s="73"/>
      <c r="AV64" s="73"/>
      <c r="AW64" s="73"/>
      <c r="AX64" s="73"/>
      <c r="AY64" s="74"/>
      <c r="AZ64" s="73">
        <v>-13.71</v>
      </c>
      <c r="BA64" s="74">
        <v>-12.36</v>
      </c>
      <c r="BB64" s="73">
        <v>10.49</v>
      </c>
      <c r="BC64" s="74">
        <v>22.41</v>
      </c>
      <c r="BD64" s="73">
        <v>16.670000000000002</v>
      </c>
      <c r="BE64" s="74">
        <v>17.73</v>
      </c>
      <c r="BF64" s="73">
        <v>22.36</v>
      </c>
      <c r="BG64" s="74">
        <v>13.8</v>
      </c>
      <c r="BH64" s="73">
        <v>21.22</v>
      </c>
      <c r="BI64" s="74">
        <v>17.72</v>
      </c>
      <c r="BJ64" s="73">
        <v>24.29</v>
      </c>
      <c r="BK64" s="74">
        <v>21.82</v>
      </c>
      <c r="BL64" s="73">
        <v>27.08</v>
      </c>
      <c r="BM64" s="74">
        <v>21.15</v>
      </c>
      <c r="BN64" s="73">
        <v>28.75</v>
      </c>
      <c r="BO64" s="74">
        <v>21.6</v>
      </c>
      <c r="BP64" s="73">
        <v>29.07</v>
      </c>
      <c r="BQ64" s="74">
        <v>22.29</v>
      </c>
      <c r="BR64" s="73">
        <v>37.61</v>
      </c>
      <c r="BS64" s="74">
        <v>20.88</v>
      </c>
      <c r="BT64" s="73"/>
      <c r="BU64" s="74"/>
      <c r="BV64" s="73"/>
      <c r="BW64" s="74"/>
      <c r="BX64" s="74"/>
      <c r="BY64" s="74">
        <v>169.408411257941</v>
      </c>
      <c r="BZ64" s="74">
        <v>235.072766173958</v>
      </c>
      <c r="CA64" s="74">
        <v>295.54000000000002</v>
      </c>
      <c r="CB64" s="87">
        <v>308.58</v>
      </c>
      <c r="CC64" s="104">
        <v>376.06</v>
      </c>
      <c r="CD64" s="87">
        <v>530.1</v>
      </c>
      <c r="CE64" s="87">
        <v>572.75</v>
      </c>
      <c r="CF64" s="87">
        <v>621.02</v>
      </c>
      <c r="CG64" s="87">
        <v>647.82000000000005</v>
      </c>
      <c r="CH64" s="87">
        <v>785.33</v>
      </c>
      <c r="CI64" s="70" t="s">
        <v>65</v>
      </c>
    </row>
    <row r="65" spans="1:87" x14ac:dyDescent="0.2">
      <c r="A65" s="70" t="s">
        <v>66</v>
      </c>
      <c r="B65" s="173">
        <v>565.6</v>
      </c>
      <c r="C65" s="73">
        <v>3.71</v>
      </c>
      <c r="D65" s="73">
        <v>3.53</v>
      </c>
      <c r="E65" s="73">
        <v>4.49</v>
      </c>
      <c r="F65" s="73">
        <v>2.5099999999999998</v>
      </c>
      <c r="G65" s="73">
        <v>3.48</v>
      </c>
      <c r="H65" s="73">
        <v>4.33</v>
      </c>
      <c r="I65" s="73">
        <v>4.46</v>
      </c>
      <c r="J65" s="73">
        <v>4.28</v>
      </c>
      <c r="K65" s="73">
        <v>3.99</v>
      </c>
      <c r="L65" s="73">
        <v>4.6399999999999997</v>
      </c>
      <c r="M65" s="73">
        <v>4.5</v>
      </c>
      <c r="N65" s="73">
        <v>5.96</v>
      </c>
      <c r="O65" s="73">
        <v>4.71</v>
      </c>
      <c r="P65" s="73">
        <v>5.08</v>
      </c>
      <c r="Q65" s="73">
        <v>4.97</v>
      </c>
      <c r="R65" s="73">
        <v>4.26</v>
      </c>
      <c r="S65" s="58">
        <v>4.62</v>
      </c>
      <c r="T65" s="73">
        <v>5.16</v>
      </c>
      <c r="U65" s="73">
        <v>5.26</v>
      </c>
      <c r="V65" s="73">
        <v>5.91</v>
      </c>
      <c r="W65" s="73">
        <v>5.04</v>
      </c>
      <c r="X65" s="73">
        <v>5.56</v>
      </c>
      <c r="Y65" s="73">
        <v>6.42</v>
      </c>
      <c r="Z65" s="73">
        <v>5.67</v>
      </c>
      <c r="AA65" s="73">
        <v>4.95</v>
      </c>
      <c r="AB65" s="73">
        <v>5.75</v>
      </c>
      <c r="AC65" s="73">
        <v>5.49</v>
      </c>
      <c r="AD65" s="73">
        <v>4.8099999999999996</v>
      </c>
      <c r="AE65" s="73">
        <v>5.0199999999999996</v>
      </c>
      <c r="AF65" s="73">
        <v>5.49</v>
      </c>
      <c r="AG65" s="73">
        <v>6.96</v>
      </c>
      <c r="AH65" s="73">
        <v>5.03</v>
      </c>
      <c r="AI65" s="73">
        <v>5.69</v>
      </c>
      <c r="AJ65" s="73">
        <v>6.08</v>
      </c>
      <c r="AK65" s="73">
        <v>6</v>
      </c>
      <c r="AL65" s="73">
        <v>8.51</v>
      </c>
      <c r="AM65" s="73">
        <v>5.35</v>
      </c>
      <c r="AN65" s="73">
        <v>6.01</v>
      </c>
      <c r="AO65" s="73">
        <v>6.48</v>
      </c>
      <c r="AP65" s="73">
        <v>7.57</v>
      </c>
      <c r="AQ65" s="73">
        <v>6.8</v>
      </c>
      <c r="AR65" s="73">
        <v>5.99</v>
      </c>
      <c r="AS65" s="73"/>
      <c r="AT65" s="73"/>
      <c r="AU65" s="73"/>
      <c r="AV65" s="73"/>
      <c r="AW65" s="73"/>
      <c r="AX65" s="73"/>
      <c r="AY65" s="74"/>
      <c r="AZ65" s="73">
        <v>14.24</v>
      </c>
      <c r="BA65" s="74">
        <v>17.32</v>
      </c>
      <c r="BB65" s="73">
        <v>16.55</v>
      </c>
      <c r="BC65" s="74">
        <v>16.57</v>
      </c>
      <c r="BD65" s="73">
        <v>19.09</v>
      </c>
      <c r="BE65" s="74">
        <v>15.9</v>
      </c>
      <c r="BF65" s="73">
        <v>19.02</v>
      </c>
      <c r="BG65" s="74">
        <v>17.64</v>
      </c>
      <c r="BH65" s="73">
        <v>20.94</v>
      </c>
      <c r="BI65" s="74">
        <v>17.23</v>
      </c>
      <c r="BJ65" s="73">
        <v>22.7</v>
      </c>
      <c r="BK65" s="74">
        <v>19.5</v>
      </c>
      <c r="BL65" s="73">
        <v>21.01</v>
      </c>
      <c r="BM65" s="74">
        <v>23.78</v>
      </c>
      <c r="BN65" s="73">
        <v>22.49</v>
      </c>
      <c r="BO65" s="74">
        <v>23.05</v>
      </c>
      <c r="BP65" s="73">
        <v>26.28</v>
      </c>
      <c r="BQ65" s="74">
        <v>20.239999999999998</v>
      </c>
      <c r="BR65" s="73">
        <v>25.42</v>
      </c>
      <c r="BS65" s="74">
        <v>23.11</v>
      </c>
      <c r="BT65" s="73"/>
      <c r="BU65" s="74"/>
      <c r="BV65" s="73"/>
      <c r="BW65" s="74"/>
      <c r="BX65" s="74"/>
      <c r="BY65" s="74">
        <v>246.662508741848</v>
      </c>
      <c r="BZ65" s="74">
        <v>274.300552266865</v>
      </c>
      <c r="CA65" s="74">
        <v>303.58</v>
      </c>
      <c r="CB65" s="87">
        <v>335.54</v>
      </c>
      <c r="CC65" s="104">
        <v>360.78</v>
      </c>
      <c r="CD65" s="87">
        <v>442.62</v>
      </c>
      <c r="CE65" s="87">
        <v>499.58</v>
      </c>
      <c r="CF65" s="87">
        <v>518.41999999999996</v>
      </c>
      <c r="CG65" s="87">
        <v>531.79</v>
      </c>
      <c r="CH65" s="87">
        <v>587.39</v>
      </c>
      <c r="CI65" s="70" t="s">
        <v>66</v>
      </c>
    </row>
    <row r="66" spans="1:87" x14ac:dyDescent="0.2">
      <c r="A66" s="70" t="s">
        <v>67</v>
      </c>
      <c r="B66" s="173">
        <v>552.36</v>
      </c>
      <c r="C66" s="73">
        <v>12.09</v>
      </c>
      <c r="D66" s="73">
        <v>13.12</v>
      </c>
      <c r="E66" s="73">
        <v>19.7</v>
      </c>
      <c r="F66" s="73">
        <v>-9.76</v>
      </c>
      <c r="G66" s="73">
        <v>-0.27</v>
      </c>
      <c r="H66" s="73">
        <v>4.2</v>
      </c>
      <c r="I66" s="73">
        <v>5.89</v>
      </c>
      <c r="J66" s="73">
        <v>6.19</v>
      </c>
      <c r="K66" s="73">
        <v>8.27</v>
      </c>
      <c r="L66" s="73">
        <v>9.74</v>
      </c>
      <c r="M66" s="73">
        <v>8.5</v>
      </c>
      <c r="N66" s="73">
        <v>9.0299999999999994</v>
      </c>
      <c r="O66" s="73">
        <v>10.72</v>
      </c>
      <c r="P66" s="73">
        <v>12.53</v>
      </c>
      <c r="Q66" s="73">
        <v>11.89</v>
      </c>
      <c r="R66" s="73">
        <v>9.65</v>
      </c>
      <c r="S66" s="58">
        <v>11.71</v>
      </c>
      <c r="T66" s="73">
        <v>13.38</v>
      </c>
      <c r="U66" s="73">
        <v>9.8000000000000007</v>
      </c>
      <c r="V66" s="73">
        <v>9.59</v>
      </c>
      <c r="W66" s="73">
        <v>10.76</v>
      </c>
      <c r="X66" s="73">
        <v>11.71</v>
      </c>
      <c r="Y66" s="73">
        <v>10.11</v>
      </c>
      <c r="Z66" s="73">
        <v>9.24</v>
      </c>
      <c r="AA66" s="73">
        <v>9.98</v>
      </c>
      <c r="AB66" s="73">
        <v>11.41</v>
      </c>
      <c r="AC66" s="73">
        <v>11.69</v>
      </c>
      <c r="AD66" s="73">
        <v>2.15</v>
      </c>
      <c r="AE66" s="73">
        <v>-1.8</v>
      </c>
      <c r="AF66" s="73">
        <v>-1.5</v>
      </c>
      <c r="AG66" s="73">
        <v>-6.01</v>
      </c>
      <c r="AH66" s="73">
        <v>-14.21</v>
      </c>
      <c r="AI66" s="73">
        <v>-4.9800000000000004</v>
      </c>
      <c r="AJ66" s="73">
        <v>-4.9800000000000004</v>
      </c>
      <c r="AK66" s="73">
        <v>-0.16</v>
      </c>
      <c r="AL66" s="73">
        <v>-2.42</v>
      </c>
      <c r="AM66" s="73">
        <v>4.25</v>
      </c>
      <c r="AN66" s="73">
        <v>0.61</v>
      </c>
      <c r="AO66" s="73">
        <v>3.51</v>
      </c>
      <c r="AP66" s="73">
        <v>9.5500000000000007</v>
      </c>
      <c r="AQ66" s="73">
        <v>5.38</v>
      </c>
      <c r="AR66" s="73">
        <v>6.06</v>
      </c>
      <c r="AS66" s="73"/>
      <c r="AT66" s="73"/>
      <c r="AU66" s="73"/>
      <c r="AV66" s="73"/>
      <c r="AW66" s="73"/>
      <c r="AX66" s="73"/>
      <c r="AY66" s="74"/>
      <c r="AZ66" s="73">
        <v>35.15</v>
      </c>
      <c r="BA66" s="74">
        <v>10.99</v>
      </c>
      <c r="BB66" s="73">
        <v>16.010000000000002</v>
      </c>
      <c r="BC66" s="74">
        <v>26.86</v>
      </c>
      <c r="BD66" s="73">
        <v>35.54</v>
      </c>
      <c r="BE66" s="74">
        <v>14.26</v>
      </c>
      <c r="BF66" s="73">
        <v>44.79</v>
      </c>
      <c r="BG66" s="74">
        <v>11.63</v>
      </c>
      <c r="BH66" s="73">
        <v>44.48</v>
      </c>
      <c r="BI66" s="74">
        <v>11.98</v>
      </c>
      <c r="BJ66" s="73">
        <v>41.82</v>
      </c>
      <c r="BK66" s="74">
        <v>15.58</v>
      </c>
      <c r="BL66" s="73">
        <v>35.24</v>
      </c>
      <c r="BM66" s="74">
        <v>16.649999999999999</v>
      </c>
      <c r="BN66" s="73">
        <v>-23.52</v>
      </c>
      <c r="BO66" s="74">
        <v>-19.07</v>
      </c>
      <c r="BP66" s="73">
        <v>-12.53</v>
      </c>
      <c r="BQ66" s="74">
        <v>-44.24</v>
      </c>
      <c r="BR66" s="73">
        <v>17.91</v>
      </c>
      <c r="BS66" s="74">
        <v>29.78</v>
      </c>
      <c r="BT66" s="73"/>
      <c r="BU66" s="74"/>
      <c r="BV66" s="73"/>
      <c r="BW66" s="74"/>
      <c r="BX66" s="74"/>
      <c r="BY66" s="74">
        <v>386.351033763217</v>
      </c>
      <c r="BZ66" s="74">
        <v>429.95155640507198</v>
      </c>
      <c r="CA66" s="74">
        <v>506.75</v>
      </c>
      <c r="CB66" s="87">
        <v>520.80999999999995</v>
      </c>
      <c r="CC66" s="104">
        <v>532.96</v>
      </c>
      <c r="CD66" s="87">
        <v>651.66999999999996</v>
      </c>
      <c r="CE66" s="87">
        <v>586.59</v>
      </c>
      <c r="CF66" s="87">
        <v>448.44</v>
      </c>
      <c r="CG66" s="87">
        <v>554.5</v>
      </c>
      <c r="CH66" s="87">
        <v>533.41</v>
      </c>
      <c r="CI66" s="70" t="s">
        <v>67</v>
      </c>
    </row>
    <row r="67" spans="1:87" x14ac:dyDescent="0.2">
      <c r="A67" s="70" t="s">
        <v>68</v>
      </c>
      <c r="B67" s="173">
        <v>479.29</v>
      </c>
      <c r="C67" s="73">
        <v>-0.81</v>
      </c>
      <c r="D67" s="73">
        <v>-2.5299999999999998</v>
      </c>
      <c r="E67" s="73">
        <v>-10.71</v>
      </c>
      <c r="F67" s="73">
        <v>-23.91</v>
      </c>
      <c r="G67" s="73">
        <v>-0.25</v>
      </c>
      <c r="H67" s="73">
        <v>1.95</v>
      </c>
      <c r="I67" s="73">
        <v>1.18</v>
      </c>
      <c r="J67" s="73">
        <v>-0.27</v>
      </c>
      <c r="K67" s="73">
        <v>3.49</v>
      </c>
      <c r="L67" s="73">
        <v>3.44</v>
      </c>
      <c r="M67" s="73">
        <v>2.4</v>
      </c>
      <c r="N67" s="73">
        <v>3.44</v>
      </c>
      <c r="O67" s="73">
        <v>3.6</v>
      </c>
      <c r="P67" s="73">
        <v>2.48</v>
      </c>
      <c r="Q67" s="73">
        <v>4.32</v>
      </c>
      <c r="R67" s="73">
        <v>3.68</v>
      </c>
      <c r="S67" s="58">
        <v>3.97</v>
      </c>
      <c r="T67" s="73">
        <v>4.1399999999999997</v>
      </c>
      <c r="U67" s="73">
        <v>3.73</v>
      </c>
      <c r="V67" s="73">
        <v>3.72</v>
      </c>
      <c r="W67" s="73">
        <v>4.71</v>
      </c>
      <c r="X67" s="73">
        <v>5.28</v>
      </c>
      <c r="Y67" s="73">
        <v>4.2699999999999996</v>
      </c>
      <c r="Z67" s="73">
        <v>4.67</v>
      </c>
      <c r="AA67" s="73">
        <v>4.88</v>
      </c>
      <c r="AB67" s="73">
        <v>5.15</v>
      </c>
      <c r="AC67" s="73">
        <v>4.9800000000000004</v>
      </c>
      <c r="AD67" s="73">
        <v>4.09</v>
      </c>
      <c r="AE67" s="73">
        <v>5.97</v>
      </c>
      <c r="AF67" s="73">
        <v>5.69</v>
      </c>
      <c r="AG67" s="73">
        <v>5.65</v>
      </c>
      <c r="AH67" s="73">
        <v>4.5999999999999996</v>
      </c>
      <c r="AI67" s="73">
        <v>5.28</v>
      </c>
      <c r="AJ67" s="73">
        <v>5.38</v>
      </c>
      <c r="AK67" s="73">
        <v>6.8</v>
      </c>
      <c r="AL67" s="73">
        <v>5.54</v>
      </c>
      <c r="AM67" s="73">
        <v>6.62</v>
      </c>
      <c r="AN67" s="73">
        <v>6.65</v>
      </c>
      <c r="AO67" s="73">
        <v>6.07</v>
      </c>
      <c r="AP67" s="73">
        <v>5.75</v>
      </c>
      <c r="AQ67" s="73">
        <v>7.83</v>
      </c>
      <c r="AR67" s="73">
        <v>8.89</v>
      </c>
      <c r="AS67" s="73"/>
      <c r="AT67" s="73"/>
      <c r="AU67" s="73"/>
      <c r="AV67" s="73"/>
      <c r="AW67" s="73"/>
      <c r="AX67" s="73"/>
      <c r="AY67" s="74"/>
      <c r="AZ67" s="73">
        <v>-37.96</v>
      </c>
      <c r="BA67" s="74">
        <v>-4.45</v>
      </c>
      <c r="BB67" s="73">
        <v>2.61</v>
      </c>
      <c r="BC67" s="74">
        <v>74.239999999999995</v>
      </c>
      <c r="BD67" s="73">
        <v>12.77</v>
      </c>
      <c r="BE67" s="74">
        <v>16.82</v>
      </c>
      <c r="BF67" s="73">
        <v>14.08</v>
      </c>
      <c r="BG67" s="74">
        <v>12.45</v>
      </c>
      <c r="BH67" s="73">
        <v>15.56</v>
      </c>
      <c r="BI67" s="74">
        <v>14.22</v>
      </c>
      <c r="BJ67" s="73">
        <v>18.93</v>
      </c>
      <c r="BK67" s="74">
        <v>15.57</v>
      </c>
      <c r="BL67" s="73">
        <v>19.09</v>
      </c>
      <c r="BM67" s="74">
        <v>17.46</v>
      </c>
      <c r="BN67" s="73">
        <v>21.91</v>
      </c>
      <c r="BO67" s="74">
        <v>14.68</v>
      </c>
      <c r="BP67" s="73">
        <v>23.01</v>
      </c>
      <c r="BQ67" s="74">
        <v>16.8</v>
      </c>
      <c r="BR67" s="73">
        <v>25.1</v>
      </c>
      <c r="BS67" s="74">
        <v>18.489999999999998</v>
      </c>
      <c r="BT67" s="73"/>
      <c r="BU67" s="74"/>
      <c r="BV67" s="73"/>
      <c r="BW67" s="74"/>
      <c r="BX67" s="74"/>
      <c r="BY67" s="74">
        <v>168.79165229151201</v>
      </c>
      <c r="BZ67" s="74">
        <v>193.77928611669799</v>
      </c>
      <c r="CA67" s="74">
        <v>214.77</v>
      </c>
      <c r="CB67" s="87">
        <v>175.23</v>
      </c>
      <c r="CC67" s="104">
        <v>221.24</v>
      </c>
      <c r="CD67" s="87">
        <v>294.70999999999998</v>
      </c>
      <c r="CE67" s="87">
        <v>333.32</v>
      </c>
      <c r="CF67" s="87">
        <v>321.73</v>
      </c>
      <c r="CG67" s="87">
        <v>386.53</v>
      </c>
      <c r="CH67" s="87">
        <v>463.94</v>
      </c>
      <c r="CI67" s="70" t="s">
        <v>68</v>
      </c>
    </row>
    <row r="68" spans="1:87" x14ac:dyDescent="0.2">
      <c r="A68" s="70" t="s">
        <v>69</v>
      </c>
      <c r="B68" s="173">
        <v>1089.8599999999999</v>
      </c>
      <c r="C68" s="73">
        <v>5.58</v>
      </c>
      <c r="D68" s="73">
        <v>5.71</v>
      </c>
      <c r="E68" s="73">
        <v>5.18</v>
      </c>
      <c r="F68" s="73">
        <v>2.62</v>
      </c>
      <c r="G68" s="73">
        <v>5.89</v>
      </c>
      <c r="H68" s="73">
        <v>6.09</v>
      </c>
      <c r="I68" s="73">
        <v>6.73</v>
      </c>
      <c r="J68" s="73">
        <v>6.9</v>
      </c>
      <c r="K68" s="73">
        <v>5.41</v>
      </c>
      <c r="L68" s="73">
        <v>6.17</v>
      </c>
      <c r="M68" s="73">
        <v>5.62</v>
      </c>
      <c r="N68" s="73">
        <v>5.26</v>
      </c>
      <c r="O68" s="73">
        <v>6.53</v>
      </c>
      <c r="P68" s="73">
        <v>7.11</v>
      </c>
      <c r="Q68" s="73">
        <v>6.39</v>
      </c>
      <c r="R68" s="73">
        <v>5.28</v>
      </c>
      <c r="S68" s="58">
        <v>7.19</v>
      </c>
      <c r="T68" s="73">
        <v>5.48</v>
      </c>
      <c r="U68" s="73">
        <v>6.71</v>
      </c>
      <c r="V68" s="73">
        <v>5.71</v>
      </c>
      <c r="W68" s="73">
        <v>7.06</v>
      </c>
      <c r="X68" s="73">
        <v>6.96</v>
      </c>
      <c r="Y68" s="73">
        <v>7.05</v>
      </c>
      <c r="Z68" s="73">
        <v>6.36</v>
      </c>
      <c r="AA68" s="73">
        <v>7.47</v>
      </c>
      <c r="AB68" s="73">
        <v>8.6</v>
      </c>
      <c r="AC68" s="73">
        <v>7.47</v>
      </c>
      <c r="AD68" s="73">
        <v>8.09</v>
      </c>
      <c r="AE68" s="73">
        <v>7.82</v>
      </c>
      <c r="AF68" s="73">
        <v>8.3800000000000008</v>
      </c>
      <c r="AG68" s="73">
        <v>8</v>
      </c>
      <c r="AH68" s="73">
        <v>7.08</v>
      </c>
      <c r="AI68" s="73">
        <v>9.92</v>
      </c>
      <c r="AJ68" s="73">
        <v>9.61</v>
      </c>
      <c r="AK68" s="73">
        <v>8.34</v>
      </c>
      <c r="AL68" s="73">
        <v>6.92</v>
      </c>
      <c r="AM68" s="73">
        <v>10.35</v>
      </c>
      <c r="AN68" s="73">
        <v>9.7899999999999991</v>
      </c>
      <c r="AO68" s="73">
        <v>8.02</v>
      </c>
      <c r="AP68" s="73">
        <v>1.02</v>
      </c>
      <c r="AQ68" s="73">
        <v>10.46</v>
      </c>
      <c r="AR68" s="73">
        <v>8.31</v>
      </c>
      <c r="AS68" s="73"/>
      <c r="AT68" s="73"/>
      <c r="AU68" s="73"/>
      <c r="AV68" s="73"/>
      <c r="AW68" s="73"/>
      <c r="AX68" s="73"/>
      <c r="AY68" s="74"/>
      <c r="AZ68" s="73">
        <v>19.09</v>
      </c>
      <c r="BA68" s="74">
        <v>16.21</v>
      </c>
      <c r="BB68" s="73">
        <v>25.61</v>
      </c>
      <c r="BC68" s="74">
        <v>14.14</v>
      </c>
      <c r="BD68" s="73">
        <v>22.46</v>
      </c>
      <c r="BE68" s="74">
        <v>16.239999999999998</v>
      </c>
      <c r="BF68" s="73">
        <v>25.31</v>
      </c>
      <c r="BG68" s="74">
        <v>15.88</v>
      </c>
      <c r="BH68" s="73">
        <v>25.09</v>
      </c>
      <c r="BI68" s="74">
        <v>18.45</v>
      </c>
      <c r="BJ68" s="73">
        <v>27.43</v>
      </c>
      <c r="BK68" s="74">
        <v>23.41</v>
      </c>
      <c r="BL68" s="73">
        <v>31.64</v>
      </c>
      <c r="BM68" s="74">
        <v>25.03</v>
      </c>
      <c r="BN68" s="73">
        <v>31.28</v>
      </c>
      <c r="BO68" s="74">
        <v>26.64</v>
      </c>
      <c r="BP68" s="73">
        <v>34.799999999999997</v>
      </c>
      <c r="BQ68" s="74">
        <v>22.9</v>
      </c>
      <c r="BR68" s="73">
        <v>29.19</v>
      </c>
      <c r="BS68" s="74">
        <v>32.76</v>
      </c>
      <c r="BT68" s="73"/>
      <c r="BU68" s="74"/>
      <c r="BV68" s="73"/>
      <c r="BW68" s="74"/>
      <c r="BX68" s="74"/>
      <c r="BY68" s="74">
        <v>309.41269753717103</v>
      </c>
      <c r="BZ68" s="74">
        <v>362.22076951876102</v>
      </c>
      <c r="CA68" s="74">
        <v>364.78</v>
      </c>
      <c r="CB68" s="87">
        <v>401.9</v>
      </c>
      <c r="CC68" s="104">
        <v>462.95</v>
      </c>
      <c r="CD68" s="87">
        <v>642.29999999999995</v>
      </c>
      <c r="CE68" s="87">
        <v>791.97</v>
      </c>
      <c r="CF68" s="87">
        <v>833.23</v>
      </c>
      <c r="CG68" s="87">
        <v>796.91</v>
      </c>
      <c r="CH68" s="87">
        <v>956.32</v>
      </c>
      <c r="CI68" s="70" t="s">
        <v>69</v>
      </c>
    </row>
    <row r="69" spans="1:87" x14ac:dyDescent="0.2">
      <c r="A69" s="70" t="s">
        <v>70</v>
      </c>
      <c r="B69" s="173">
        <v>668.47</v>
      </c>
      <c r="C69" s="73">
        <v>4.9400000000000004</v>
      </c>
      <c r="D69" s="73">
        <v>5.53</v>
      </c>
      <c r="E69" s="73">
        <v>5.22</v>
      </c>
      <c r="F69" s="73">
        <v>1.93</v>
      </c>
      <c r="G69" s="73">
        <v>2.4500000000000002</v>
      </c>
      <c r="H69" s="73">
        <v>3.28</v>
      </c>
      <c r="I69" s="73">
        <v>2.88</v>
      </c>
      <c r="J69" s="73">
        <v>3.94</v>
      </c>
      <c r="K69" s="73">
        <v>3.32</v>
      </c>
      <c r="L69" s="73">
        <v>4.4800000000000004</v>
      </c>
      <c r="M69" s="73">
        <v>4.58</v>
      </c>
      <c r="N69" s="73">
        <v>4.71</v>
      </c>
      <c r="O69" s="73">
        <v>4.6100000000000003</v>
      </c>
      <c r="P69" s="73">
        <v>5.36</v>
      </c>
      <c r="Q69" s="73">
        <v>5.12</v>
      </c>
      <c r="R69" s="73">
        <v>5.08</v>
      </c>
      <c r="S69" s="58">
        <v>5.39</v>
      </c>
      <c r="T69" s="73">
        <v>5.96</v>
      </c>
      <c r="U69" s="73">
        <v>5.15</v>
      </c>
      <c r="V69" s="73">
        <v>3.97</v>
      </c>
      <c r="W69" s="73">
        <v>5.47</v>
      </c>
      <c r="X69" s="73">
        <v>5.72</v>
      </c>
      <c r="Y69" s="73">
        <v>6.16</v>
      </c>
      <c r="Z69" s="73">
        <v>8.0299999999999994</v>
      </c>
      <c r="AA69" s="73">
        <v>5.5</v>
      </c>
      <c r="AB69" s="73">
        <v>6.69</v>
      </c>
      <c r="AC69" s="73">
        <v>6.72</v>
      </c>
      <c r="AD69" s="73">
        <v>6.45</v>
      </c>
      <c r="AE69" s="73">
        <v>2.5499999999999998</v>
      </c>
      <c r="AF69" s="73">
        <v>6.46</v>
      </c>
      <c r="AG69" s="73">
        <v>7.64</v>
      </c>
      <c r="AH69" s="73">
        <v>6.19</v>
      </c>
      <c r="AI69" s="73">
        <v>5.12</v>
      </c>
      <c r="AJ69" s="73">
        <v>6.93</v>
      </c>
      <c r="AK69" s="73">
        <v>7.13</v>
      </c>
      <c r="AL69" s="73">
        <v>5.78</v>
      </c>
      <c r="AM69" s="73">
        <v>5.75</v>
      </c>
      <c r="AN69" s="73">
        <v>7.47</v>
      </c>
      <c r="AO69" s="73">
        <v>7.79</v>
      </c>
      <c r="AP69" s="73">
        <v>5.18</v>
      </c>
      <c r="AQ69" s="73">
        <v>7.49</v>
      </c>
      <c r="AR69" s="73">
        <v>9.0299999999999994</v>
      </c>
      <c r="AS69" s="73"/>
      <c r="AT69" s="73"/>
      <c r="AU69" s="73"/>
      <c r="AV69" s="73"/>
      <c r="AW69" s="73"/>
      <c r="AX69" s="73"/>
      <c r="AY69" s="74"/>
      <c r="AZ69" s="73">
        <v>17.62</v>
      </c>
      <c r="BA69" s="74">
        <v>11.76</v>
      </c>
      <c r="BB69" s="73">
        <v>12.55</v>
      </c>
      <c r="BC69" s="74">
        <v>19.36</v>
      </c>
      <c r="BD69" s="73">
        <v>17.09</v>
      </c>
      <c r="BE69" s="74">
        <v>17.62</v>
      </c>
      <c r="BF69" s="73">
        <v>20.170000000000002</v>
      </c>
      <c r="BG69" s="74">
        <v>14.49</v>
      </c>
      <c r="BH69" s="73">
        <v>20.47</v>
      </c>
      <c r="BI69" s="74">
        <v>16.059999999999999</v>
      </c>
      <c r="BJ69" s="73">
        <v>25.39</v>
      </c>
      <c r="BK69" s="74">
        <v>17.82</v>
      </c>
      <c r="BL69" s="73">
        <v>25.36</v>
      </c>
      <c r="BM69" s="74">
        <v>19.18</v>
      </c>
      <c r="BN69" s="73">
        <v>22.84</v>
      </c>
      <c r="BO69" s="74">
        <v>20.29</v>
      </c>
      <c r="BP69" s="73">
        <v>24.96</v>
      </c>
      <c r="BQ69" s="74">
        <v>21.56</v>
      </c>
      <c r="BR69" s="73">
        <v>26.19</v>
      </c>
      <c r="BS69" s="74">
        <v>24.35</v>
      </c>
      <c r="BT69" s="73"/>
      <c r="BU69" s="74"/>
      <c r="BV69" s="73"/>
      <c r="BW69" s="74"/>
      <c r="BX69" s="74"/>
      <c r="BY69" s="74">
        <v>207.209458244704</v>
      </c>
      <c r="BZ69" s="74">
        <v>242.991959108782</v>
      </c>
      <c r="CA69" s="74">
        <v>301.12</v>
      </c>
      <c r="CB69" s="87">
        <v>292.32</v>
      </c>
      <c r="CC69" s="104">
        <v>328.75</v>
      </c>
      <c r="CD69" s="87">
        <v>452.46</v>
      </c>
      <c r="CE69" s="87">
        <v>486.47</v>
      </c>
      <c r="CF69" s="87">
        <v>463.53</v>
      </c>
      <c r="CG69" s="87">
        <v>538.07000000000005</v>
      </c>
      <c r="CH69" s="87">
        <v>637.80999999999995</v>
      </c>
      <c r="CI69" s="70" t="s">
        <v>70</v>
      </c>
    </row>
    <row r="70" spans="1:87" x14ac:dyDescent="0.2">
      <c r="A70" s="70" t="s">
        <v>71</v>
      </c>
      <c r="B70" s="173">
        <v>1315.67</v>
      </c>
      <c r="C70" s="73">
        <v>4.16</v>
      </c>
      <c r="D70" s="73">
        <v>4.82</v>
      </c>
      <c r="E70" s="73">
        <v>3.82</v>
      </c>
      <c r="F70" s="73">
        <v>0.02</v>
      </c>
      <c r="G70" s="73">
        <v>1.53</v>
      </c>
      <c r="H70" s="73">
        <v>2.99</v>
      </c>
      <c r="I70" s="73">
        <v>4.29</v>
      </c>
      <c r="J70" s="73">
        <v>6.26</v>
      </c>
      <c r="K70" s="73">
        <v>5.39</v>
      </c>
      <c r="L70" s="73">
        <v>5.83</v>
      </c>
      <c r="M70" s="73">
        <v>6.58</v>
      </c>
      <c r="N70" s="73">
        <v>7.76</v>
      </c>
      <c r="O70" s="73">
        <v>6.93</v>
      </c>
      <c r="P70" s="73">
        <v>7.29</v>
      </c>
      <c r="Q70" s="73">
        <v>6.24</v>
      </c>
      <c r="R70" s="73">
        <v>8.6</v>
      </c>
      <c r="S70" s="58">
        <v>7.81</v>
      </c>
      <c r="T70" s="73">
        <v>4.3099999999999996</v>
      </c>
      <c r="U70" s="73">
        <v>5.95</v>
      </c>
      <c r="V70" s="73">
        <v>9.17</v>
      </c>
      <c r="W70" s="73">
        <v>7.92</v>
      </c>
      <c r="X70" s="73">
        <v>7.16</v>
      </c>
      <c r="Y70" s="73">
        <v>7.96</v>
      </c>
      <c r="Z70" s="73">
        <v>9.36</v>
      </c>
      <c r="AA70" s="73">
        <v>7.81</v>
      </c>
      <c r="AB70" s="73">
        <v>8.1</v>
      </c>
      <c r="AC70" s="73">
        <v>9.23</v>
      </c>
      <c r="AD70" s="73">
        <v>10.96</v>
      </c>
      <c r="AE70" s="73">
        <v>8.66</v>
      </c>
      <c r="AF70" s="73">
        <v>6.59</v>
      </c>
      <c r="AG70" s="73">
        <v>8.44</v>
      </c>
      <c r="AH70" s="73">
        <v>10.17</v>
      </c>
      <c r="AI70" s="73">
        <v>7.53</v>
      </c>
      <c r="AJ70" s="73">
        <v>8.08</v>
      </c>
      <c r="AK70" s="73">
        <v>8.69</v>
      </c>
      <c r="AL70" s="73">
        <v>12.54</v>
      </c>
      <c r="AM70" s="73">
        <v>9.48</v>
      </c>
      <c r="AN70" s="73">
        <v>9.7200000000000006</v>
      </c>
      <c r="AO70" s="73">
        <v>11.64</v>
      </c>
      <c r="AP70" s="73">
        <v>2.91</v>
      </c>
      <c r="AQ70" s="73">
        <v>13.08</v>
      </c>
      <c r="AR70" s="73">
        <v>13.73</v>
      </c>
      <c r="AS70" s="73"/>
      <c r="AT70" s="73"/>
      <c r="AU70" s="73"/>
      <c r="AV70" s="73"/>
      <c r="AW70" s="73"/>
      <c r="AX70" s="73"/>
      <c r="AY70" s="74"/>
      <c r="AZ70" s="73">
        <v>12.82</v>
      </c>
      <c r="BA70" s="74">
        <v>18.079999999999998</v>
      </c>
      <c r="BB70" s="73">
        <v>15.07</v>
      </c>
      <c r="BC70" s="74">
        <v>24.6</v>
      </c>
      <c r="BD70" s="73">
        <v>25.56</v>
      </c>
      <c r="BE70" s="74">
        <v>15.83</v>
      </c>
      <c r="BF70" s="73">
        <v>29.06</v>
      </c>
      <c r="BG70" s="74">
        <v>14.11</v>
      </c>
      <c r="BH70" s="73">
        <v>27.24</v>
      </c>
      <c r="BI70" s="74">
        <v>17.02</v>
      </c>
      <c r="BJ70" s="73">
        <v>32.409999999999997</v>
      </c>
      <c r="BK70" s="74">
        <v>18.07</v>
      </c>
      <c r="BL70" s="73">
        <v>36.1</v>
      </c>
      <c r="BM70" s="74">
        <v>19.170000000000002</v>
      </c>
      <c r="BN70" s="73">
        <v>33.86</v>
      </c>
      <c r="BO70" s="74">
        <v>21.31</v>
      </c>
      <c r="BP70" s="73">
        <v>36.85</v>
      </c>
      <c r="BQ70" s="74">
        <v>21.93</v>
      </c>
      <c r="BR70" s="73">
        <v>33.74</v>
      </c>
      <c r="BS70" s="74">
        <v>32.78</v>
      </c>
      <c r="BT70" s="73"/>
      <c r="BU70" s="74"/>
      <c r="BV70" s="73"/>
      <c r="BW70" s="74"/>
      <c r="BX70" s="74"/>
      <c r="BY70" s="74">
        <v>231.80951797071199</v>
      </c>
      <c r="BZ70" s="74">
        <v>370.71108667205903</v>
      </c>
      <c r="CA70" s="74">
        <v>404.55</v>
      </c>
      <c r="CB70" s="87">
        <v>409.93</v>
      </c>
      <c r="CC70" s="104">
        <v>463.82</v>
      </c>
      <c r="CD70" s="87">
        <v>585.48</v>
      </c>
      <c r="CE70" s="87">
        <v>691.95</v>
      </c>
      <c r="CF70" s="87">
        <v>721.48</v>
      </c>
      <c r="CG70" s="87">
        <v>807.95</v>
      </c>
      <c r="CH70" s="87">
        <v>1106.18</v>
      </c>
      <c r="CI70" s="70" t="s">
        <v>71</v>
      </c>
    </row>
    <row r="71" spans="1:87" x14ac:dyDescent="0.2">
      <c r="A71" s="70" t="s">
        <v>72</v>
      </c>
      <c r="B71" s="173">
        <v>381.03</v>
      </c>
      <c r="C71" s="73">
        <v>4.2699999999999996</v>
      </c>
      <c r="D71" s="73">
        <v>4.5199999999999996</v>
      </c>
      <c r="E71" s="73">
        <v>2.95</v>
      </c>
      <c r="F71" s="73">
        <v>-11.16</v>
      </c>
      <c r="G71" s="73">
        <v>0.82</v>
      </c>
      <c r="H71" s="73">
        <v>1.18</v>
      </c>
      <c r="I71" s="73">
        <v>2.41</v>
      </c>
      <c r="J71" s="73">
        <v>1.47</v>
      </c>
      <c r="K71" s="73">
        <v>2.69</v>
      </c>
      <c r="L71" s="73">
        <v>3.24</v>
      </c>
      <c r="M71" s="73">
        <v>4</v>
      </c>
      <c r="N71" s="73">
        <v>2.83</v>
      </c>
      <c r="O71" s="73">
        <v>4.66</v>
      </c>
      <c r="P71" s="73">
        <v>5.0599999999999996</v>
      </c>
      <c r="Q71" s="73">
        <v>3.89</v>
      </c>
      <c r="R71" s="73">
        <v>0.94</v>
      </c>
      <c r="S71" s="58">
        <v>3.83</v>
      </c>
      <c r="T71" s="73">
        <v>4.13</v>
      </c>
      <c r="U71" s="73">
        <v>2.04</v>
      </c>
      <c r="V71" s="73">
        <v>1.18</v>
      </c>
      <c r="W71" s="73">
        <v>4.1500000000000004</v>
      </c>
      <c r="X71" s="73">
        <v>3.51</v>
      </c>
      <c r="Y71" s="73">
        <v>2.1</v>
      </c>
      <c r="Z71" s="73">
        <v>1.63</v>
      </c>
      <c r="AA71" s="73">
        <v>4.3</v>
      </c>
      <c r="AB71" s="73">
        <v>4.2699999999999996</v>
      </c>
      <c r="AC71" s="73">
        <v>3.42</v>
      </c>
      <c r="AD71" s="73">
        <v>1.1100000000000001</v>
      </c>
      <c r="AE71" s="73">
        <v>2.87</v>
      </c>
      <c r="AF71" s="73">
        <v>3.31</v>
      </c>
      <c r="AG71" s="73">
        <v>0.8</v>
      </c>
      <c r="AH71" s="73">
        <v>0.01</v>
      </c>
      <c r="AI71" s="73">
        <v>1.07</v>
      </c>
      <c r="AJ71" s="73">
        <v>4.95</v>
      </c>
      <c r="AK71" s="73">
        <v>2.59</v>
      </c>
      <c r="AL71" s="73">
        <v>1.65</v>
      </c>
      <c r="AM71" s="73">
        <v>4.09</v>
      </c>
      <c r="AN71" s="73">
        <v>4.3899999999999997</v>
      </c>
      <c r="AO71" s="73">
        <v>3.45</v>
      </c>
      <c r="AP71" s="73">
        <v>3.65</v>
      </c>
      <c r="AQ71" s="73">
        <v>4.47</v>
      </c>
      <c r="AR71" s="73">
        <v>5.7</v>
      </c>
      <c r="AS71" s="73"/>
      <c r="AT71" s="73"/>
      <c r="AU71" s="73"/>
      <c r="AV71" s="73"/>
      <c r="AW71" s="73"/>
      <c r="AX71" s="73"/>
      <c r="AY71" s="74"/>
      <c r="AZ71" s="73">
        <v>0.57999999999999996</v>
      </c>
      <c r="BA71" s="74">
        <v>237.22</v>
      </c>
      <c r="BB71" s="73">
        <v>5.88</v>
      </c>
      <c r="BC71" s="74">
        <v>33.979999999999997</v>
      </c>
      <c r="BD71" s="73">
        <v>12.75</v>
      </c>
      <c r="BE71" s="74">
        <v>18.79</v>
      </c>
      <c r="BF71" s="73">
        <v>14.55</v>
      </c>
      <c r="BG71" s="74">
        <v>14.55</v>
      </c>
      <c r="BH71" s="73">
        <v>11.18</v>
      </c>
      <c r="BI71" s="74">
        <v>21.25</v>
      </c>
      <c r="BJ71" s="73">
        <v>11.4</v>
      </c>
      <c r="BK71" s="74">
        <v>25.59</v>
      </c>
      <c r="BL71" s="73">
        <v>13.1</v>
      </c>
      <c r="BM71" s="74">
        <v>23.3</v>
      </c>
      <c r="BN71" s="73">
        <v>6.98</v>
      </c>
      <c r="BO71" s="74">
        <v>39.22</v>
      </c>
      <c r="BP71" s="73">
        <v>10.26</v>
      </c>
      <c r="BQ71" s="74">
        <v>30.42</v>
      </c>
      <c r="BR71" s="73">
        <v>15.57</v>
      </c>
      <c r="BS71" s="74">
        <v>24.34</v>
      </c>
      <c r="BT71" s="73"/>
      <c r="BU71" s="74"/>
      <c r="BV71" s="73"/>
      <c r="BW71" s="74"/>
      <c r="BX71" s="74"/>
      <c r="BY71" s="74">
        <v>137.58654915328501</v>
      </c>
      <c r="BZ71" s="74">
        <v>199.81024150392901</v>
      </c>
      <c r="CA71" s="74">
        <v>239.61</v>
      </c>
      <c r="CB71" s="87">
        <v>211.71</v>
      </c>
      <c r="CC71" s="104">
        <v>237.62</v>
      </c>
      <c r="CD71" s="87">
        <v>291.64</v>
      </c>
      <c r="CE71" s="87">
        <v>305.27999999999997</v>
      </c>
      <c r="CF71" s="87">
        <v>273.64</v>
      </c>
      <c r="CG71" s="87">
        <v>312.16000000000003</v>
      </c>
      <c r="CH71" s="87">
        <v>378.94</v>
      </c>
      <c r="CI71" s="70" t="s">
        <v>72</v>
      </c>
    </row>
    <row r="72" spans="1:87" x14ac:dyDescent="0.2">
      <c r="A72" s="70" t="s">
        <v>73</v>
      </c>
      <c r="B72" s="173">
        <v>157.32</v>
      </c>
      <c r="C72" s="73">
        <v>1.89</v>
      </c>
      <c r="D72" s="73">
        <v>2.2000000000000002</v>
      </c>
      <c r="E72" s="73">
        <v>1.93</v>
      </c>
      <c r="F72" s="73">
        <v>0.99</v>
      </c>
      <c r="G72" s="73">
        <v>1.78</v>
      </c>
      <c r="H72" s="73">
        <v>1.8</v>
      </c>
      <c r="I72" s="73">
        <v>1.6</v>
      </c>
      <c r="J72" s="73">
        <v>0.67</v>
      </c>
      <c r="K72" s="73">
        <v>0.92</v>
      </c>
      <c r="L72" s="73">
        <v>1.36</v>
      </c>
      <c r="M72" s="73">
        <v>4.34</v>
      </c>
      <c r="N72" s="73">
        <v>1.1100000000000001</v>
      </c>
      <c r="O72" s="73">
        <v>1.79</v>
      </c>
      <c r="P72" s="73">
        <v>1.71</v>
      </c>
      <c r="Q72" s="73">
        <v>1.79</v>
      </c>
      <c r="R72" s="73">
        <v>-3.43</v>
      </c>
      <c r="S72" s="58">
        <v>1.74</v>
      </c>
      <c r="T72" s="73">
        <v>1.74</v>
      </c>
      <c r="U72" s="73">
        <v>1.88</v>
      </c>
      <c r="V72" s="73">
        <v>-3.42</v>
      </c>
      <c r="W72" s="73">
        <v>2.06</v>
      </c>
      <c r="X72" s="73">
        <v>1.85</v>
      </c>
      <c r="Y72" s="73">
        <v>2.11</v>
      </c>
      <c r="Z72" s="73">
        <v>5.0599999999999996</v>
      </c>
      <c r="AA72" s="73">
        <v>3.27</v>
      </c>
      <c r="AB72" s="73">
        <v>3.01</v>
      </c>
      <c r="AC72" s="73">
        <v>2.62</v>
      </c>
      <c r="AD72" s="73">
        <v>-2.2200000000000002</v>
      </c>
      <c r="AE72" s="73">
        <v>2.8</v>
      </c>
      <c r="AF72" s="73">
        <v>2.74</v>
      </c>
      <c r="AG72" s="73">
        <v>2.4900000000000002</v>
      </c>
      <c r="AH72" s="73">
        <v>4.21</v>
      </c>
      <c r="AI72" s="73">
        <v>2.81</v>
      </c>
      <c r="AJ72" s="73">
        <v>1.49</v>
      </c>
      <c r="AK72" s="73">
        <v>2.44</v>
      </c>
      <c r="AL72" s="73">
        <v>2.41</v>
      </c>
      <c r="AM72" s="73">
        <v>2.46</v>
      </c>
      <c r="AN72" s="73">
        <v>2.9</v>
      </c>
      <c r="AO72" s="73">
        <v>2.38</v>
      </c>
      <c r="AP72" s="73">
        <v>13.66</v>
      </c>
      <c r="AQ72" s="73">
        <v>3.26</v>
      </c>
      <c r="AR72" s="73">
        <v>3.31</v>
      </c>
      <c r="AS72" s="73"/>
      <c r="AT72" s="73"/>
      <c r="AU72" s="73"/>
      <c r="AV72" s="73"/>
      <c r="AW72" s="73"/>
      <c r="AX72" s="73"/>
      <c r="AY72" s="74"/>
      <c r="AZ72" s="73">
        <v>7.01</v>
      </c>
      <c r="BA72" s="74">
        <v>15.93</v>
      </c>
      <c r="BB72" s="73">
        <v>5.85</v>
      </c>
      <c r="BC72" s="74">
        <v>19.600000000000001</v>
      </c>
      <c r="BD72" s="73">
        <v>7.72</v>
      </c>
      <c r="BE72" s="74">
        <v>16.670000000000002</v>
      </c>
      <c r="BF72" s="73">
        <v>1.86</v>
      </c>
      <c r="BG72" s="74">
        <v>69.849999999999994</v>
      </c>
      <c r="BH72" s="73">
        <v>1.94</v>
      </c>
      <c r="BI72" s="74">
        <v>75.39</v>
      </c>
      <c r="BJ72" s="73">
        <v>11.09</v>
      </c>
      <c r="BK72" s="74">
        <v>14.03</v>
      </c>
      <c r="BL72" s="73">
        <v>6.68</v>
      </c>
      <c r="BM72" s="74">
        <v>22.85</v>
      </c>
      <c r="BN72" s="73">
        <v>12.24</v>
      </c>
      <c r="BO72" s="74">
        <v>12.25</v>
      </c>
      <c r="BP72" s="73">
        <v>9.15</v>
      </c>
      <c r="BQ72" s="74">
        <v>19.309999999999999</v>
      </c>
      <c r="BR72" s="73">
        <v>21.41</v>
      </c>
      <c r="BS72" s="74">
        <v>7.76</v>
      </c>
      <c r="BT72" s="73"/>
      <c r="BU72" s="74"/>
      <c r="BV72" s="73"/>
      <c r="BW72" s="74"/>
      <c r="BX72" s="74"/>
      <c r="BY72" s="74">
        <v>111.699218145443</v>
      </c>
      <c r="BZ72" s="74">
        <v>114.638431778259</v>
      </c>
      <c r="CA72" s="74">
        <v>128.74</v>
      </c>
      <c r="CB72" s="87">
        <v>129.82</v>
      </c>
      <c r="CC72" s="104">
        <v>146.04</v>
      </c>
      <c r="CD72" s="87">
        <v>155.52000000000001</v>
      </c>
      <c r="CE72" s="87">
        <v>152.55000000000001</v>
      </c>
      <c r="CF72" s="87">
        <v>149.91</v>
      </c>
      <c r="CG72" s="87">
        <v>176.61</v>
      </c>
      <c r="CH72" s="87">
        <v>166.07</v>
      </c>
      <c r="CI72" s="70" t="s">
        <v>73</v>
      </c>
    </row>
    <row r="73" spans="1:87" x14ac:dyDescent="0.2">
      <c r="A73" s="70" t="s">
        <v>74</v>
      </c>
      <c r="B73" s="173">
        <v>268.14999999999998</v>
      </c>
      <c r="C73" s="73">
        <v>3.32</v>
      </c>
      <c r="D73" s="73">
        <v>2.82</v>
      </c>
      <c r="E73" s="73">
        <v>3.78</v>
      </c>
      <c r="F73" s="73">
        <v>1.69</v>
      </c>
      <c r="G73" s="73">
        <v>2.37</v>
      </c>
      <c r="H73" s="73">
        <v>2.4</v>
      </c>
      <c r="I73" s="73">
        <v>3.47</v>
      </c>
      <c r="J73" s="73">
        <v>4.12</v>
      </c>
      <c r="K73" s="73">
        <v>3.04</v>
      </c>
      <c r="L73" s="73">
        <v>2.84</v>
      </c>
      <c r="M73" s="73">
        <v>3.09</v>
      </c>
      <c r="N73" s="73">
        <v>2.0699999999999998</v>
      </c>
      <c r="O73" s="73">
        <v>2.83</v>
      </c>
      <c r="P73" s="73">
        <v>3.14</v>
      </c>
      <c r="Q73" s="73">
        <v>3.74</v>
      </c>
      <c r="R73" s="73">
        <v>1.44</v>
      </c>
      <c r="S73" s="58">
        <v>2.33</v>
      </c>
      <c r="T73" s="73">
        <v>2.4700000000000002</v>
      </c>
      <c r="U73" s="73">
        <v>2.72</v>
      </c>
      <c r="V73" s="73">
        <v>1.61</v>
      </c>
      <c r="W73" s="73">
        <v>2.0099999999999998</v>
      </c>
      <c r="X73" s="73">
        <v>2.0299999999999998</v>
      </c>
      <c r="Y73" s="73">
        <v>3.73</v>
      </c>
      <c r="Z73" s="73">
        <v>1.99</v>
      </c>
      <c r="AA73" s="73">
        <v>2.62</v>
      </c>
      <c r="AB73" s="73">
        <v>2.44</v>
      </c>
      <c r="AC73" s="73">
        <v>4.2699999999999996</v>
      </c>
      <c r="AD73" s="73">
        <v>2.17</v>
      </c>
      <c r="AE73" s="73">
        <v>3.67</v>
      </c>
      <c r="AF73" s="73">
        <v>2.81</v>
      </c>
      <c r="AG73" s="73">
        <v>3.45</v>
      </c>
      <c r="AH73" s="73">
        <v>-0.96</v>
      </c>
      <c r="AI73" s="73">
        <v>3.21</v>
      </c>
      <c r="AJ73" s="73">
        <v>2</v>
      </c>
      <c r="AK73" s="73">
        <v>4.0999999999999996</v>
      </c>
      <c r="AL73" s="73">
        <v>-1.1200000000000001</v>
      </c>
      <c r="AM73" s="73">
        <v>3.97</v>
      </c>
      <c r="AN73" s="73">
        <v>1.98</v>
      </c>
      <c r="AO73" s="73">
        <v>4.33</v>
      </c>
      <c r="AP73" s="73">
        <v>1.74</v>
      </c>
      <c r="AQ73" s="73">
        <v>5.38</v>
      </c>
      <c r="AR73" s="73">
        <v>1.84</v>
      </c>
      <c r="AS73" s="73"/>
      <c r="AT73" s="73"/>
      <c r="AU73" s="73"/>
      <c r="AV73" s="73"/>
      <c r="AW73" s="73"/>
      <c r="AX73" s="73"/>
      <c r="AY73" s="74"/>
      <c r="AZ73" s="73">
        <v>11.61</v>
      </c>
      <c r="BA73" s="74">
        <v>12.74</v>
      </c>
      <c r="BB73" s="73">
        <v>12.36</v>
      </c>
      <c r="BC73" s="74">
        <v>12.78</v>
      </c>
      <c r="BD73" s="73">
        <v>11.04</v>
      </c>
      <c r="BE73" s="74">
        <v>14.43</v>
      </c>
      <c r="BF73" s="73">
        <v>11.15</v>
      </c>
      <c r="BG73" s="74">
        <v>16.41</v>
      </c>
      <c r="BH73" s="73">
        <v>9.1199999999999992</v>
      </c>
      <c r="BI73" s="74">
        <v>19.47</v>
      </c>
      <c r="BJ73" s="73">
        <v>9.76</v>
      </c>
      <c r="BK73" s="74">
        <v>19.8</v>
      </c>
      <c r="BL73" s="73">
        <v>11.5</v>
      </c>
      <c r="BM73" s="74">
        <v>20.89</v>
      </c>
      <c r="BN73" s="73">
        <v>8.9700000000000006</v>
      </c>
      <c r="BO73" s="74">
        <v>24.53</v>
      </c>
      <c r="BP73" s="73">
        <v>8.19</v>
      </c>
      <c r="BQ73" s="74">
        <v>30.15</v>
      </c>
      <c r="BR73" s="73">
        <v>12.02</v>
      </c>
      <c r="BS73" s="74">
        <v>22.25</v>
      </c>
      <c r="BT73" s="73"/>
      <c r="BU73" s="74"/>
      <c r="BV73" s="73"/>
      <c r="BW73" s="74"/>
      <c r="BX73" s="74"/>
      <c r="BY73" s="74">
        <v>147.93465290177599</v>
      </c>
      <c r="BZ73" s="74">
        <v>157.98969503421301</v>
      </c>
      <c r="CA73" s="74">
        <v>159.34</v>
      </c>
      <c r="CB73" s="87">
        <v>182.98</v>
      </c>
      <c r="CC73" s="104">
        <v>177.66</v>
      </c>
      <c r="CD73" s="87">
        <v>193.21</v>
      </c>
      <c r="CE73" s="87">
        <v>240.14</v>
      </c>
      <c r="CF73" s="87">
        <v>220</v>
      </c>
      <c r="CG73" s="87">
        <v>246.83</v>
      </c>
      <c r="CH73" s="87">
        <v>267.37</v>
      </c>
      <c r="CI73" s="70" t="s">
        <v>74</v>
      </c>
    </row>
    <row r="74" spans="1:87" x14ac:dyDescent="0.2">
      <c r="A74" s="70" t="s">
        <v>335</v>
      </c>
      <c r="B74" s="173">
        <v>205.68</v>
      </c>
      <c r="C74" s="73">
        <v>1.24</v>
      </c>
      <c r="D74" s="73">
        <v>0.89</v>
      </c>
      <c r="E74" s="73">
        <v>0.72</v>
      </c>
      <c r="F74" s="73">
        <v>-2.04</v>
      </c>
      <c r="G74" s="73">
        <v>0.69</v>
      </c>
      <c r="H74" s="73">
        <v>0.09</v>
      </c>
      <c r="I74" s="73">
        <v>0.26</v>
      </c>
      <c r="J74" s="73">
        <v>-0.21</v>
      </c>
      <c r="K74" s="73">
        <v>0.23</v>
      </c>
      <c r="L74" s="73">
        <v>0.42</v>
      </c>
      <c r="M74" s="73">
        <v>0.45</v>
      </c>
      <c r="N74" s="73">
        <v>-0.33</v>
      </c>
      <c r="O74" s="73">
        <v>0.5</v>
      </c>
      <c r="P74" s="73">
        <v>0.46</v>
      </c>
      <c r="Q74" s="73">
        <v>0.69</v>
      </c>
      <c r="R74" s="73">
        <v>0.71</v>
      </c>
      <c r="S74" s="58">
        <v>0.97</v>
      </c>
      <c r="T74" s="73">
        <v>0.57999999999999996</v>
      </c>
      <c r="U74" s="73">
        <v>0.8</v>
      </c>
      <c r="V74" s="73">
        <v>0.73</v>
      </c>
      <c r="W74" s="73">
        <v>0.73</v>
      </c>
      <c r="X74" s="73">
        <v>1.01</v>
      </c>
      <c r="Y74" s="73">
        <v>0.74</v>
      </c>
      <c r="Z74" s="73">
        <v>0.68</v>
      </c>
      <c r="AA74" s="73">
        <v>0.93</v>
      </c>
      <c r="AB74" s="73">
        <v>1.08</v>
      </c>
      <c r="AC74" s="73">
        <v>1.22</v>
      </c>
      <c r="AD74" s="73">
        <v>2</v>
      </c>
      <c r="AE74" s="73">
        <v>1.27</v>
      </c>
      <c r="AF74" s="73">
        <v>1.36</v>
      </c>
      <c r="AG74" s="73">
        <v>1.22</v>
      </c>
      <c r="AH74" s="73">
        <v>1.17</v>
      </c>
      <c r="AI74" s="73">
        <v>2.4500000000000002</v>
      </c>
      <c r="AJ74" s="73">
        <v>1.46</v>
      </c>
      <c r="AK74" s="73">
        <v>1.41</v>
      </c>
      <c r="AL74" s="73">
        <v>1.83</v>
      </c>
      <c r="AM74" s="73">
        <v>1.33</v>
      </c>
      <c r="AN74" s="73">
        <v>1.17</v>
      </c>
      <c r="AO74" s="73">
        <v>1.45</v>
      </c>
      <c r="AP74" s="73">
        <v>1.27</v>
      </c>
      <c r="AQ74" s="73">
        <v>1.4</v>
      </c>
      <c r="AR74" s="73">
        <v>1.4</v>
      </c>
      <c r="AS74" s="73"/>
      <c r="AT74" s="73"/>
      <c r="AU74" s="73"/>
      <c r="AV74" s="73"/>
      <c r="AW74" s="73"/>
      <c r="AX74" s="73"/>
      <c r="AY74" s="74"/>
      <c r="AZ74" s="73">
        <v>0.81</v>
      </c>
      <c r="BA74" s="74">
        <v>96.26</v>
      </c>
      <c r="BB74" s="73">
        <v>0.83</v>
      </c>
      <c r="BC74" s="74">
        <v>113.47</v>
      </c>
      <c r="BD74" s="73">
        <v>0.77</v>
      </c>
      <c r="BE74" s="74">
        <v>155.99</v>
      </c>
      <c r="BF74" s="73">
        <v>2.37</v>
      </c>
      <c r="BG74" s="74">
        <v>55.01</v>
      </c>
      <c r="BH74" s="73">
        <v>3.07</v>
      </c>
      <c r="BI74" s="74">
        <v>49.29</v>
      </c>
      <c r="BJ74" s="73">
        <v>3.17</v>
      </c>
      <c r="BK74" s="74">
        <v>47.03</v>
      </c>
      <c r="BL74" s="73">
        <v>5.22</v>
      </c>
      <c r="BM74" s="74">
        <v>35.97</v>
      </c>
      <c r="BN74" s="73">
        <v>5.0199999999999996</v>
      </c>
      <c r="BO74" s="74">
        <v>37.89</v>
      </c>
      <c r="BP74" s="73">
        <v>7.15</v>
      </c>
      <c r="BQ74" s="74">
        <v>26.59</v>
      </c>
      <c r="BR74" s="73">
        <v>5.22</v>
      </c>
      <c r="BS74" s="74">
        <v>39.04</v>
      </c>
      <c r="BT74" s="73"/>
      <c r="BU74" s="74"/>
      <c r="BV74" s="73"/>
      <c r="BW74" s="74"/>
      <c r="BX74" s="74"/>
      <c r="BY74" s="74">
        <v>77.97</v>
      </c>
      <c r="BZ74" s="74">
        <v>94.18</v>
      </c>
      <c r="CA74" s="74">
        <v>120.58</v>
      </c>
      <c r="CB74" s="87">
        <v>130.15</v>
      </c>
      <c r="CC74" s="104">
        <v>151.26</v>
      </c>
      <c r="CD74" s="87">
        <v>148.94999999999999</v>
      </c>
      <c r="CE74" s="87">
        <v>187.89</v>
      </c>
      <c r="CF74" s="87">
        <v>190.22</v>
      </c>
      <c r="CG74" s="87">
        <v>190.23</v>
      </c>
      <c r="CH74" s="87">
        <v>203.86</v>
      </c>
    </row>
    <row r="75" spans="1:87" x14ac:dyDescent="0.2">
      <c r="B75" s="173"/>
      <c r="C75" s="73"/>
      <c r="D75" s="73"/>
      <c r="E75" s="73"/>
      <c r="F75" s="73"/>
      <c r="G75" s="73"/>
      <c r="H75" s="73"/>
      <c r="I75" s="73"/>
      <c r="J75" s="73"/>
      <c r="K75" s="73"/>
      <c r="L75" s="73"/>
      <c r="M75" s="73"/>
      <c r="N75" s="73"/>
      <c r="O75" s="73"/>
      <c r="P75" s="73"/>
      <c r="Q75" s="73"/>
      <c r="R75" s="73"/>
      <c r="S75" s="58"/>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4"/>
      <c r="BA75" s="74"/>
      <c r="BC75" s="74"/>
      <c r="BE75" s="74"/>
      <c r="BG75" s="74"/>
      <c r="BI75" s="74"/>
      <c r="BK75" s="74"/>
      <c r="BM75" s="74"/>
      <c r="BO75" s="74"/>
      <c r="BQ75" s="74"/>
      <c r="BR75" s="73"/>
      <c r="BS75" s="74"/>
      <c r="BT75" s="73"/>
      <c r="BU75" s="74"/>
      <c r="BV75" s="73"/>
      <c r="BW75" s="74"/>
      <c r="BX75" s="74"/>
      <c r="CD75" s="87"/>
      <c r="CE75" s="87"/>
      <c r="CF75" s="87"/>
      <c r="CG75" s="87"/>
      <c r="CH75" s="87"/>
    </row>
    <row r="76" spans="1:87" x14ac:dyDescent="0.2">
      <c r="A76" s="70" t="s">
        <v>75</v>
      </c>
      <c r="B76" s="173">
        <v>2045.2</v>
      </c>
      <c r="C76" s="73">
        <v>8.94</v>
      </c>
      <c r="D76" s="73">
        <v>7.23</v>
      </c>
      <c r="E76" s="73">
        <v>6.42</v>
      </c>
      <c r="F76" s="73">
        <v>-17.920000000000002</v>
      </c>
      <c r="G76" s="73">
        <v>-1.98</v>
      </c>
      <c r="H76" s="73">
        <v>6.11</v>
      </c>
      <c r="I76" s="73">
        <v>7.85</v>
      </c>
      <c r="J76" s="73">
        <v>8.56</v>
      </c>
      <c r="K76" s="73">
        <v>8.6999999999999993</v>
      </c>
      <c r="L76" s="73">
        <v>9.2200000000000006</v>
      </c>
      <c r="M76" s="73">
        <v>11.21</v>
      </c>
      <c r="N76" s="73">
        <v>10.01</v>
      </c>
      <c r="O76" s="73">
        <v>10.06</v>
      </c>
      <c r="P76" s="73">
        <v>11.9</v>
      </c>
      <c r="Q76" s="73">
        <v>10.220000000000001</v>
      </c>
      <c r="R76" s="73">
        <v>10.27</v>
      </c>
      <c r="S76" s="58">
        <v>11.26</v>
      </c>
      <c r="T76" s="73">
        <v>11.94</v>
      </c>
      <c r="U76" s="73">
        <v>12.41</v>
      </c>
      <c r="V76" s="73">
        <v>10.07</v>
      </c>
      <c r="W76" s="73">
        <v>12.05</v>
      </c>
      <c r="X76" s="73">
        <v>13.7</v>
      </c>
      <c r="Y76" s="73">
        <v>13.36</v>
      </c>
      <c r="Z76" s="73">
        <v>13.73</v>
      </c>
      <c r="AA76" s="73">
        <v>12.05</v>
      </c>
      <c r="AB76" s="73">
        <v>15.04</v>
      </c>
      <c r="AC76" s="73">
        <v>9.31</v>
      </c>
      <c r="AD76" s="73">
        <v>10.98</v>
      </c>
      <c r="AE76" s="73">
        <v>11.23</v>
      </c>
      <c r="AF76" s="73">
        <v>10.36</v>
      </c>
      <c r="AG76" s="73">
        <v>7.31</v>
      </c>
      <c r="AH76" s="73">
        <v>2.88</v>
      </c>
      <c r="AI76" s="73">
        <v>10.52</v>
      </c>
      <c r="AJ76" s="73">
        <v>12.56</v>
      </c>
      <c r="AK76" s="73">
        <v>15.71</v>
      </c>
      <c r="AL76" s="73">
        <v>12.2</v>
      </c>
      <c r="AM76" s="73">
        <v>15.7</v>
      </c>
      <c r="AN76" s="73">
        <v>16.45</v>
      </c>
      <c r="AO76" s="73">
        <v>15.99</v>
      </c>
      <c r="AP76" s="73">
        <v>25.78</v>
      </c>
      <c r="AQ76" s="73">
        <v>19.73</v>
      </c>
      <c r="AR76" s="73">
        <v>21.29</v>
      </c>
      <c r="AS76" s="73"/>
      <c r="AT76" s="73"/>
      <c r="AU76" s="73"/>
      <c r="AV76" s="73"/>
      <c r="AW76" s="73"/>
      <c r="AX76" s="73"/>
      <c r="AY76" s="74"/>
      <c r="AZ76" s="73">
        <v>4.67</v>
      </c>
      <c r="BA76" s="74">
        <v>115.26</v>
      </c>
      <c r="BB76" s="73">
        <v>20.54</v>
      </c>
      <c r="BC76" s="74">
        <v>35.380000000000003</v>
      </c>
      <c r="BD76" s="73">
        <v>39.14</v>
      </c>
      <c r="BE76" s="74">
        <v>23.18</v>
      </c>
      <c r="BF76" s="73">
        <v>42.44</v>
      </c>
      <c r="BG76" s="74">
        <v>20.72</v>
      </c>
      <c r="BH76" s="73">
        <v>45.69</v>
      </c>
      <c r="BI76" s="74">
        <v>22.33</v>
      </c>
      <c r="BJ76" s="73">
        <v>52.84</v>
      </c>
      <c r="BK76" s="74">
        <v>25.41</v>
      </c>
      <c r="BL76" s="73">
        <v>47.38</v>
      </c>
      <c r="BM76" s="74">
        <v>30.66</v>
      </c>
      <c r="BN76" s="73">
        <v>31.79</v>
      </c>
      <c r="BO76" s="74">
        <v>44</v>
      </c>
      <c r="BP76" s="73">
        <v>51</v>
      </c>
      <c r="BQ76" s="74">
        <v>32.56</v>
      </c>
      <c r="BR76" s="73">
        <v>73.92</v>
      </c>
      <c r="BS76" s="74">
        <v>25.71</v>
      </c>
      <c r="BT76" s="73"/>
      <c r="BU76" s="74"/>
      <c r="BV76" s="73"/>
      <c r="BW76" s="74"/>
      <c r="BX76" s="74"/>
      <c r="BY76" s="71">
        <v>538.27930100000003</v>
      </c>
      <c r="BZ76" s="71">
        <v>726.67478400000005</v>
      </c>
      <c r="CA76" s="71">
        <v>907.24987321098399</v>
      </c>
      <c r="CB76" s="87">
        <v>879.16</v>
      </c>
      <c r="CC76" s="104">
        <v>1020.43</v>
      </c>
      <c r="CD76" s="87">
        <v>1342.53</v>
      </c>
      <c r="CE76" s="87">
        <v>1452.44</v>
      </c>
      <c r="CF76" s="87">
        <v>1398.58</v>
      </c>
      <c r="CG76" s="87">
        <v>1660.58</v>
      </c>
      <c r="CH76" s="87">
        <v>1900.57</v>
      </c>
      <c r="CI76" s="70" t="s">
        <v>75</v>
      </c>
    </row>
    <row r="77" spans="1:87" x14ac:dyDescent="0.2">
      <c r="A77" s="70" t="s">
        <v>76</v>
      </c>
      <c r="B77" s="173">
        <v>802.59</v>
      </c>
      <c r="C77" s="73">
        <v>0.8</v>
      </c>
      <c r="D77" s="73">
        <v>1.1599999999999999</v>
      </c>
      <c r="E77" s="73">
        <v>-2.73</v>
      </c>
      <c r="F77" s="73">
        <v>-5.56</v>
      </c>
      <c r="G77" s="73">
        <v>1.6</v>
      </c>
      <c r="H77" s="73">
        <v>1.53</v>
      </c>
      <c r="I77" s="73">
        <v>3.26</v>
      </c>
      <c r="J77" s="73">
        <v>4.57</v>
      </c>
      <c r="K77" s="73">
        <v>3.48</v>
      </c>
      <c r="L77" s="73">
        <v>4.07</v>
      </c>
      <c r="M77" s="73">
        <v>4.26</v>
      </c>
      <c r="N77" s="73">
        <v>3.96</v>
      </c>
      <c r="O77" s="73">
        <v>3.24</v>
      </c>
      <c r="P77" s="73">
        <v>3.85</v>
      </c>
      <c r="Q77" s="73">
        <v>3.98</v>
      </c>
      <c r="R77" s="73">
        <v>6.4</v>
      </c>
      <c r="S77" s="58">
        <v>4.91</v>
      </c>
      <c r="T77" s="73">
        <v>4.57</v>
      </c>
      <c r="U77" s="73">
        <v>6.2</v>
      </c>
      <c r="V77" s="73">
        <v>6.41</v>
      </c>
      <c r="W77" s="73">
        <v>4.88</v>
      </c>
      <c r="X77" s="73">
        <v>6.15</v>
      </c>
      <c r="Y77" s="73">
        <v>6.31</v>
      </c>
      <c r="Z77" s="73">
        <v>8.56</v>
      </c>
      <c r="AA77" s="73">
        <v>3.72</v>
      </c>
      <c r="AB77" s="73">
        <v>5.37</v>
      </c>
      <c r="AC77" s="73">
        <v>6.56</v>
      </c>
      <c r="AD77" s="73">
        <v>11.71</v>
      </c>
      <c r="AE77" s="73">
        <v>5.0999999999999996</v>
      </c>
      <c r="AF77" s="73">
        <v>5.71</v>
      </c>
      <c r="AG77" s="73">
        <v>3.39</v>
      </c>
      <c r="AH77" s="73">
        <v>4.5199999999999996</v>
      </c>
      <c r="AI77" s="73">
        <v>7.06</v>
      </c>
      <c r="AJ77" s="73">
        <v>8.07</v>
      </c>
      <c r="AK77" s="73">
        <v>9.5299999999999994</v>
      </c>
      <c r="AL77" s="73">
        <v>11</v>
      </c>
      <c r="AM77" s="73">
        <v>7.62</v>
      </c>
      <c r="AN77" s="73">
        <v>9.3699999999999992</v>
      </c>
      <c r="AO77" s="73">
        <v>10.49</v>
      </c>
      <c r="AP77" s="73">
        <v>11.95</v>
      </c>
      <c r="AQ77" s="73">
        <v>7.24</v>
      </c>
      <c r="AR77" s="73">
        <v>10.72</v>
      </c>
      <c r="AS77" s="73"/>
      <c r="AT77" s="73"/>
      <c r="AU77" s="73"/>
      <c r="AV77" s="73"/>
      <c r="AW77" s="73"/>
      <c r="AX77" s="73"/>
      <c r="AY77" s="74"/>
      <c r="AZ77" s="73">
        <v>-6.33</v>
      </c>
      <c r="BA77" s="74">
        <v>-28.38</v>
      </c>
      <c r="BB77" s="73">
        <v>10.96</v>
      </c>
      <c r="BC77" s="74">
        <v>25.13</v>
      </c>
      <c r="BD77" s="73">
        <v>15.77</v>
      </c>
      <c r="BE77" s="74">
        <v>22.88</v>
      </c>
      <c r="BF77" s="73">
        <v>17.47</v>
      </c>
      <c r="BG77" s="74">
        <v>20.91</v>
      </c>
      <c r="BH77" s="73">
        <v>22.08</v>
      </c>
      <c r="BI77" s="74">
        <v>20.100000000000001</v>
      </c>
      <c r="BJ77" s="73">
        <v>25.9</v>
      </c>
      <c r="BK77" s="74">
        <v>24.12</v>
      </c>
      <c r="BL77" s="73">
        <v>27.36</v>
      </c>
      <c r="BM77" s="74">
        <v>25.12</v>
      </c>
      <c r="BN77" s="73">
        <v>18.72</v>
      </c>
      <c r="BO77" s="74">
        <v>33.340000000000003</v>
      </c>
      <c r="BP77" s="73">
        <v>35.659999999999997</v>
      </c>
      <c r="BQ77" s="74">
        <v>18.93</v>
      </c>
      <c r="BR77" s="73">
        <v>39.42</v>
      </c>
      <c r="BS77" s="74">
        <v>20.190000000000001</v>
      </c>
      <c r="BT77" s="73"/>
      <c r="BU77" s="74"/>
      <c r="BV77" s="73"/>
      <c r="BW77" s="74"/>
      <c r="BX77" s="74"/>
      <c r="BY77" s="71">
        <v>179.63314700000001</v>
      </c>
      <c r="BZ77" s="71">
        <v>275.42848900000001</v>
      </c>
      <c r="CA77" s="71">
        <v>360.78854314944198</v>
      </c>
      <c r="CB77" s="87">
        <v>365.27</v>
      </c>
      <c r="CC77" s="104">
        <v>443.95</v>
      </c>
      <c r="CD77" s="87">
        <v>624.88</v>
      </c>
      <c r="CE77" s="87">
        <v>687.24</v>
      </c>
      <c r="CF77" s="87">
        <v>624.30999999999995</v>
      </c>
      <c r="CG77" s="87">
        <v>675.16</v>
      </c>
      <c r="CH77" s="87">
        <v>795.66</v>
      </c>
      <c r="CI77" s="70" t="s">
        <v>76</v>
      </c>
    </row>
    <row r="78" spans="1:87" x14ac:dyDescent="0.2">
      <c r="A78" s="70" t="s">
        <v>77</v>
      </c>
      <c r="B78" s="173">
        <v>1758.4</v>
      </c>
      <c r="C78" s="73">
        <v>6.07</v>
      </c>
      <c r="D78" s="73">
        <v>6.77</v>
      </c>
      <c r="E78" s="73">
        <v>7.73</v>
      </c>
      <c r="F78" s="73">
        <v>5.86</v>
      </c>
      <c r="G78" s="73">
        <v>5.35</v>
      </c>
      <c r="H78" s="73">
        <v>4.6100000000000003</v>
      </c>
      <c r="I78" s="73">
        <v>7.71</v>
      </c>
      <c r="J78" s="73">
        <v>9.1999999999999993</v>
      </c>
      <c r="K78" s="73">
        <v>7.08</v>
      </c>
      <c r="L78" s="73">
        <v>9.02</v>
      </c>
      <c r="M78" s="73">
        <v>9.8000000000000007</v>
      </c>
      <c r="N78" s="73">
        <v>11.18</v>
      </c>
      <c r="O78" s="73">
        <v>10.91</v>
      </c>
      <c r="P78" s="73">
        <v>9.35</v>
      </c>
      <c r="Q78" s="73">
        <v>2.87</v>
      </c>
      <c r="R78" s="73">
        <v>11.86</v>
      </c>
      <c r="S78" s="58">
        <v>10.52</v>
      </c>
      <c r="T78" s="73">
        <v>11.73</v>
      </c>
      <c r="U78" s="73">
        <v>8.4</v>
      </c>
      <c r="V78" s="73">
        <v>14.77</v>
      </c>
      <c r="W78" s="73">
        <v>9.0500000000000007</v>
      </c>
      <c r="X78" s="73">
        <v>9.84</v>
      </c>
      <c r="Y78" s="73">
        <v>20.87</v>
      </c>
      <c r="Z78" s="73">
        <v>13.85</v>
      </c>
      <c r="AA78" s="73">
        <v>12.81</v>
      </c>
      <c r="AB78" s="73">
        <v>10.84</v>
      </c>
      <c r="AC78" s="73">
        <v>6.74</v>
      </c>
      <c r="AD78" s="73">
        <v>10.75</v>
      </c>
      <c r="AE78" s="73">
        <v>3.51</v>
      </c>
      <c r="AF78" s="73">
        <v>13.13</v>
      </c>
      <c r="AG78" s="73">
        <v>-10.7</v>
      </c>
      <c r="AH78" s="73">
        <v>14.47</v>
      </c>
      <c r="AI78" s="73">
        <v>10.27</v>
      </c>
      <c r="AJ78" s="73">
        <v>16.07</v>
      </c>
      <c r="AK78" s="73">
        <v>14.59</v>
      </c>
      <c r="AL78" s="73">
        <v>8.15</v>
      </c>
      <c r="AM78" s="73">
        <v>14.12</v>
      </c>
      <c r="AN78" s="73">
        <v>10.89</v>
      </c>
      <c r="AO78" s="73">
        <v>9.32</v>
      </c>
      <c r="AP78" s="73">
        <v>25.33</v>
      </c>
      <c r="AQ78" s="73">
        <v>20.18</v>
      </c>
      <c r="AR78" s="73">
        <v>16.48</v>
      </c>
      <c r="AS78" s="73"/>
      <c r="AT78" s="73"/>
      <c r="AU78" s="73"/>
      <c r="AV78" s="73"/>
      <c r="AW78" s="73"/>
      <c r="AX78" s="73"/>
      <c r="AY78" s="74"/>
      <c r="AZ78" s="73">
        <v>26.43</v>
      </c>
      <c r="BA78" s="74">
        <v>15.8</v>
      </c>
      <c r="BB78" s="73">
        <v>26.87</v>
      </c>
      <c r="BC78" s="74">
        <v>18.45</v>
      </c>
      <c r="BD78" s="73">
        <v>37.08</v>
      </c>
      <c r="BE78" s="74">
        <v>16.71</v>
      </c>
      <c r="BF78" s="73">
        <v>34.99</v>
      </c>
      <c r="BG78" s="74">
        <v>21.49</v>
      </c>
      <c r="BH78" s="73">
        <v>45.42</v>
      </c>
      <c r="BI78" s="74">
        <v>18.989999999999998</v>
      </c>
      <c r="BJ78" s="73">
        <v>53.6</v>
      </c>
      <c r="BK78" s="74">
        <v>22.05</v>
      </c>
      <c r="BL78" s="73">
        <v>41.14</v>
      </c>
      <c r="BM78" s="74">
        <v>38.35</v>
      </c>
      <c r="BN78" s="73">
        <v>20.41</v>
      </c>
      <c r="BO78" s="74">
        <v>73.790000000000006</v>
      </c>
      <c r="BP78" s="73">
        <v>49.07</v>
      </c>
      <c r="BQ78" s="74">
        <v>34.450000000000003</v>
      </c>
      <c r="BR78" s="73">
        <v>59.65</v>
      </c>
      <c r="BS78" s="74">
        <v>28.95</v>
      </c>
      <c r="BT78" s="73"/>
      <c r="BU78" s="74"/>
      <c r="BV78" s="73"/>
      <c r="BW78" s="74"/>
      <c r="BX78" s="74"/>
      <c r="BY78" s="71">
        <v>417.55613299999999</v>
      </c>
      <c r="BZ78" s="71">
        <v>495.715306</v>
      </c>
      <c r="CA78" s="71">
        <v>619.58758692758499</v>
      </c>
      <c r="CB78" s="87">
        <v>751.72</v>
      </c>
      <c r="CC78" s="104">
        <v>862.71</v>
      </c>
      <c r="CD78" s="87">
        <v>1181.9000000000001</v>
      </c>
      <c r="CE78" s="87">
        <v>1577.72</v>
      </c>
      <c r="CF78" s="87">
        <v>1505.92</v>
      </c>
      <c r="CG78" s="87">
        <v>1690.47</v>
      </c>
      <c r="CH78" s="87">
        <v>1726.91</v>
      </c>
      <c r="CI78" s="70" t="s">
        <v>77</v>
      </c>
    </row>
    <row r="79" spans="1:87" x14ac:dyDescent="0.2">
      <c r="A79" s="70" t="s">
        <v>78</v>
      </c>
      <c r="B79" s="173">
        <v>492.72</v>
      </c>
      <c r="C79" s="73">
        <v>13.5</v>
      </c>
      <c r="D79" s="73">
        <v>12.95</v>
      </c>
      <c r="E79" s="73">
        <v>30.08</v>
      </c>
      <c r="F79" s="73">
        <v>-58.8</v>
      </c>
      <c r="G79" s="73">
        <v>-21.74</v>
      </c>
      <c r="H79" s="73">
        <v>2.2999999999999998</v>
      </c>
      <c r="I79" s="73">
        <v>7.39</v>
      </c>
      <c r="J79" s="73">
        <v>3.76</v>
      </c>
      <c r="K79" s="73">
        <v>10.4</v>
      </c>
      <c r="L79" s="73">
        <v>7.99</v>
      </c>
      <c r="M79" s="73">
        <v>7.77</v>
      </c>
      <c r="N79" s="73">
        <v>6.46</v>
      </c>
      <c r="O79" s="73">
        <v>7.11</v>
      </c>
      <c r="P79" s="73">
        <v>11.92</v>
      </c>
      <c r="Q79" s="73">
        <v>12.63</v>
      </c>
      <c r="R79" s="73">
        <v>8.7899999999999991</v>
      </c>
      <c r="S79" s="58">
        <v>9.33</v>
      </c>
      <c r="T79" s="73">
        <v>-1.62</v>
      </c>
      <c r="U79" s="73">
        <v>3.21</v>
      </c>
      <c r="V79" s="73">
        <v>0.96</v>
      </c>
      <c r="W79" s="73">
        <v>8.0399999999999991</v>
      </c>
      <c r="X79" s="73">
        <v>10.82</v>
      </c>
      <c r="Y79" s="73">
        <v>2.0299999999999998</v>
      </c>
      <c r="Z79" s="73">
        <v>2.12</v>
      </c>
      <c r="AA79" s="73">
        <v>10.07</v>
      </c>
      <c r="AB79" s="73">
        <v>8.09</v>
      </c>
      <c r="AC79" s="73">
        <v>12.48</v>
      </c>
      <c r="AD79" s="73">
        <v>-13.51</v>
      </c>
      <c r="AE79" s="73">
        <v>-3.39</v>
      </c>
      <c r="AF79" s="73">
        <v>-30.73</v>
      </c>
      <c r="AG79" s="73">
        <v>-34.729999999999997</v>
      </c>
      <c r="AH79" s="73">
        <v>-70.31</v>
      </c>
      <c r="AI79" s="73">
        <v>-16.88</v>
      </c>
      <c r="AJ79" s="73">
        <v>-11.23</v>
      </c>
      <c r="AK79" s="73">
        <v>-4.47</v>
      </c>
      <c r="AL79" s="73">
        <v>-25.97</v>
      </c>
      <c r="AM79" s="73">
        <v>-2.12</v>
      </c>
      <c r="AN79" s="73">
        <v>1.1499999999999999</v>
      </c>
      <c r="AO79" s="73">
        <v>-7.66</v>
      </c>
      <c r="AP79" s="73">
        <v>7.4</v>
      </c>
      <c r="AQ79" s="73">
        <v>6.38</v>
      </c>
      <c r="AR79" s="73">
        <v>-8.34</v>
      </c>
      <c r="AS79" s="73"/>
      <c r="AT79" s="73"/>
      <c r="AU79" s="73"/>
      <c r="AV79" s="73"/>
      <c r="AW79" s="73"/>
      <c r="AX79" s="73"/>
      <c r="AY79" s="74"/>
      <c r="AZ79" s="73">
        <v>-2.27</v>
      </c>
      <c r="BA79" s="74">
        <v>-159.31</v>
      </c>
      <c r="BB79" s="73">
        <v>-8.2899999999999991</v>
      </c>
      <c r="BC79" s="74">
        <v>-72.959999999999994</v>
      </c>
      <c r="BD79" s="73">
        <v>32.619999999999997</v>
      </c>
      <c r="BE79" s="74">
        <v>24.13</v>
      </c>
      <c r="BF79" s="73">
        <v>40.450000000000003</v>
      </c>
      <c r="BG79" s="74">
        <v>17.43</v>
      </c>
      <c r="BH79" s="73">
        <v>11.88</v>
      </c>
      <c r="BI79" s="74">
        <v>58.54</v>
      </c>
      <c r="BJ79" s="73">
        <v>23.01</v>
      </c>
      <c r="BK79" s="74">
        <v>38.11</v>
      </c>
      <c r="BL79" s="73">
        <v>17.13</v>
      </c>
      <c r="BM79" s="74">
        <v>37.74</v>
      </c>
      <c r="BN79" s="73">
        <v>-139.16</v>
      </c>
      <c r="BO79" s="74">
        <v>-3.06</v>
      </c>
      <c r="BP79" s="73">
        <v>-58.56</v>
      </c>
      <c r="BQ79" s="74">
        <v>-8.67</v>
      </c>
      <c r="BR79" s="73">
        <v>-1.25</v>
      </c>
      <c r="BS79" s="74">
        <v>-338.84</v>
      </c>
      <c r="BT79" s="73"/>
      <c r="BU79" s="74"/>
      <c r="BV79" s="73"/>
      <c r="BW79" s="74"/>
      <c r="BX79" s="74"/>
      <c r="BY79" s="71">
        <v>361.64458400000001</v>
      </c>
      <c r="BZ79" s="71">
        <v>604.81454900000006</v>
      </c>
      <c r="CA79" s="71">
        <v>786.99419431210197</v>
      </c>
      <c r="CB79" s="87">
        <v>705.18</v>
      </c>
      <c r="CC79" s="104">
        <v>695.36</v>
      </c>
      <c r="CD79" s="87">
        <v>877.03</v>
      </c>
      <c r="CE79" s="87">
        <v>646.46</v>
      </c>
      <c r="CF79" s="87">
        <v>426.16</v>
      </c>
      <c r="CG79" s="87">
        <v>507.43</v>
      </c>
      <c r="CH79" s="87">
        <v>422.18</v>
      </c>
      <c r="CI79" s="70" t="s">
        <v>78</v>
      </c>
    </row>
    <row r="80" spans="1:87" x14ac:dyDescent="0.2">
      <c r="A80" s="70" t="s">
        <v>79</v>
      </c>
      <c r="B80" s="173">
        <v>1033.6400000000001</v>
      </c>
      <c r="C80" s="73">
        <v>4.53</v>
      </c>
      <c r="D80" s="73">
        <v>-0.24</v>
      </c>
      <c r="E80" s="73">
        <v>0.4</v>
      </c>
      <c r="F80" s="73">
        <v>-5.68</v>
      </c>
      <c r="G80" s="73">
        <v>3.03</v>
      </c>
      <c r="H80" s="73">
        <v>4.09</v>
      </c>
      <c r="I80" s="73">
        <v>3.21</v>
      </c>
      <c r="J80" s="73">
        <v>3.81</v>
      </c>
      <c r="K80" s="73">
        <v>3.51</v>
      </c>
      <c r="L80" s="73">
        <v>4.32</v>
      </c>
      <c r="M80" s="73">
        <v>4.8099999999999996</v>
      </c>
      <c r="N80" s="73">
        <v>5.92</v>
      </c>
      <c r="O80" s="73">
        <v>3.37</v>
      </c>
      <c r="P80" s="73">
        <v>5.87</v>
      </c>
      <c r="Q80" s="73">
        <v>4.33</v>
      </c>
      <c r="R80" s="73">
        <v>5.7</v>
      </c>
      <c r="S80" s="58">
        <v>5.94</v>
      </c>
      <c r="T80" s="73">
        <v>5.9</v>
      </c>
      <c r="U80" s="73">
        <v>7.25</v>
      </c>
      <c r="V80" s="73">
        <v>7.03</v>
      </c>
      <c r="W80" s="73">
        <v>7.61</v>
      </c>
      <c r="X80" s="73">
        <v>6.71</v>
      </c>
      <c r="Y80" s="73">
        <v>7.05</v>
      </c>
      <c r="Z80" s="73">
        <v>8.48</v>
      </c>
      <c r="AA80" s="73">
        <v>8.6</v>
      </c>
      <c r="AB80" s="73">
        <v>8.89</v>
      </c>
      <c r="AC80" s="73">
        <v>7.4</v>
      </c>
      <c r="AD80" s="73">
        <v>9.98</v>
      </c>
      <c r="AE80" s="73">
        <v>8.25</v>
      </c>
      <c r="AF80" s="73">
        <v>9.11</v>
      </c>
      <c r="AG80" s="73">
        <v>8.51</v>
      </c>
      <c r="AH80" s="73">
        <v>7.48</v>
      </c>
      <c r="AI80" s="73">
        <v>8.9499999999999993</v>
      </c>
      <c r="AJ80" s="73">
        <v>9.4</v>
      </c>
      <c r="AK80" s="73">
        <v>12.23</v>
      </c>
      <c r="AL80" s="73">
        <v>12.65</v>
      </c>
      <c r="AM80" s="73">
        <v>13.63</v>
      </c>
      <c r="AN80" s="73">
        <v>13.79</v>
      </c>
      <c r="AO80" s="73">
        <v>8.76</v>
      </c>
      <c r="AP80" s="73">
        <v>18.02</v>
      </c>
      <c r="AQ80" s="73">
        <v>15.01</v>
      </c>
      <c r="AR80" s="73">
        <v>18.63</v>
      </c>
      <c r="AS80" s="73"/>
      <c r="AT80" s="73"/>
      <c r="AU80" s="73"/>
      <c r="AV80" s="73"/>
      <c r="AW80" s="73"/>
      <c r="AX80" s="73"/>
      <c r="AY80" s="74"/>
      <c r="AZ80" s="73">
        <v>-0.99</v>
      </c>
      <c r="BA80" s="74">
        <v>-394.99</v>
      </c>
      <c r="BB80" s="73">
        <v>14.14</v>
      </c>
      <c r="BC80" s="74">
        <v>29.89</v>
      </c>
      <c r="BD80" s="73">
        <v>18.55</v>
      </c>
      <c r="BE80" s="74">
        <v>26.4</v>
      </c>
      <c r="BF80" s="73">
        <v>19.28</v>
      </c>
      <c r="BG80" s="74">
        <v>23.37</v>
      </c>
      <c r="BH80" s="73">
        <v>26.11</v>
      </c>
      <c r="BI80" s="74">
        <v>19.690000000000001</v>
      </c>
      <c r="BJ80" s="73">
        <v>29.85</v>
      </c>
      <c r="BK80" s="74">
        <v>20.92</v>
      </c>
      <c r="BL80" s="73">
        <v>34.86</v>
      </c>
      <c r="BM80" s="74">
        <v>20.04</v>
      </c>
      <c r="BN80" s="73">
        <v>33.35</v>
      </c>
      <c r="BO80" s="74">
        <v>21.41</v>
      </c>
      <c r="BP80" s="73">
        <v>43.23</v>
      </c>
      <c r="BQ80" s="74">
        <v>20.89</v>
      </c>
      <c r="BR80" s="73">
        <v>54.19</v>
      </c>
      <c r="BS80" s="74">
        <v>18.649999999999999</v>
      </c>
      <c r="BT80" s="73"/>
      <c r="BU80" s="74"/>
      <c r="BV80" s="73"/>
      <c r="BW80" s="74"/>
      <c r="BX80" s="74"/>
      <c r="BY80" s="71">
        <v>391.04396000000003</v>
      </c>
      <c r="BZ80" s="71">
        <v>422.69019600000001</v>
      </c>
      <c r="CA80" s="71">
        <v>489.730853141198</v>
      </c>
      <c r="CB80" s="87">
        <v>450.51</v>
      </c>
      <c r="CC80" s="104">
        <v>514.14</v>
      </c>
      <c r="CD80" s="87">
        <v>624.6</v>
      </c>
      <c r="CE80" s="87">
        <v>698.47</v>
      </c>
      <c r="CF80" s="87">
        <v>713.89</v>
      </c>
      <c r="CG80" s="87">
        <v>902.91</v>
      </c>
      <c r="CH80" s="87">
        <v>1010.74</v>
      </c>
      <c r="CI80" s="70" t="s">
        <v>79</v>
      </c>
    </row>
    <row r="81" spans="1:87" x14ac:dyDescent="0.2">
      <c r="A81" s="70" t="s">
        <v>80</v>
      </c>
      <c r="B81" s="173">
        <v>2087.04</v>
      </c>
      <c r="C81" s="73">
        <v>4.21</v>
      </c>
      <c r="D81" s="73">
        <v>5.61</v>
      </c>
      <c r="E81" s="73">
        <v>3.23</v>
      </c>
      <c r="F81" s="73">
        <v>-0.97</v>
      </c>
      <c r="G81" s="73">
        <v>-7.01</v>
      </c>
      <c r="H81" s="73">
        <v>4.1100000000000003</v>
      </c>
      <c r="I81" s="73">
        <v>4.16</v>
      </c>
      <c r="J81" s="73">
        <v>4.95</v>
      </c>
      <c r="K81" s="73">
        <v>4.12</v>
      </c>
      <c r="L81" s="73">
        <v>3.66</v>
      </c>
      <c r="M81" s="73">
        <v>3.44</v>
      </c>
      <c r="N81" s="73">
        <v>3.34</v>
      </c>
      <c r="O81" s="73">
        <v>4.6399999999999997</v>
      </c>
      <c r="P81" s="73">
        <v>5.82</v>
      </c>
      <c r="Q81" s="73">
        <v>7.44</v>
      </c>
      <c r="R81" s="73">
        <v>6.68</v>
      </c>
      <c r="S81" s="58">
        <v>4.24</v>
      </c>
      <c r="T81" s="73">
        <v>6.18</v>
      </c>
      <c r="U81" s="73">
        <v>6.16</v>
      </c>
      <c r="V81" s="73">
        <v>3.41</v>
      </c>
      <c r="W81" s="73">
        <v>4.6100000000000003</v>
      </c>
      <c r="X81" s="73">
        <v>7.12</v>
      </c>
      <c r="Y81" s="73">
        <v>-1.1000000000000001</v>
      </c>
      <c r="Z81" s="73">
        <v>2.83</v>
      </c>
      <c r="AA81" s="73">
        <v>3.56</v>
      </c>
      <c r="AB81" s="73">
        <v>8.52</v>
      </c>
      <c r="AC81" s="73">
        <v>4.63</v>
      </c>
      <c r="AD81" s="73">
        <v>6.35</v>
      </c>
      <c r="AE81" s="73">
        <v>8.8800000000000008</v>
      </c>
      <c r="AF81" s="73">
        <v>10.98</v>
      </c>
      <c r="AG81" s="73">
        <v>8.4</v>
      </c>
      <c r="AH81" s="73">
        <v>11.2</v>
      </c>
      <c r="AI81" s="73">
        <v>10.73</v>
      </c>
      <c r="AJ81" s="73">
        <v>-1.83</v>
      </c>
      <c r="AK81" s="73">
        <v>10.39</v>
      </c>
      <c r="AL81" s="73">
        <v>7.73</v>
      </c>
      <c r="AM81" s="73">
        <v>10.35</v>
      </c>
      <c r="AN81" s="73">
        <v>0.62</v>
      </c>
      <c r="AO81" s="73">
        <v>8.8000000000000007</v>
      </c>
      <c r="AP81" s="73">
        <v>23.49</v>
      </c>
      <c r="AQ81" s="73">
        <v>11.12</v>
      </c>
      <c r="AR81" s="73">
        <v>18.670000000000002</v>
      </c>
      <c r="AS81" s="73"/>
      <c r="AT81" s="73"/>
      <c r="AU81" s="73"/>
      <c r="AV81" s="73"/>
      <c r="AW81" s="73"/>
      <c r="AX81" s="73"/>
      <c r="AY81" s="74"/>
      <c r="AZ81" s="73">
        <v>12.08</v>
      </c>
      <c r="BA81" s="74">
        <v>24.4</v>
      </c>
      <c r="BB81" s="73">
        <v>6.21</v>
      </c>
      <c r="BC81" s="74">
        <v>63.9</v>
      </c>
      <c r="BD81" s="73">
        <v>14.56</v>
      </c>
      <c r="BE81" s="74">
        <v>33.409999999999997</v>
      </c>
      <c r="BF81" s="73">
        <v>24.58</v>
      </c>
      <c r="BG81" s="74">
        <v>19.920000000000002</v>
      </c>
      <c r="BH81" s="73">
        <v>19.98</v>
      </c>
      <c r="BI81" s="74">
        <v>30.96</v>
      </c>
      <c r="BJ81" s="73">
        <v>13.47</v>
      </c>
      <c r="BK81" s="74">
        <v>66.8</v>
      </c>
      <c r="BL81" s="73">
        <v>23.07</v>
      </c>
      <c r="BM81" s="74">
        <v>48.08</v>
      </c>
      <c r="BN81" s="73">
        <v>39.46</v>
      </c>
      <c r="BO81" s="74">
        <v>30.6</v>
      </c>
      <c r="BP81" s="73">
        <v>27.01</v>
      </c>
      <c r="BQ81" s="74">
        <v>48.39</v>
      </c>
      <c r="BR81" s="73">
        <v>43.27</v>
      </c>
      <c r="BS81" s="74">
        <v>36.92</v>
      </c>
      <c r="BT81" s="73"/>
      <c r="BU81" s="74"/>
      <c r="BV81" s="73"/>
      <c r="BW81" s="74"/>
      <c r="BX81" s="74"/>
      <c r="BY81" s="71">
        <v>294.701729</v>
      </c>
      <c r="BZ81" s="71">
        <v>396.845347</v>
      </c>
      <c r="CA81" s="71">
        <v>486.41714820689998</v>
      </c>
      <c r="CB81" s="87">
        <v>489.76</v>
      </c>
      <c r="CC81" s="104">
        <v>618.70000000000005</v>
      </c>
      <c r="CD81" s="87">
        <v>899.75</v>
      </c>
      <c r="CE81" s="87">
        <v>1109.24</v>
      </c>
      <c r="CF81" s="87">
        <v>1207.49</v>
      </c>
      <c r="CG81" s="87">
        <v>1307.22</v>
      </c>
      <c r="CH81" s="87">
        <v>1597.71</v>
      </c>
      <c r="CI81" s="70" t="s">
        <v>80</v>
      </c>
    </row>
    <row r="82" spans="1:87" x14ac:dyDescent="0.2">
      <c r="A82" s="70" t="s">
        <v>81</v>
      </c>
      <c r="B82" s="173">
        <v>1079.8900000000001</v>
      </c>
      <c r="C82" s="73">
        <v>4.5199999999999996</v>
      </c>
      <c r="D82" s="73">
        <v>5.73</v>
      </c>
      <c r="E82" s="73">
        <v>1.71</v>
      </c>
      <c r="F82" s="73">
        <v>-3</v>
      </c>
      <c r="G82" s="73">
        <v>-1.65</v>
      </c>
      <c r="H82" s="73">
        <v>2.8</v>
      </c>
      <c r="I82" s="73">
        <v>3.36</v>
      </c>
      <c r="J82" s="73">
        <v>3.63</v>
      </c>
      <c r="K82" s="73">
        <v>3.64</v>
      </c>
      <c r="L82" s="73">
        <v>5.67</v>
      </c>
      <c r="M82" s="73">
        <v>5.74</v>
      </c>
      <c r="N82" s="73">
        <v>3.81</v>
      </c>
      <c r="O82" s="73">
        <v>5.19</v>
      </c>
      <c r="P82" s="73">
        <v>6.38</v>
      </c>
      <c r="Q82" s="73">
        <v>4.79</v>
      </c>
      <c r="R82" s="73">
        <v>4.55</v>
      </c>
      <c r="S82" s="58">
        <v>6.43</v>
      </c>
      <c r="T82" s="73">
        <v>7.66</v>
      </c>
      <c r="U82" s="73">
        <v>6.83</v>
      </c>
      <c r="V82" s="73">
        <v>2.16</v>
      </c>
      <c r="W82" s="73">
        <v>6.53</v>
      </c>
      <c r="X82" s="73">
        <v>8.76</v>
      </c>
      <c r="Y82" s="73">
        <v>9.57</v>
      </c>
      <c r="Z82" s="73">
        <v>7.49</v>
      </c>
      <c r="AA82" s="73">
        <v>6.61</v>
      </c>
      <c r="AB82" s="73">
        <v>10.17</v>
      </c>
      <c r="AC82" s="73">
        <v>9.4499999999999993</v>
      </c>
      <c r="AD82" s="73">
        <v>1.86</v>
      </c>
      <c r="AE82" s="73">
        <v>6.21</v>
      </c>
      <c r="AF82" s="73">
        <v>10.7</v>
      </c>
      <c r="AG82" s="73">
        <v>7</v>
      </c>
      <c r="AH82" s="73">
        <v>6.34</v>
      </c>
      <c r="AI82" s="73">
        <v>4.5</v>
      </c>
      <c r="AJ82" s="73">
        <v>10.16</v>
      </c>
      <c r="AK82" s="73">
        <v>10.220000000000001</v>
      </c>
      <c r="AL82" s="73">
        <v>5.48</v>
      </c>
      <c r="AM82" s="73">
        <v>7.65</v>
      </c>
      <c r="AN82" s="73">
        <v>11.98</v>
      </c>
      <c r="AO82" s="73">
        <v>12.41</v>
      </c>
      <c r="AP82" s="73">
        <v>19.940000000000001</v>
      </c>
      <c r="AQ82" s="73">
        <v>10.33</v>
      </c>
      <c r="AR82" s="73">
        <v>12.02</v>
      </c>
      <c r="AS82" s="73"/>
      <c r="AT82" s="73"/>
      <c r="AU82" s="73"/>
      <c r="AV82" s="73"/>
      <c r="AW82" s="73"/>
      <c r="AX82" s="73"/>
      <c r="AY82" s="74"/>
      <c r="AZ82" s="73">
        <v>8.9600000000000009</v>
      </c>
      <c r="BA82" s="74">
        <v>27.11</v>
      </c>
      <c r="BB82" s="73">
        <v>8.14</v>
      </c>
      <c r="BC82" s="74">
        <v>38.770000000000003</v>
      </c>
      <c r="BD82" s="73">
        <v>18.86</v>
      </c>
      <c r="BE82" s="74">
        <v>21.69</v>
      </c>
      <c r="BF82" s="73">
        <v>20.91</v>
      </c>
      <c r="BG82" s="74">
        <v>19.149999999999999</v>
      </c>
      <c r="BH82" s="73">
        <v>23.08</v>
      </c>
      <c r="BI82" s="74">
        <v>20.91</v>
      </c>
      <c r="BJ82" s="73">
        <v>32.340000000000003</v>
      </c>
      <c r="BK82" s="74">
        <v>21.25</v>
      </c>
      <c r="BL82" s="73">
        <v>28.09</v>
      </c>
      <c r="BM82" s="74">
        <v>24.54</v>
      </c>
      <c r="BN82" s="73">
        <v>30.25</v>
      </c>
      <c r="BO82" s="74">
        <v>21.82</v>
      </c>
      <c r="BP82" s="73">
        <v>30.36</v>
      </c>
      <c r="BQ82" s="74">
        <v>27.63</v>
      </c>
      <c r="BR82" s="73">
        <v>51.98</v>
      </c>
      <c r="BS82" s="74">
        <v>19.71</v>
      </c>
      <c r="BT82" s="73"/>
      <c r="BU82" s="74"/>
      <c r="BV82" s="73"/>
      <c r="BW82" s="74"/>
      <c r="BX82" s="74"/>
      <c r="BY82" s="71">
        <v>242.88265999999999</v>
      </c>
      <c r="BZ82" s="71">
        <v>315.55561299999999</v>
      </c>
      <c r="CA82" s="71">
        <v>409.05061502341601</v>
      </c>
      <c r="CB82" s="87">
        <v>400.42</v>
      </c>
      <c r="CC82" s="104">
        <v>482.54</v>
      </c>
      <c r="CD82" s="87">
        <v>687.4</v>
      </c>
      <c r="CE82" s="87">
        <v>689.46</v>
      </c>
      <c r="CF82" s="87">
        <v>659.95</v>
      </c>
      <c r="CG82" s="87">
        <v>838.63</v>
      </c>
      <c r="CH82" s="87">
        <v>1024.6099999999999</v>
      </c>
      <c r="CI82" s="70" t="s">
        <v>81</v>
      </c>
    </row>
    <row r="83" spans="1:87" x14ac:dyDescent="0.2">
      <c r="A83" s="70" t="s">
        <v>82</v>
      </c>
      <c r="B83" s="173">
        <v>2647.13</v>
      </c>
      <c r="C83" s="73">
        <v>8.3000000000000007</v>
      </c>
      <c r="D83" s="73">
        <v>3.35</v>
      </c>
      <c r="E83" s="73">
        <v>6.08</v>
      </c>
      <c r="F83" s="73">
        <v>-52.81</v>
      </c>
      <c r="G83" s="73">
        <v>-4.2300000000000004</v>
      </c>
      <c r="H83" s="73">
        <v>5.08</v>
      </c>
      <c r="I83" s="73">
        <v>5.8</v>
      </c>
      <c r="J83" s="73">
        <v>9.44</v>
      </c>
      <c r="K83" s="73">
        <v>9.11</v>
      </c>
      <c r="L83" s="73">
        <v>4.45</v>
      </c>
      <c r="M83" s="73">
        <v>14.44</v>
      </c>
      <c r="N83" s="73">
        <v>15.04</v>
      </c>
      <c r="O83" s="73">
        <v>12.98</v>
      </c>
      <c r="P83" s="73">
        <v>13.99</v>
      </c>
      <c r="Q83" s="73">
        <v>10.76</v>
      </c>
      <c r="R83" s="73">
        <v>1.72</v>
      </c>
      <c r="S83" s="58">
        <v>8.67</v>
      </c>
      <c r="T83" s="73">
        <v>14.84</v>
      </c>
      <c r="U83" s="73">
        <v>9.94</v>
      </c>
      <c r="V83" s="73">
        <v>11.53</v>
      </c>
      <c r="W83" s="73">
        <v>7.27</v>
      </c>
      <c r="X83" s="73">
        <v>9.1</v>
      </c>
      <c r="Y83" s="73">
        <v>9.2200000000000006</v>
      </c>
      <c r="Z83" s="73">
        <v>9.09</v>
      </c>
      <c r="AA83" s="73">
        <v>5.19</v>
      </c>
      <c r="AB83" s="73">
        <v>10.08</v>
      </c>
      <c r="AC83" s="73">
        <v>10.72</v>
      </c>
      <c r="AD83" s="73">
        <v>8.9499999999999993</v>
      </c>
      <c r="AE83" s="73">
        <v>5.04</v>
      </c>
      <c r="AF83" s="73">
        <v>5.19</v>
      </c>
      <c r="AG83" s="73">
        <v>9.8699999999999992</v>
      </c>
      <c r="AH83" s="73">
        <v>8.31</v>
      </c>
      <c r="AI83" s="73">
        <v>6.71</v>
      </c>
      <c r="AJ83" s="73">
        <v>7.45</v>
      </c>
      <c r="AK83" s="73">
        <v>11.44</v>
      </c>
      <c r="AL83" s="73">
        <v>14.94</v>
      </c>
      <c r="AM83" s="73">
        <v>12.14</v>
      </c>
      <c r="AN83" s="73">
        <v>14.18</v>
      </c>
      <c r="AO83" s="73">
        <v>24.24</v>
      </c>
      <c r="AP83" s="73">
        <v>3.14</v>
      </c>
      <c r="AQ83" s="73">
        <v>10.41</v>
      </c>
      <c r="AR83" s="73">
        <v>16.940000000000001</v>
      </c>
      <c r="AS83" s="73"/>
      <c r="AT83" s="73"/>
      <c r="AU83" s="73"/>
      <c r="AV83" s="73"/>
      <c r="AW83" s="73"/>
      <c r="AX83" s="73"/>
      <c r="AY83" s="74"/>
      <c r="AZ83" s="73">
        <v>-35.08</v>
      </c>
      <c r="BA83" s="74">
        <v>-15.05</v>
      </c>
      <c r="BB83" s="73">
        <v>16.09</v>
      </c>
      <c r="BC83" s="74">
        <v>51.92</v>
      </c>
      <c r="BD83" s="73">
        <v>43.03</v>
      </c>
      <c r="BE83" s="74">
        <v>25.69</v>
      </c>
      <c r="BF83" s="73">
        <v>39.44</v>
      </c>
      <c r="BG83" s="74">
        <v>24.72</v>
      </c>
      <c r="BH83" s="73">
        <v>44.98</v>
      </c>
      <c r="BI83" s="74">
        <v>24.88</v>
      </c>
      <c r="BJ83" s="73">
        <v>34.67</v>
      </c>
      <c r="BK83" s="74">
        <v>41.39</v>
      </c>
      <c r="BL83" s="73">
        <v>34.94</v>
      </c>
      <c r="BM83" s="74">
        <v>44.1</v>
      </c>
      <c r="BN83" s="73">
        <v>28.42</v>
      </c>
      <c r="BO83" s="74">
        <v>54.22</v>
      </c>
      <c r="BP83" s="73">
        <v>40.54</v>
      </c>
      <c r="BQ83" s="74">
        <v>45.86</v>
      </c>
      <c r="BR83" s="73">
        <v>53.69</v>
      </c>
      <c r="BS83" s="74">
        <v>43.07</v>
      </c>
      <c r="BT83" s="73"/>
      <c r="BU83" s="74"/>
      <c r="BV83" s="73"/>
      <c r="BW83" s="74"/>
      <c r="BX83" s="74"/>
      <c r="BY83" s="71">
        <v>528.07611299999996</v>
      </c>
      <c r="BZ83" s="71">
        <v>835.384862</v>
      </c>
      <c r="CA83" s="71">
        <v>1105.3769852549799</v>
      </c>
      <c r="CB83" s="87">
        <v>974.98</v>
      </c>
      <c r="CC83" s="104">
        <v>1119.05</v>
      </c>
      <c r="CD83" s="87">
        <v>1435.18</v>
      </c>
      <c r="CE83" s="87">
        <v>1541.03</v>
      </c>
      <c r="CF83" s="87">
        <v>1540.74</v>
      </c>
      <c r="CG83" s="87">
        <v>1859.31</v>
      </c>
      <c r="CH83" s="87">
        <v>2312.38</v>
      </c>
      <c r="CI83" s="70" t="s">
        <v>82</v>
      </c>
    </row>
    <row r="84" spans="1:87" x14ac:dyDescent="0.2">
      <c r="A84" s="70" t="s">
        <v>83</v>
      </c>
      <c r="B84" s="173">
        <v>514.16</v>
      </c>
      <c r="C84" s="73">
        <v>3.53</v>
      </c>
      <c r="D84" s="73">
        <v>3.95</v>
      </c>
      <c r="E84" s="73">
        <v>4.21</v>
      </c>
      <c r="F84" s="73">
        <v>-3.72</v>
      </c>
      <c r="G84" s="73">
        <v>1</v>
      </c>
      <c r="H84" s="73">
        <v>2.42</v>
      </c>
      <c r="I84" s="73">
        <v>2.87</v>
      </c>
      <c r="J84" s="73">
        <v>2.23</v>
      </c>
      <c r="K84" s="73">
        <v>2.0099999999999998</v>
      </c>
      <c r="L84" s="73">
        <v>4.51</v>
      </c>
      <c r="M84" s="73">
        <v>4.32</v>
      </c>
      <c r="N84" s="73">
        <v>2.99</v>
      </c>
      <c r="O84" s="73">
        <v>4.1900000000000004</v>
      </c>
      <c r="P84" s="73">
        <v>4.17</v>
      </c>
      <c r="Q84" s="73">
        <v>1.18</v>
      </c>
      <c r="R84" s="73">
        <v>3.35</v>
      </c>
      <c r="S84" s="58">
        <v>3.79</v>
      </c>
      <c r="T84" s="73">
        <v>4.1500000000000004</v>
      </c>
      <c r="U84" s="73">
        <v>2.77</v>
      </c>
      <c r="V84" s="73">
        <v>3.39</v>
      </c>
      <c r="W84" s="73">
        <v>4.2</v>
      </c>
      <c r="X84" s="73">
        <v>4.6399999999999997</v>
      </c>
      <c r="Y84" s="73">
        <v>5.73</v>
      </c>
      <c r="Z84" s="73">
        <v>4.63</v>
      </c>
      <c r="AA84" s="73">
        <v>3.2</v>
      </c>
      <c r="AB84" s="73">
        <v>4.6500000000000004</v>
      </c>
      <c r="AC84" s="73">
        <v>-14.16</v>
      </c>
      <c r="AD84" s="73">
        <v>-0.28000000000000003</v>
      </c>
      <c r="AE84" s="73">
        <v>3.91</v>
      </c>
      <c r="AF84" s="73">
        <v>2.21</v>
      </c>
      <c r="AG84" s="73">
        <v>1.79</v>
      </c>
      <c r="AH84" s="73">
        <v>-2.68</v>
      </c>
      <c r="AI84" s="73">
        <v>2.66</v>
      </c>
      <c r="AJ84" s="73">
        <v>4.9000000000000004</v>
      </c>
      <c r="AK84" s="73">
        <v>1.82</v>
      </c>
      <c r="AL84" s="73">
        <v>2.4900000000000002</v>
      </c>
      <c r="AM84" s="73">
        <v>4.8600000000000003</v>
      </c>
      <c r="AN84" s="73">
        <v>7.09</v>
      </c>
      <c r="AO84" s="73">
        <v>6.36</v>
      </c>
      <c r="AP84" s="73">
        <v>6.07</v>
      </c>
      <c r="AQ84" s="73">
        <v>6.1</v>
      </c>
      <c r="AR84" s="73">
        <v>9.83</v>
      </c>
      <c r="AS84" s="73"/>
      <c r="AT84" s="73"/>
      <c r="AU84" s="73"/>
      <c r="AV84" s="73"/>
      <c r="AW84" s="73"/>
      <c r="AX84" s="73"/>
      <c r="AY84" s="74"/>
      <c r="AZ84" s="73">
        <v>7.97</v>
      </c>
      <c r="BA84" s="74">
        <v>16.07</v>
      </c>
      <c r="BB84" s="73">
        <v>8.52</v>
      </c>
      <c r="BC84" s="74">
        <v>22.87</v>
      </c>
      <c r="BD84" s="73">
        <v>13.83</v>
      </c>
      <c r="BE84" s="74">
        <v>17.73</v>
      </c>
      <c r="BF84" s="73">
        <v>12.9</v>
      </c>
      <c r="BG84" s="74">
        <v>18.86</v>
      </c>
      <c r="BH84" s="73">
        <v>14.1</v>
      </c>
      <c r="BI84" s="74">
        <v>20.69</v>
      </c>
      <c r="BJ84" s="73">
        <v>19.2</v>
      </c>
      <c r="BK84" s="74">
        <v>18.600000000000001</v>
      </c>
      <c r="BL84" s="73">
        <v>-6.59</v>
      </c>
      <c r="BM84" s="74">
        <v>-56.57</v>
      </c>
      <c r="BN84" s="73">
        <v>5.23</v>
      </c>
      <c r="BO84" s="74">
        <v>60.85</v>
      </c>
      <c r="BP84" s="73">
        <v>11.86</v>
      </c>
      <c r="BQ84" s="74">
        <v>36.090000000000003</v>
      </c>
      <c r="BR84" s="73">
        <v>24.37</v>
      </c>
      <c r="BS84" s="74">
        <v>21</v>
      </c>
      <c r="BT84" s="73"/>
      <c r="BU84" s="74"/>
      <c r="BV84" s="73"/>
      <c r="BW84" s="74"/>
      <c r="BX84" s="74"/>
      <c r="BY84" s="71">
        <v>128.06459000000001</v>
      </c>
      <c r="BZ84" s="71">
        <v>194.888015</v>
      </c>
      <c r="CA84" s="71">
        <v>245.231305321018</v>
      </c>
      <c r="CB84" s="87">
        <v>243.2</v>
      </c>
      <c r="CC84" s="104">
        <v>291.69</v>
      </c>
      <c r="CD84" s="87">
        <v>357.13</v>
      </c>
      <c r="CE84" s="87">
        <v>372.73</v>
      </c>
      <c r="CF84" s="87">
        <v>318.49</v>
      </c>
      <c r="CG84" s="87">
        <v>428.14</v>
      </c>
      <c r="CH84" s="87">
        <v>511.92</v>
      </c>
      <c r="CI84" s="70" t="s">
        <v>83</v>
      </c>
    </row>
    <row r="85" spans="1:87" x14ac:dyDescent="0.2">
      <c r="A85" s="70" t="s">
        <v>84</v>
      </c>
      <c r="B85" s="173">
        <v>162.51</v>
      </c>
      <c r="C85" s="73">
        <v>2.81</v>
      </c>
      <c r="D85" s="73">
        <v>3.78</v>
      </c>
      <c r="E85" s="73">
        <v>4.34</v>
      </c>
      <c r="F85" s="73">
        <v>-4.6399999999999997</v>
      </c>
      <c r="G85" s="73">
        <v>3.31</v>
      </c>
      <c r="H85" s="73">
        <v>3.2</v>
      </c>
      <c r="I85" s="73">
        <v>2.4</v>
      </c>
      <c r="J85" s="73">
        <v>0.94</v>
      </c>
      <c r="K85" s="73">
        <v>1.66</v>
      </c>
      <c r="L85" s="73">
        <v>5.93</v>
      </c>
      <c r="M85" s="73">
        <v>1.81</v>
      </c>
      <c r="N85" s="73">
        <v>0.88</v>
      </c>
      <c r="O85" s="73">
        <v>1.51</v>
      </c>
      <c r="P85" s="73">
        <v>2.89</v>
      </c>
      <c r="Q85" s="73">
        <v>2.4</v>
      </c>
      <c r="R85" s="73">
        <v>0.31</v>
      </c>
      <c r="S85" s="58">
        <v>2.08</v>
      </c>
      <c r="T85" s="73">
        <v>1.8</v>
      </c>
      <c r="U85" s="73">
        <v>1.49</v>
      </c>
      <c r="V85" s="73">
        <v>-0.7</v>
      </c>
      <c r="W85" s="73">
        <v>0.45</v>
      </c>
      <c r="X85" s="73">
        <v>4.9400000000000004</v>
      </c>
      <c r="Y85" s="73">
        <v>-0.61</v>
      </c>
      <c r="Z85" s="73">
        <v>0.32</v>
      </c>
      <c r="AA85" s="73">
        <v>0.84</v>
      </c>
      <c r="AB85" s="73">
        <v>-0.28999999999999998</v>
      </c>
      <c r="AC85" s="73"/>
      <c r="AD85" s="73">
        <v>-1.62</v>
      </c>
      <c r="AE85" s="73">
        <v>14.36</v>
      </c>
      <c r="AF85" s="73">
        <v>1.91</v>
      </c>
      <c r="AG85" s="73">
        <v>4.17</v>
      </c>
      <c r="AH85" s="73">
        <v>-0.09</v>
      </c>
      <c r="AI85" s="73">
        <v>0.64</v>
      </c>
      <c r="AJ85" s="73">
        <v>2.27</v>
      </c>
      <c r="AK85" s="73">
        <v>1</v>
      </c>
      <c r="AL85" s="73">
        <v>-0.45</v>
      </c>
      <c r="AM85" s="73">
        <v>-4.37</v>
      </c>
      <c r="AN85" s="73">
        <v>-31.48</v>
      </c>
      <c r="AO85" s="73">
        <v>-11.02</v>
      </c>
      <c r="AP85" s="73">
        <v>13.48</v>
      </c>
      <c r="AQ85" s="73">
        <v>1.8</v>
      </c>
      <c r="AR85" s="73">
        <v>1.54</v>
      </c>
      <c r="AS85" s="73"/>
      <c r="AT85" s="73"/>
      <c r="AU85" s="73"/>
      <c r="AV85" s="73"/>
      <c r="AW85" s="73"/>
      <c r="AX85" s="73"/>
      <c r="AY85" s="74"/>
      <c r="AZ85" s="73">
        <v>6.29</v>
      </c>
      <c r="BA85" s="74">
        <v>22.76</v>
      </c>
      <c r="BB85" s="73">
        <v>9.85</v>
      </c>
      <c r="BC85" s="74">
        <v>16.41</v>
      </c>
      <c r="BD85" s="73">
        <v>10.28</v>
      </c>
      <c r="BE85" s="74">
        <v>17.829999999999998</v>
      </c>
      <c r="BF85" s="73">
        <v>7.11</v>
      </c>
      <c r="BG85" s="74">
        <v>23.09</v>
      </c>
      <c r="BH85" s="73">
        <v>4.67</v>
      </c>
      <c r="BI85" s="74">
        <v>40.18</v>
      </c>
      <c r="BJ85" s="73">
        <v>5.0999999999999996</v>
      </c>
      <c r="BK85" s="74">
        <v>43.58</v>
      </c>
      <c r="BM85" s="74">
        <v>272.64999999999998</v>
      </c>
      <c r="BN85" s="73">
        <v>20.350000000000001</v>
      </c>
      <c r="BO85" s="74">
        <v>11.54</v>
      </c>
      <c r="BP85" s="73">
        <v>3.45</v>
      </c>
      <c r="BQ85" s="74">
        <v>75.97</v>
      </c>
      <c r="BR85" s="73">
        <v>-33.39</v>
      </c>
      <c r="BS85" s="74">
        <v>-4.42</v>
      </c>
      <c r="BT85" s="73"/>
      <c r="BU85" s="74"/>
      <c r="BV85" s="73"/>
      <c r="BW85" s="74"/>
      <c r="BX85" s="74"/>
      <c r="BY85" s="71">
        <v>143.15840499999999</v>
      </c>
      <c r="BZ85" s="71">
        <v>161.645354</v>
      </c>
      <c r="CA85" s="71">
        <v>183.360245492996</v>
      </c>
      <c r="CB85" s="87">
        <v>164.14</v>
      </c>
      <c r="CC85" s="104">
        <v>187.72</v>
      </c>
      <c r="CD85" s="87">
        <v>222.36</v>
      </c>
      <c r="CE85" s="87">
        <v>272.64999999999998</v>
      </c>
      <c r="CF85" s="87">
        <v>234.88</v>
      </c>
      <c r="CG85" s="87">
        <v>261.92</v>
      </c>
      <c r="CH85" s="87">
        <v>147.5</v>
      </c>
      <c r="CI85" s="70" t="s">
        <v>84</v>
      </c>
    </row>
    <row r="86" spans="1:87" x14ac:dyDescent="0.2">
      <c r="A86" s="70" t="s">
        <v>85</v>
      </c>
      <c r="B86" s="173">
        <v>555.94000000000005</v>
      </c>
      <c r="C86" s="73">
        <v>4.84</v>
      </c>
      <c r="D86" s="73">
        <v>2.16</v>
      </c>
      <c r="E86" s="73">
        <v>5.01</v>
      </c>
      <c r="F86" s="73">
        <v>2.4300000000000002</v>
      </c>
      <c r="G86" s="73">
        <v>3.12</v>
      </c>
      <c r="H86" s="73">
        <v>2.65</v>
      </c>
      <c r="I86" s="73">
        <v>4.43</v>
      </c>
      <c r="J86" s="73">
        <v>3.05</v>
      </c>
      <c r="K86" s="73">
        <v>5.99</v>
      </c>
      <c r="L86" s="73">
        <v>2.44</v>
      </c>
      <c r="M86" s="73">
        <v>5.64</v>
      </c>
      <c r="N86" s="73">
        <v>3.07</v>
      </c>
      <c r="O86" s="73">
        <v>5.09</v>
      </c>
      <c r="P86" s="73">
        <v>2.93</v>
      </c>
      <c r="Q86" s="73">
        <v>5.73</v>
      </c>
      <c r="R86" s="73">
        <v>3.98</v>
      </c>
      <c r="S86" s="58">
        <v>4.34</v>
      </c>
      <c r="T86" s="73">
        <v>3.74</v>
      </c>
      <c r="U86" s="73">
        <v>6.61</v>
      </c>
      <c r="V86" s="73">
        <v>3.5</v>
      </c>
      <c r="W86" s="73">
        <v>5.33</v>
      </c>
      <c r="X86" s="73">
        <v>3.99</v>
      </c>
      <c r="Y86" s="73">
        <v>6.59</v>
      </c>
      <c r="Z86" s="73">
        <v>4.9000000000000004</v>
      </c>
      <c r="AA86" s="73">
        <v>6.61</v>
      </c>
      <c r="AB86" s="73">
        <v>3.96</v>
      </c>
      <c r="AC86" s="73">
        <v>6.98</v>
      </c>
      <c r="AD86" s="73">
        <v>4.82</v>
      </c>
      <c r="AE86" s="73">
        <v>4.21</v>
      </c>
      <c r="AF86" s="73">
        <v>1.75</v>
      </c>
      <c r="AG86" s="73">
        <v>3.44</v>
      </c>
      <c r="AH86" s="73">
        <v>2.15</v>
      </c>
      <c r="AI86" s="73">
        <v>5.52</v>
      </c>
      <c r="AJ86" s="73">
        <v>3.69</v>
      </c>
      <c r="AK86" s="73">
        <v>6.56</v>
      </c>
      <c r="AL86" s="73">
        <v>6.59</v>
      </c>
      <c r="AM86" s="73">
        <v>7.18</v>
      </c>
      <c r="AN86" s="73">
        <v>3.59</v>
      </c>
      <c r="AO86" s="73">
        <v>5.3</v>
      </c>
      <c r="AP86" s="73">
        <v>10.45</v>
      </c>
      <c r="AQ86" s="73">
        <v>8.7100000000000009</v>
      </c>
      <c r="AR86" s="73">
        <v>4.09</v>
      </c>
      <c r="AS86" s="73"/>
      <c r="AT86" s="73"/>
      <c r="AU86" s="73"/>
      <c r="AV86" s="73"/>
      <c r="AW86" s="73"/>
      <c r="AX86" s="73"/>
      <c r="AY86" s="74"/>
      <c r="AZ86" s="73">
        <v>14.44</v>
      </c>
      <c r="BA86" s="74">
        <v>14.53</v>
      </c>
      <c r="BB86" s="73">
        <v>13.25</v>
      </c>
      <c r="BC86" s="74">
        <v>18.36</v>
      </c>
      <c r="BD86" s="73">
        <v>17.13</v>
      </c>
      <c r="BE86" s="74">
        <v>15.61</v>
      </c>
      <c r="BF86" s="73">
        <v>17.739999999999998</v>
      </c>
      <c r="BG86" s="74">
        <v>16.97</v>
      </c>
      <c r="BH86" s="73">
        <v>18.190000000000001</v>
      </c>
      <c r="BI86" s="74">
        <v>16.829999999999998</v>
      </c>
      <c r="BJ86" s="73">
        <v>20.81</v>
      </c>
      <c r="BK86" s="74">
        <v>18.09</v>
      </c>
      <c r="BL86" s="73">
        <v>22.37</v>
      </c>
      <c r="BM86" s="74">
        <v>19.399999999999999</v>
      </c>
      <c r="BN86" s="73">
        <v>11.56</v>
      </c>
      <c r="BO86" s="74">
        <v>34.19</v>
      </c>
      <c r="BP86" s="73">
        <v>22.37</v>
      </c>
      <c r="BQ86" s="74">
        <v>21.84</v>
      </c>
      <c r="BR86" s="73">
        <v>26.52</v>
      </c>
      <c r="BS86" s="74">
        <v>19.899999999999999</v>
      </c>
      <c r="BT86" s="73"/>
      <c r="BU86" s="74"/>
      <c r="BV86" s="73"/>
      <c r="BW86" s="74"/>
      <c r="BX86" s="74"/>
      <c r="BY86" s="71">
        <v>209.869193</v>
      </c>
      <c r="BZ86" s="71">
        <v>243.21781100000001</v>
      </c>
      <c r="CA86" s="71">
        <v>267.44165166607797</v>
      </c>
      <c r="CB86" s="87">
        <v>300.99</v>
      </c>
      <c r="CC86" s="104">
        <v>306.13</v>
      </c>
      <c r="CD86" s="87">
        <v>376.37</v>
      </c>
      <c r="CE86" s="87">
        <v>433.87</v>
      </c>
      <c r="CF86" s="87">
        <v>395.09</v>
      </c>
      <c r="CG86" s="87">
        <v>488.45</v>
      </c>
      <c r="CH86" s="87">
        <v>527.86</v>
      </c>
      <c r="CI86" s="70" t="s">
        <v>85</v>
      </c>
    </row>
    <row r="87" spans="1:87" x14ac:dyDescent="0.2">
      <c r="A87" s="70" t="s">
        <v>336</v>
      </c>
      <c r="B87" s="173">
        <v>234.42</v>
      </c>
      <c r="C87" s="73"/>
      <c r="D87" s="73"/>
      <c r="E87" s="73"/>
      <c r="F87" s="73"/>
      <c r="G87" s="73"/>
      <c r="H87" s="73"/>
      <c r="I87" s="73"/>
      <c r="J87" s="73"/>
      <c r="K87" s="73"/>
      <c r="L87" s="73"/>
      <c r="M87" s="73"/>
      <c r="N87" s="73"/>
      <c r="O87" s="73"/>
      <c r="P87" s="73"/>
      <c r="Q87" s="73"/>
      <c r="R87" s="73"/>
      <c r="S87" s="58"/>
      <c r="T87" s="73"/>
      <c r="U87" s="73"/>
      <c r="V87" s="73"/>
      <c r="W87" s="73">
        <v>1.1000000000000001</v>
      </c>
      <c r="X87" s="73">
        <v>0.85</v>
      </c>
      <c r="Y87" s="73">
        <v>0.86</v>
      </c>
      <c r="Z87" s="73">
        <v>1.21</v>
      </c>
      <c r="AA87" s="73">
        <v>1.52</v>
      </c>
      <c r="AB87" s="73">
        <v>1.5</v>
      </c>
      <c r="AC87" s="73">
        <v>1.66</v>
      </c>
      <c r="AD87" s="73">
        <v>2.31</v>
      </c>
      <c r="AE87" s="73">
        <v>1.46</v>
      </c>
      <c r="AF87" s="73">
        <v>1.64</v>
      </c>
      <c r="AG87" s="73">
        <v>1.76</v>
      </c>
      <c r="AH87" s="73">
        <v>1.5</v>
      </c>
      <c r="AI87" s="73">
        <v>1.73</v>
      </c>
      <c r="AJ87" s="73">
        <v>1.79</v>
      </c>
      <c r="AK87" s="73">
        <v>2.15</v>
      </c>
      <c r="AL87" s="73">
        <v>2.11</v>
      </c>
      <c r="AM87" s="73">
        <v>1.67</v>
      </c>
      <c r="AN87" s="73">
        <v>1.69</v>
      </c>
      <c r="AO87" s="73">
        <v>1.21</v>
      </c>
      <c r="AP87" s="73">
        <v>2.2799999999999998</v>
      </c>
      <c r="AQ87" s="73">
        <v>2.1800000000000002</v>
      </c>
      <c r="AR87" s="73">
        <v>2.61</v>
      </c>
      <c r="AS87" s="73"/>
      <c r="AT87" s="73"/>
      <c r="AU87" s="73"/>
      <c r="AV87" s="73"/>
      <c r="AW87" s="73"/>
      <c r="AX87" s="73"/>
      <c r="AY87" s="74"/>
      <c r="BA87" s="74"/>
      <c r="BC87" s="74"/>
      <c r="BE87" s="74"/>
      <c r="BG87" s="74"/>
      <c r="BI87" s="74"/>
      <c r="BJ87" s="73">
        <v>4.01</v>
      </c>
      <c r="BK87" s="74">
        <v>41.67</v>
      </c>
      <c r="BL87" s="73">
        <v>6.99</v>
      </c>
      <c r="BM87" s="74">
        <v>29.83</v>
      </c>
      <c r="BN87" s="73">
        <v>6.35</v>
      </c>
      <c r="BO87" s="74">
        <v>32.71</v>
      </c>
      <c r="BP87" s="73">
        <v>7.78</v>
      </c>
      <c r="BQ87" s="74">
        <v>29.47</v>
      </c>
      <c r="BR87" s="73">
        <v>6.85</v>
      </c>
      <c r="BS87" s="74">
        <v>33.270000000000003</v>
      </c>
      <c r="BT87" s="73"/>
      <c r="BU87" s="74"/>
      <c r="BV87" s="73"/>
      <c r="BW87" s="74"/>
      <c r="BX87" s="74"/>
      <c r="BY87" s="71"/>
      <c r="BZ87" s="71"/>
      <c r="CA87" s="71"/>
      <c r="CD87" s="87"/>
      <c r="CE87" s="87"/>
      <c r="CF87" s="87"/>
      <c r="CG87" s="87">
        <v>229.19</v>
      </c>
      <c r="CH87" s="87">
        <v>227.79</v>
      </c>
    </row>
    <row r="88" spans="1:87" x14ac:dyDescent="0.2">
      <c r="B88" s="173"/>
      <c r="C88" s="73"/>
      <c r="D88" s="73"/>
      <c r="E88" s="73"/>
      <c r="F88" s="73"/>
      <c r="G88" s="73"/>
      <c r="H88" s="73"/>
      <c r="I88" s="73"/>
      <c r="J88" s="73"/>
      <c r="K88" s="73"/>
      <c r="L88" s="73"/>
      <c r="M88" s="73"/>
      <c r="N88" s="73"/>
      <c r="O88" s="73"/>
      <c r="P88" s="73"/>
      <c r="Q88" s="73"/>
      <c r="R88" s="73"/>
      <c r="S88" s="58"/>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4"/>
      <c r="BA88" s="74"/>
      <c r="BC88" s="74"/>
      <c r="BE88" s="74"/>
      <c r="BG88" s="74"/>
      <c r="BI88" s="74"/>
      <c r="BK88" s="74"/>
      <c r="BM88" s="74"/>
      <c r="BO88" s="74"/>
      <c r="BQ88" s="74"/>
      <c r="BR88" s="73"/>
      <c r="BS88" s="74"/>
      <c r="BT88" s="73"/>
      <c r="BU88" s="74"/>
      <c r="BV88" s="73"/>
      <c r="BW88" s="74"/>
      <c r="BX88" s="74"/>
      <c r="CD88" s="87"/>
      <c r="CE88" s="87"/>
      <c r="CF88" s="87"/>
      <c r="CG88" s="87"/>
      <c r="CH88" s="87"/>
    </row>
    <row r="89" spans="1:87" x14ac:dyDescent="0.2">
      <c r="A89" s="70" t="s">
        <v>86</v>
      </c>
      <c r="B89" s="173">
        <v>1079.92</v>
      </c>
      <c r="C89" s="73">
        <v>3.12</v>
      </c>
      <c r="D89" s="73">
        <v>1.61</v>
      </c>
      <c r="E89" s="73">
        <v>0.25</v>
      </c>
      <c r="F89" s="73">
        <v>-11.31</v>
      </c>
      <c r="G89" s="73">
        <v>-1.92</v>
      </c>
      <c r="H89" s="73">
        <v>0.69</v>
      </c>
      <c r="I89" s="73">
        <v>1.45</v>
      </c>
      <c r="J89" s="73">
        <v>2.04</v>
      </c>
      <c r="K89" s="73">
        <v>3</v>
      </c>
      <c r="L89" s="73">
        <v>3.29</v>
      </c>
      <c r="M89" s="73">
        <v>4.07</v>
      </c>
      <c r="N89" s="73">
        <v>3.62</v>
      </c>
      <c r="O89" s="73">
        <v>4.0999999999999996</v>
      </c>
      <c r="P89" s="73">
        <v>4.6100000000000003</v>
      </c>
      <c r="Q89" s="73">
        <v>3.59</v>
      </c>
      <c r="R89" s="73">
        <v>3.38</v>
      </c>
      <c r="S89" s="58">
        <v>4.7300000000000004</v>
      </c>
      <c r="T89" s="73">
        <v>3.72</v>
      </c>
      <c r="U89" s="73">
        <v>4.58</v>
      </c>
      <c r="V89" s="73">
        <v>3.3</v>
      </c>
      <c r="W89" s="73">
        <v>4.68</v>
      </c>
      <c r="X89" s="73">
        <v>5.34</v>
      </c>
      <c r="Y89" s="73">
        <v>5.54</v>
      </c>
      <c r="Z89" s="73">
        <v>5.37</v>
      </c>
      <c r="AA89" s="73">
        <v>4.8499999999999996</v>
      </c>
      <c r="AB89" s="73">
        <v>5.44</v>
      </c>
      <c r="AC89" s="73">
        <v>5.72</v>
      </c>
      <c r="AD89" s="73">
        <v>4.78</v>
      </c>
      <c r="AE89" s="73">
        <v>3.14</v>
      </c>
      <c r="AF89" s="73">
        <v>3.89</v>
      </c>
      <c r="AG89" s="73">
        <v>2.67</v>
      </c>
      <c r="AH89" s="73">
        <v>0.09</v>
      </c>
      <c r="AI89" s="73">
        <v>3.85</v>
      </c>
      <c r="AJ89" s="73">
        <v>5.19</v>
      </c>
      <c r="AK89" s="73">
        <v>4.83</v>
      </c>
      <c r="AL89" s="73">
        <v>3.16</v>
      </c>
      <c r="AM89" s="73">
        <v>4.3</v>
      </c>
      <c r="AN89" s="73">
        <v>5.37</v>
      </c>
      <c r="AO89" s="73">
        <v>5.41</v>
      </c>
      <c r="AP89" s="73">
        <v>3.48</v>
      </c>
      <c r="AQ89" s="73">
        <v>7.13</v>
      </c>
      <c r="AR89" s="73">
        <v>7.21</v>
      </c>
      <c r="AS89" s="73"/>
      <c r="AT89" s="73"/>
      <c r="AU89" s="73"/>
      <c r="AV89" s="73"/>
      <c r="AW89" s="73"/>
      <c r="AX89" s="73"/>
      <c r="AY89" s="74"/>
      <c r="AZ89" s="73">
        <v>-6.33</v>
      </c>
      <c r="BA89" s="74">
        <v>-42.45</v>
      </c>
      <c r="BB89" s="73">
        <v>2.2599999999999998</v>
      </c>
      <c r="BC89" s="74">
        <v>147.18</v>
      </c>
      <c r="BD89" s="73">
        <v>13.98</v>
      </c>
      <c r="BE89" s="74">
        <v>29.73</v>
      </c>
      <c r="BF89" s="73">
        <v>15.68</v>
      </c>
      <c r="BG89" s="74">
        <v>26.47</v>
      </c>
      <c r="BH89" s="73">
        <v>16.32</v>
      </c>
      <c r="BI89" s="74">
        <v>29.19</v>
      </c>
      <c r="BJ89" s="73">
        <v>20.94</v>
      </c>
      <c r="BK89" s="74">
        <v>31.79</v>
      </c>
      <c r="BL89" s="73">
        <v>20.79</v>
      </c>
      <c r="BM89" s="74">
        <v>33.43</v>
      </c>
      <c r="BN89" s="73">
        <v>9.7899999999999991</v>
      </c>
      <c r="BO89" s="74">
        <v>68.62</v>
      </c>
      <c r="BP89" s="73">
        <v>17.04</v>
      </c>
      <c r="BQ89" s="74">
        <v>49.19</v>
      </c>
      <c r="BR89" s="73">
        <v>18.559999999999999</v>
      </c>
      <c r="BS89" s="74">
        <v>50.44</v>
      </c>
      <c r="BT89" s="73"/>
      <c r="BU89" s="74"/>
      <c r="BV89" s="73"/>
      <c r="BW89" s="74"/>
      <c r="BX89" s="74"/>
      <c r="BY89" s="71">
        <v>268.73003299999999</v>
      </c>
      <c r="BZ89" s="71">
        <v>332.63385699999998</v>
      </c>
      <c r="CA89" s="71">
        <v>415.72857196557999</v>
      </c>
      <c r="CB89" s="87">
        <v>415.07</v>
      </c>
      <c r="CC89" s="104">
        <v>476.57</v>
      </c>
      <c r="CD89" s="87">
        <v>665.54</v>
      </c>
      <c r="CE89" s="87">
        <v>695.08</v>
      </c>
      <c r="CF89" s="87">
        <v>671.74</v>
      </c>
      <c r="CG89" s="87">
        <v>837.96</v>
      </c>
      <c r="CH89" s="87">
        <v>936.26</v>
      </c>
      <c r="CI89" s="70" t="s">
        <v>86</v>
      </c>
    </row>
    <row r="90" spans="1:87" x14ac:dyDescent="0.2">
      <c r="A90" s="70" t="s">
        <v>87</v>
      </c>
      <c r="B90" s="173">
        <v>643.96</v>
      </c>
      <c r="C90" s="73">
        <v>0.86</v>
      </c>
      <c r="D90" s="73">
        <v>-3.3</v>
      </c>
      <c r="E90" s="73">
        <v>-5.08</v>
      </c>
      <c r="F90" s="73">
        <v>-15.62</v>
      </c>
      <c r="G90" s="73">
        <v>-0.95</v>
      </c>
      <c r="H90" s="73">
        <v>-0.85</v>
      </c>
      <c r="I90" s="73">
        <v>1.8</v>
      </c>
      <c r="J90" s="73">
        <v>1.38</v>
      </c>
      <c r="K90" s="73">
        <v>2.21</v>
      </c>
      <c r="L90" s="73">
        <v>2.0099999999999998</v>
      </c>
      <c r="M90" s="73">
        <v>2.96</v>
      </c>
      <c r="N90" s="73">
        <v>1.4</v>
      </c>
      <c r="O90" s="73">
        <v>2.42</v>
      </c>
      <c r="P90" s="73">
        <v>2.68</v>
      </c>
      <c r="Q90" s="73">
        <v>3.45</v>
      </c>
      <c r="R90" s="73">
        <v>2.5</v>
      </c>
      <c r="S90" s="58">
        <v>3.21</v>
      </c>
      <c r="T90" s="73">
        <v>3.01</v>
      </c>
      <c r="U90" s="73">
        <v>4.53</v>
      </c>
      <c r="V90" s="73">
        <v>-0.17</v>
      </c>
      <c r="W90" s="73">
        <v>3.52</v>
      </c>
      <c r="X90" s="73">
        <v>4.9400000000000004</v>
      </c>
      <c r="Y90" s="73">
        <v>4.45</v>
      </c>
      <c r="Z90" s="73">
        <v>2.96</v>
      </c>
      <c r="AA90" s="73">
        <v>3</v>
      </c>
      <c r="AB90" s="73">
        <v>3.19</v>
      </c>
      <c r="AC90" s="73">
        <v>3.9</v>
      </c>
      <c r="AD90" s="73">
        <v>4.45</v>
      </c>
      <c r="AE90" s="73">
        <v>4.3099999999999996</v>
      </c>
      <c r="AF90" s="73">
        <v>4.0999999999999996</v>
      </c>
      <c r="AG90" s="73">
        <v>2.66</v>
      </c>
      <c r="AH90" s="73">
        <v>-2.1800000000000002</v>
      </c>
      <c r="AI90" s="73">
        <v>4.42</v>
      </c>
      <c r="AJ90" s="73">
        <v>6.58</v>
      </c>
      <c r="AK90" s="73">
        <v>5.4</v>
      </c>
      <c r="AL90" s="73">
        <v>3.64</v>
      </c>
      <c r="AM90" s="73">
        <v>-0.94</v>
      </c>
      <c r="AN90" s="73">
        <v>1.92</v>
      </c>
      <c r="AO90" s="73">
        <v>3.31</v>
      </c>
      <c r="AP90" s="73">
        <v>5.33</v>
      </c>
      <c r="AQ90" s="73">
        <v>5.05</v>
      </c>
      <c r="AR90" s="73">
        <v>6.49</v>
      </c>
      <c r="AS90" s="73"/>
      <c r="AT90" s="73"/>
      <c r="AU90" s="73"/>
      <c r="AV90" s="73"/>
      <c r="AW90" s="73"/>
      <c r="AX90" s="73"/>
      <c r="AY90" s="74"/>
      <c r="AZ90" s="73">
        <v>-23.14</v>
      </c>
      <c r="BA90" s="74">
        <v>-5.41</v>
      </c>
      <c r="BB90" s="73">
        <v>1.38</v>
      </c>
      <c r="BC90" s="74">
        <v>136.63</v>
      </c>
      <c r="BD90" s="73">
        <v>8.59</v>
      </c>
      <c r="BE90" s="74">
        <v>29.62</v>
      </c>
      <c r="BF90" s="73">
        <v>11.04</v>
      </c>
      <c r="BG90" s="74">
        <v>22.32</v>
      </c>
      <c r="BH90" s="73">
        <v>10.59</v>
      </c>
      <c r="BI90" s="74">
        <v>28.67</v>
      </c>
      <c r="BJ90" s="73">
        <v>15.87</v>
      </c>
      <c r="BK90" s="74">
        <v>28.25</v>
      </c>
      <c r="BL90" s="73">
        <v>14.54</v>
      </c>
      <c r="BM90" s="74">
        <v>32.07</v>
      </c>
      <c r="BN90" s="73">
        <v>8.89</v>
      </c>
      <c r="BO90" s="74">
        <v>47.42</v>
      </c>
      <c r="BP90" s="73">
        <v>20.04</v>
      </c>
      <c r="BQ90" s="74">
        <v>24.11</v>
      </c>
      <c r="BR90" s="73">
        <v>9.6300000000000008</v>
      </c>
      <c r="BS90" s="74">
        <v>58.12</v>
      </c>
      <c r="BT90" s="73"/>
      <c r="BU90" s="74"/>
      <c r="BV90" s="73"/>
      <c r="BW90" s="74"/>
      <c r="BX90" s="74"/>
      <c r="BY90" s="71">
        <v>125.120938</v>
      </c>
      <c r="BZ90" s="71">
        <v>188.551579</v>
      </c>
      <c r="CA90" s="71">
        <v>254.457481513792</v>
      </c>
      <c r="CB90" s="87">
        <v>246.53</v>
      </c>
      <c r="CC90" s="104">
        <v>303.55</v>
      </c>
      <c r="CD90" s="87">
        <v>448.34</v>
      </c>
      <c r="CE90" s="87">
        <v>466.27</v>
      </c>
      <c r="CF90" s="87">
        <v>421.45</v>
      </c>
      <c r="CG90" s="87">
        <v>483.14</v>
      </c>
      <c r="CH90" s="87">
        <v>559.41</v>
      </c>
      <c r="CI90" s="70" t="s">
        <v>87</v>
      </c>
    </row>
    <row r="91" spans="1:87" x14ac:dyDescent="0.2">
      <c r="A91" s="70" t="s">
        <v>88</v>
      </c>
      <c r="B91" s="173">
        <v>1989.84</v>
      </c>
      <c r="C91" s="73">
        <v>2.54</v>
      </c>
      <c r="D91" s="73">
        <v>1.69</v>
      </c>
      <c r="E91" s="73">
        <v>-7.49</v>
      </c>
      <c r="F91" s="73">
        <v>3</v>
      </c>
      <c r="G91" s="73">
        <v>3.17</v>
      </c>
      <c r="H91" s="73">
        <v>6.25</v>
      </c>
      <c r="I91" s="73">
        <v>5.09</v>
      </c>
      <c r="J91" s="73">
        <v>-8.8800000000000008</v>
      </c>
      <c r="K91" s="73">
        <v>3.41</v>
      </c>
      <c r="L91" s="73">
        <v>6.2</v>
      </c>
      <c r="M91" s="73">
        <v>6.46</v>
      </c>
      <c r="N91" s="73">
        <v>5.79</v>
      </c>
      <c r="O91" s="73">
        <v>5.91</v>
      </c>
      <c r="P91" s="73">
        <v>9.51</v>
      </c>
      <c r="Q91" s="73">
        <v>9.0500000000000007</v>
      </c>
      <c r="R91" s="73">
        <v>9.33</v>
      </c>
      <c r="S91" s="58">
        <v>11.41</v>
      </c>
      <c r="T91" s="73">
        <v>9.2100000000000009</v>
      </c>
      <c r="U91" s="73">
        <v>11.1</v>
      </c>
      <c r="V91" s="73">
        <v>9.7799999999999994</v>
      </c>
      <c r="W91" s="73">
        <v>12.77</v>
      </c>
      <c r="X91" s="73">
        <v>5.59</v>
      </c>
      <c r="Y91" s="73">
        <v>9.02</v>
      </c>
      <c r="Z91" s="73">
        <v>9.24</v>
      </c>
      <c r="AA91" s="73">
        <v>4.3499999999999996</v>
      </c>
      <c r="AB91" s="73">
        <v>16.11</v>
      </c>
      <c r="AC91" s="73">
        <v>14.71</v>
      </c>
      <c r="AD91" s="73">
        <v>19.32</v>
      </c>
      <c r="AE91" s="73">
        <v>17.579999999999998</v>
      </c>
      <c r="AF91" s="73">
        <v>16.28</v>
      </c>
      <c r="AG91" s="73">
        <v>16.37</v>
      </c>
      <c r="AH91" s="73">
        <v>18.55</v>
      </c>
      <c r="AI91" s="73">
        <v>20.22</v>
      </c>
      <c r="AJ91" s="73">
        <v>17.63</v>
      </c>
      <c r="AK91" s="73">
        <v>18.170000000000002</v>
      </c>
      <c r="AL91" s="73">
        <v>12.7</v>
      </c>
      <c r="AM91" s="73">
        <v>11.47</v>
      </c>
      <c r="AN91" s="73">
        <v>15.75</v>
      </c>
      <c r="AO91" s="73">
        <v>-0.75</v>
      </c>
      <c r="AP91" s="73">
        <v>43.37</v>
      </c>
      <c r="AQ91" s="73">
        <v>23.72</v>
      </c>
      <c r="AR91" s="73">
        <v>5.05</v>
      </c>
      <c r="AS91" s="73"/>
      <c r="AT91" s="73"/>
      <c r="AU91" s="73"/>
      <c r="AV91" s="73"/>
      <c r="AW91" s="73"/>
      <c r="AX91" s="73"/>
      <c r="AY91" s="74"/>
      <c r="AZ91" s="73">
        <v>-0.26</v>
      </c>
      <c r="BA91" s="74">
        <v>-1581.48</v>
      </c>
      <c r="BB91" s="73">
        <v>5.63</v>
      </c>
      <c r="BC91" s="74">
        <v>100.71</v>
      </c>
      <c r="BD91" s="73">
        <v>21.86</v>
      </c>
      <c r="BE91" s="74">
        <v>32.43</v>
      </c>
      <c r="BF91" s="73">
        <v>33.81</v>
      </c>
      <c r="BG91" s="74">
        <v>22.53</v>
      </c>
      <c r="BH91" s="73">
        <v>41.5</v>
      </c>
      <c r="BI91" s="74">
        <v>20.62</v>
      </c>
      <c r="BJ91" s="73">
        <v>36.61</v>
      </c>
      <c r="BK91" s="74">
        <v>33.520000000000003</v>
      </c>
      <c r="BL91" s="73">
        <v>54.48</v>
      </c>
      <c r="BM91" s="74">
        <v>24.63</v>
      </c>
      <c r="BN91" s="73">
        <v>68.77</v>
      </c>
      <c r="BO91" s="74">
        <v>19.3</v>
      </c>
      <c r="BP91" s="73">
        <v>68.72</v>
      </c>
      <c r="BQ91" s="74">
        <v>23.98</v>
      </c>
      <c r="BR91" s="73">
        <v>69.83</v>
      </c>
      <c r="BS91" s="74">
        <v>25.39</v>
      </c>
      <c r="BT91" s="73"/>
      <c r="BU91" s="74"/>
      <c r="BV91" s="73"/>
      <c r="BW91" s="74"/>
      <c r="BX91" s="74"/>
      <c r="BY91" s="71">
        <v>411.18553700000001</v>
      </c>
      <c r="BZ91" s="71">
        <v>566.97425799999996</v>
      </c>
      <c r="CA91" s="71">
        <v>708.93524962621302</v>
      </c>
      <c r="CB91" s="87">
        <v>761.75</v>
      </c>
      <c r="CC91" s="104">
        <v>855.92</v>
      </c>
      <c r="CD91" s="87">
        <v>1227.1199999999999</v>
      </c>
      <c r="CE91" s="87">
        <v>1341.7</v>
      </c>
      <c r="CF91" s="87">
        <v>1327.38</v>
      </c>
      <c r="CG91" s="87">
        <v>1647.99</v>
      </c>
      <c r="CH91" s="87">
        <v>1773.17</v>
      </c>
      <c r="CI91" s="70" t="s">
        <v>88</v>
      </c>
    </row>
    <row r="92" spans="1:87" x14ac:dyDescent="0.2">
      <c r="A92" s="70" t="s">
        <v>89</v>
      </c>
      <c r="B92" s="173">
        <v>584.87</v>
      </c>
      <c r="C92" s="73">
        <v>15.83</v>
      </c>
      <c r="D92" s="73">
        <v>20.05</v>
      </c>
      <c r="E92" s="73">
        <v>32.11</v>
      </c>
      <c r="F92" s="73">
        <v>-70.7</v>
      </c>
      <c r="G92" s="73">
        <v>-9.48</v>
      </c>
      <c r="H92" s="73">
        <v>2.2599999999999998</v>
      </c>
      <c r="I92" s="73">
        <v>4.6900000000000004</v>
      </c>
      <c r="J92" s="73">
        <v>-1.44</v>
      </c>
      <c r="K92" s="73">
        <v>8.93</v>
      </c>
      <c r="L92" s="73">
        <v>11.55</v>
      </c>
      <c r="M92" s="73">
        <v>15</v>
      </c>
      <c r="N92" s="73">
        <v>6.4</v>
      </c>
      <c r="O92" s="73">
        <v>11.84</v>
      </c>
      <c r="P92" s="73">
        <v>20.34</v>
      </c>
      <c r="Q92" s="73">
        <v>15.72</v>
      </c>
      <c r="R92" s="73">
        <v>8.33</v>
      </c>
      <c r="S92" s="58">
        <v>10.95</v>
      </c>
      <c r="T92" s="73">
        <v>1.9</v>
      </c>
      <c r="U92" s="73">
        <v>3.97</v>
      </c>
      <c r="V92" s="73">
        <v>-4.4800000000000004</v>
      </c>
      <c r="W92" s="73">
        <v>7.9</v>
      </c>
      <c r="X92" s="73">
        <v>10.17</v>
      </c>
      <c r="Y92" s="73">
        <v>4.7</v>
      </c>
      <c r="Z92" s="73">
        <v>-8.17</v>
      </c>
      <c r="AA92" s="73">
        <v>4.91</v>
      </c>
      <c r="AB92" s="73">
        <v>-5.7</v>
      </c>
      <c r="AC92" s="73">
        <v>-28.15</v>
      </c>
      <c r="AD92" s="73">
        <v>-47.57</v>
      </c>
      <c r="AE92" s="73">
        <v>-61.66</v>
      </c>
      <c r="AF92" s="73">
        <v>-64.599999999999994</v>
      </c>
      <c r="AG92" s="73">
        <v>-105.99</v>
      </c>
      <c r="AH92" s="73">
        <v>-118.08</v>
      </c>
      <c r="AI92" s="73">
        <v>-49.67</v>
      </c>
      <c r="AJ92" s="73">
        <v>-36.67</v>
      </c>
      <c r="AK92" s="73">
        <v>-22.98</v>
      </c>
      <c r="AL92" s="73">
        <v>-22.06</v>
      </c>
      <c r="AM92" s="73">
        <v>-6.53</v>
      </c>
      <c r="AN92" s="73">
        <v>-1.58</v>
      </c>
      <c r="AO92" s="73">
        <v>-11.66</v>
      </c>
      <c r="AP92" s="73">
        <v>9.56</v>
      </c>
      <c r="AQ92" s="73">
        <v>-1.81</v>
      </c>
      <c r="AR92" s="73">
        <v>-10.75</v>
      </c>
      <c r="AS92" s="73"/>
      <c r="AT92" s="73"/>
      <c r="AU92" s="73"/>
      <c r="AV92" s="73"/>
      <c r="AW92" s="73"/>
      <c r="AX92" s="73"/>
      <c r="AY92" s="74"/>
      <c r="AZ92" s="73">
        <v>-2.71</v>
      </c>
      <c r="BA92" s="74">
        <v>-187.82</v>
      </c>
      <c r="BB92" s="73">
        <v>-3.97</v>
      </c>
      <c r="BC92" s="74">
        <v>-207.64</v>
      </c>
      <c r="BD92" s="73">
        <v>41.88</v>
      </c>
      <c r="BE92" s="74">
        <v>28.41</v>
      </c>
      <c r="BF92" s="73">
        <v>56.23</v>
      </c>
      <c r="BG92" s="74">
        <v>21.64</v>
      </c>
      <c r="BH92" s="73">
        <v>12.34</v>
      </c>
      <c r="BI92" s="74">
        <v>98.32</v>
      </c>
      <c r="BJ92" s="73">
        <v>14.59</v>
      </c>
      <c r="BK92" s="74">
        <v>114.85</v>
      </c>
      <c r="BL92" s="73">
        <v>-76.52</v>
      </c>
      <c r="BM92" s="74">
        <v>-13.97</v>
      </c>
      <c r="BN92" s="73">
        <v>-350.34</v>
      </c>
      <c r="BO92" s="74">
        <v>-1.6</v>
      </c>
      <c r="BP92" s="73">
        <v>-131.37</v>
      </c>
      <c r="BQ92" s="74">
        <v>-5.83</v>
      </c>
      <c r="BR92" s="73">
        <v>-10.210000000000001</v>
      </c>
      <c r="BS92" s="74">
        <v>-55</v>
      </c>
      <c r="BT92" s="73"/>
      <c r="BU92" s="74"/>
      <c r="BV92" s="73"/>
      <c r="BW92" s="74"/>
      <c r="BX92" s="74"/>
      <c r="BY92" s="71">
        <v>509.004437</v>
      </c>
      <c r="BZ92" s="71">
        <v>824.31099900000004</v>
      </c>
      <c r="CA92" s="71">
        <v>1189.83001928814</v>
      </c>
      <c r="CB92" s="87">
        <v>1216.75</v>
      </c>
      <c r="CC92" s="104">
        <v>1213.24</v>
      </c>
      <c r="CD92" s="87">
        <v>1675.39</v>
      </c>
      <c r="CE92" s="87">
        <v>1068.8599999999999</v>
      </c>
      <c r="CF92" s="87">
        <v>559.04</v>
      </c>
      <c r="CG92" s="87">
        <v>766.14</v>
      </c>
      <c r="CH92" s="87">
        <v>561.77</v>
      </c>
      <c r="CI92" s="70" t="s">
        <v>89</v>
      </c>
    </row>
    <row r="93" spans="1:87" x14ac:dyDescent="0.2">
      <c r="A93" s="70" t="s">
        <v>90</v>
      </c>
      <c r="B93" s="173">
        <v>1153.45</v>
      </c>
      <c r="C93" s="73">
        <v>1.87</v>
      </c>
      <c r="D93" s="73">
        <v>0.26</v>
      </c>
      <c r="E93" s="73">
        <v>-6.49</v>
      </c>
      <c r="F93" s="73">
        <v>-16.739999999999998</v>
      </c>
      <c r="G93" s="73">
        <v>-6.92</v>
      </c>
      <c r="H93" s="73">
        <v>-1.54</v>
      </c>
      <c r="I93" s="73">
        <v>-7.26</v>
      </c>
      <c r="J93" s="73">
        <v>0.53</v>
      </c>
      <c r="K93" s="73">
        <v>1.49</v>
      </c>
      <c r="L93" s="73">
        <v>0.83</v>
      </c>
      <c r="M93" s="73">
        <v>2.2999999999999998</v>
      </c>
      <c r="N93" s="73">
        <v>1.43</v>
      </c>
      <c r="O93" s="73">
        <v>3.35</v>
      </c>
      <c r="P93" s="73">
        <v>3.18</v>
      </c>
      <c r="Q93" s="73">
        <v>4.63</v>
      </c>
      <c r="R93" s="73">
        <v>5.27</v>
      </c>
      <c r="S93" s="58">
        <v>5.95</v>
      </c>
      <c r="T93" s="73">
        <v>5.17</v>
      </c>
      <c r="U93" s="73">
        <v>6.94</v>
      </c>
      <c r="V93" s="73">
        <v>7.53</v>
      </c>
      <c r="W93" s="73">
        <v>7.43</v>
      </c>
      <c r="X93" s="73">
        <v>7.77</v>
      </c>
      <c r="Y93" s="73">
        <v>8.77</v>
      </c>
      <c r="Z93" s="73">
        <v>7.99</v>
      </c>
      <c r="AA93" s="73">
        <v>7.6</v>
      </c>
      <c r="AB93" s="73">
        <v>9.2100000000000009</v>
      </c>
      <c r="AC93" s="73">
        <v>9.49</v>
      </c>
      <c r="AD93" s="73">
        <v>10.66</v>
      </c>
      <c r="AE93" s="73">
        <v>6.48</v>
      </c>
      <c r="AF93" s="73">
        <v>7.64</v>
      </c>
      <c r="AG93" s="73">
        <v>7.9</v>
      </c>
      <c r="AH93" s="73">
        <v>10.17</v>
      </c>
      <c r="AI93" s="73">
        <v>9.7200000000000006</v>
      </c>
      <c r="AJ93" s="73">
        <v>10.53</v>
      </c>
      <c r="AK93" s="73">
        <v>11.32</v>
      </c>
      <c r="AL93" s="73">
        <v>11.56</v>
      </c>
      <c r="AM93" s="73">
        <v>13.56</v>
      </c>
      <c r="AN93" s="73">
        <v>11.62</v>
      </c>
      <c r="AO93" s="73">
        <v>10.3</v>
      </c>
      <c r="AP93" s="73">
        <v>10.27</v>
      </c>
      <c r="AQ93" s="73">
        <v>16.86</v>
      </c>
      <c r="AR93" s="73">
        <v>17.04</v>
      </c>
      <c r="AS93" s="73"/>
      <c r="AT93" s="73"/>
      <c r="AU93" s="73"/>
      <c r="AV93" s="73"/>
      <c r="AW93" s="73"/>
      <c r="AX93" s="73"/>
      <c r="AY93" s="74"/>
      <c r="AZ93" s="73">
        <v>-21.1</v>
      </c>
      <c r="BA93" s="74">
        <v>-21.6</v>
      </c>
      <c r="BB93" s="73">
        <v>-15.19</v>
      </c>
      <c r="BC93" s="74">
        <v>-27.51</v>
      </c>
      <c r="BD93" s="73">
        <v>6.05</v>
      </c>
      <c r="BE93" s="74">
        <v>81.73</v>
      </c>
      <c r="BF93" s="73">
        <v>16.43</v>
      </c>
      <c r="BG93" s="74">
        <v>29.84</v>
      </c>
      <c r="BH93" s="73">
        <v>25.58</v>
      </c>
      <c r="BI93" s="74">
        <v>21.86</v>
      </c>
      <c r="BJ93" s="73">
        <v>31.96</v>
      </c>
      <c r="BK93" s="74">
        <v>22.42</v>
      </c>
      <c r="BL93" s="73">
        <v>36.96</v>
      </c>
      <c r="BM93" s="74">
        <v>20.41</v>
      </c>
      <c r="BN93" s="73">
        <v>32.19</v>
      </c>
      <c r="BO93" s="74">
        <v>22.84</v>
      </c>
      <c r="BP93" s="73">
        <v>43.13</v>
      </c>
      <c r="BQ93" s="74">
        <v>23.07</v>
      </c>
      <c r="BR93" s="73">
        <v>45.75</v>
      </c>
      <c r="BS93" s="74">
        <v>22.68</v>
      </c>
      <c r="BT93" s="73"/>
      <c r="BU93" s="74"/>
      <c r="BV93" s="73"/>
      <c r="BW93" s="74"/>
      <c r="BX93" s="74"/>
      <c r="BY93" s="71">
        <v>455.79289599999998</v>
      </c>
      <c r="BZ93" s="71">
        <v>417.94242200000002</v>
      </c>
      <c r="CA93" s="71">
        <v>494.85522157515697</v>
      </c>
      <c r="CB93" s="87">
        <v>490.3</v>
      </c>
      <c r="CC93" s="104">
        <v>559.32000000000005</v>
      </c>
      <c r="CD93" s="87">
        <v>716.59</v>
      </c>
      <c r="CE93" s="87">
        <v>754.55</v>
      </c>
      <c r="CF93" s="87">
        <v>735.23</v>
      </c>
      <c r="CG93" s="87">
        <v>994.78</v>
      </c>
      <c r="CH93" s="87">
        <v>1037.6600000000001</v>
      </c>
      <c r="CI93" s="70" t="s">
        <v>90</v>
      </c>
    </row>
    <row r="94" spans="1:87" x14ac:dyDescent="0.2">
      <c r="A94" s="70" t="s">
        <v>91</v>
      </c>
      <c r="B94" s="173">
        <v>3389.61</v>
      </c>
      <c r="C94" s="73">
        <v>4.3899999999999997</v>
      </c>
      <c r="D94" s="73">
        <v>3.57</v>
      </c>
      <c r="E94" s="73">
        <v>5.03</v>
      </c>
      <c r="F94" s="73">
        <v>2.65</v>
      </c>
      <c r="G94" s="73">
        <v>3.03</v>
      </c>
      <c r="H94" s="73">
        <v>5.78</v>
      </c>
      <c r="I94" s="73">
        <v>5.87</v>
      </c>
      <c r="J94" s="73">
        <v>5.75</v>
      </c>
      <c r="K94" s="73">
        <v>5.6</v>
      </c>
      <c r="L94" s="73">
        <v>7.2</v>
      </c>
      <c r="M94" s="73">
        <v>5.73</v>
      </c>
      <c r="N94" s="73">
        <v>8.32</v>
      </c>
      <c r="O94" s="73">
        <v>5.35</v>
      </c>
      <c r="P94" s="73">
        <v>6.25</v>
      </c>
      <c r="Q94" s="73">
        <v>-5.45</v>
      </c>
      <c r="R94" s="73">
        <v>2.98</v>
      </c>
      <c r="S94" s="58">
        <v>6.92</v>
      </c>
      <c r="T94" s="73">
        <v>8.0500000000000007</v>
      </c>
      <c r="U94" s="73">
        <v>7.55</v>
      </c>
      <c r="V94" s="73">
        <v>7.49</v>
      </c>
      <c r="W94" s="73">
        <v>0.83</v>
      </c>
      <c r="X94" s="73">
        <v>7.2</v>
      </c>
      <c r="Y94" s="73">
        <v>6.48</v>
      </c>
      <c r="Z94" s="73">
        <v>1.2</v>
      </c>
      <c r="AA94" s="73">
        <v>6.51</v>
      </c>
      <c r="AB94" s="73">
        <v>8.59</v>
      </c>
      <c r="AC94" s="73">
        <v>7.8</v>
      </c>
      <c r="AD94" s="73">
        <v>12.02</v>
      </c>
      <c r="AE94" s="73">
        <v>5.87</v>
      </c>
      <c r="AF94" s="73">
        <v>8.49</v>
      </c>
      <c r="AG94" s="73">
        <v>9.69</v>
      </c>
      <c r="AH94" s="73">
        <v>5.53</v>
      </c>
      <c r="AI94" s="73">
        <v>2.72</v>
      </c>
      <c r="AJ94" s="73">
        <v>5</v>
      </c>
      <c r="AK94" s="73">
        <v>-13.65</v>
      </c>
      <c r="AL94" s="73">
        <v>-3.04</v>
      </c>
      <c r="AM94" s="73">
        <v>-8.26</v>
      </c>
      <c r="AN94" s="73">
        <v>-15.95</v>
      </c>
      <c r="AO94" s="73">
        <v>2.44</v>
      </c>
      <c r="AP94" s="73">
        <v>-56.41</v>
      </c>
      <c r="AQ94" s="73">
        <v>-3.31</v>
      </c>
      <c r="AR94" s="73">
        <v>0.32</v>
      </c>
      <c r="AS94" s="73"/>
      <c r="AT94" s="73"/>
      <c r="AU94" s="73"/>
      <c r="AV94" s="73"/>
      <c r="AW94" s="73"/>
      <c r="AX94" s="73"/>
      <c r="AY94" s="74"/>
      <c r="AZ94" s="73">
        <v>15.64</v>
      </c>
      <c r="BA94" s="74">
        <v>27.64</v>
      </c>
      <c r="BB94" s="73">
        <v>20.43</v>
      </c>
      <c r="BC94" s="74">
        <v>25.86</v>
      </c>
      <c r="BD94" s="73">
        <v>26.84</v>
      </c>
      <c r="BE94" s="74">
        <v>24.05</v>
      </c>
      <c r="BF94" s="73">
        <v>9.1300000000000008</v>
      </c>
      <c r="BG94" s="74">
        <v>80.260000000000005</v>
      </c>
      <c r="BH94" s="73">
        <v>30</v>
      </c>
      <c r="BI94" s="74">
        <v>27.6</v>
      </c>
      <c r="BJ94" s="73">
        <v>15.71</v>
      </c>
      <c r="BK94" s="74">
        <v>81.98</v>
      </c>
      <c r="BL94" s="73">
        <v>34.92</v>
      </c>
      <c r="BM94" s="74">
        <v>40.909999999999997</v>
      </c>
      <c r="BN94" s="73">
        <v>29.59</v>
      </c>
      <c r="BO94" s="74">
        <v>58.11</v>
      </c>
      <c r="BP94" s="73">
        <v>-8.98</v>
      </c>
      <c r="BQ94" s="74">
        <v>-195.31</v>
      </c>
      <c r="BR94" s="73">
        <v>-78.180000000000007</v>
      </c>
      <c r="BS94" s="74">
        <v>-30.15</v>
      </c>
      <c r="BT94" s="73"/>
      <c r="BU94" s="74"/>
      <c r="BV94" s="73"/>
      <c r="BW94" s="74"/>
      <c r="BX94" s="74"/>
      <c r="BY94" s="71">
        <v>432.21943900000002</v>
      </c>
      <c r="BZ94" s="71">
        <v>528.228252</v>
      </c>
      <c r="CA94" s="71">
        <v>645.648413465369</v>
      </c>
      <c r="CB94" s="87">
        <v>732.64</v>
      </c>
      <c r="CC94" s="104">
        <v>828.04</v>
      </c>
      <c r="CD94" s="87">
        <v>1287.72</v>
      </c>
      <c r="CE94" s="87">
        <v>1428.29</v>
      </c>
      <c r="CF94" s="87">
        <v>1719.5</v>
      </c>
      <c r="CG94" s="87">
        <v>1752.93</v>
      </c>
      <c r="CH94" s="87">
        <v>2357.34</v>
      </c>
      <c r="CI94" s="70" t="s">
        <v>91</v>
      </c>
    </row>
    <row r="95" spans="1:87" x14ac:dyDescent="0.2">
      <c r="A95" s="70" t="s">
        <v>92</v>
      </c>
      <c r="B95" s="173">
        <v>1218.83</v>
      </c>
      <c r="C95" s="73">
        <v>5.71</v>
      </c>
      <c r="D95" s="73">
        <v>7.73</v>
      </c>
      <c r="E95" s="73">
        <v>7.1</v>
      </c>
      <c r="F95" s="73">
        <v>-5.25</v>
      </c>
      <c r="G95" s="73">
        <v>-0.42</v>
      </c>
      <c r="H95" s="73">
        <v>3.25</v>
      </c>
      <c r="I95" s="73">
        <v>3.76</v>
      </c>
      <c r="J95" s="73">
        <v>2.4300000000000002</v>
      </c>
      <c r="K95" s="73">
        <v>2.41</v>
      </c>
      <c r="L95" s="73">
        <v>4</v>
      </c>
      <c r="M95" s="73">
        <v>4.62</v>
      </c>
      <c r="N95" s="73">
        <v>3.88</v>
      </c>
      <c r="O95" s="73">
        <v>5.62</v>
      </c>
      <c r="P95" s="73">
        <v>6.69</v>
      </c>
      <c r="Q95" s="73">
        <v>6.24</v>
      </c>
      <c r="R95" s="73">
        <v>4.84</v>
      </c>
      <c r="S95" s="58">
        <v>6.19</v>
      </c>
      <c r="T95" s="73">
        <v>6.64</v>
      </c>
      <c r="U95" s="73">
        <v>2.95</v>
      </c>
      <c r="V95" s="73">
        <v>7.54</v>
      </c>
      <c r="W95" s="73">
        <v>6.72</v>
      </c>
      <c r="X95" s="73">
        <v>6.55</v>
      </c>
      <c r="Y95" s="73">
        <v>8.82</v>
      </c>
      <c r="Z95" s="73">
        <v>7.63</v>
      </c>
      <c r="AA95" s="73">
        <v>6.66</v>
      </c>
      <c r="AB95" s="73">
        <v>6.74</v>
      </c>
      <c r="AC95" s="73">
        <v>7.26</v>
      </c>
      <c r="AD95" s="73">
        <v>4.6100000000000003</v>
      </c>
      <c r="AE95" s="73">
        <v>6.21</v>
      </c>
      <c r="AF95" s="73">
        <v>7.87</v>
      </c>
      <c r="AG95" s="73">
        <v>5.76</v>
      </c>
      <c r="AH95" s="73">
        <v>3.27</v>
      </c>
      <c r="AI95" s="73">
        <v>4.76</v>
      </c>
      <c r="AJ95" s="73">
        <v>6.35</v>
      </c>
      <c r="AK95" s="73">
        <v>9.1300000000000008</v>
      </c>
      <c r="AL95" s="73">
        <v>0.75</v>
      </c>
      <c r="AM95" s="73">
        <v>5.39</v>
      </c>
      <c r="AN95" s="73">
        <v>9.8000000000000007</v>
      </c>
      <c r="AO95" s="73">
        <v>10.17</v>
      </c>
      <c r="AP95" s="73">
        <v>13.78</v>
      </c>
      <c r="AQ95" s="73">
        <v>7.14</v>
      </c>
      <c r="AR95" s="73">
        <v>11.72</v>
      </c>
      <c r="AS95" s="73"/>
      <c r="AT95" s="73"/>
      <c r="AU95" s="73"/>
      <c r="AV95" s="73"/>
      <c r="AW95" s="73"/>
      <c r="AX95" s="73"/>
      <c r="AY95" s="74"/>
      <c r="AZ95" s="73">
        <v>15.29</v>
      </c>
      <c r="BA95" s="74">
        <v>21.14</v>
      </c>
      <c r="BB95" s="73">
        <v>9.02</v>
      </c>
      <c r="BC95" s="74">
        <v>41.3</v>
      </c>
      <c r="BD95" s="73">
        <v>14.91</v>
      </c>
      <c r="BE95" s="74">
        <v>31.45</v>
      </c>
      <c r="BF95" s="73">
        <v>23.39</v>
      </c>
      <c r="BG95" s="74">
        <v>18.86</v>
      </c>
      <c r="BH95" s="73">
        <v>23.32</v>
      </c>
      <c r="BI95" s="74">
        <v>22.72</v>
      </c>
      <c r="BJ95" s="73">
        <v>29.72</v>
      </c>
      <c r="BK95" s="74">
        <v>25.1</v>
      </c>
      <c r="BL95" s="73">
        <v>25.27</v>
      </c>
      <c r="BM95" s="74">
        <v>30.02</v>
      </c>
      <c r="BN95" s="73">
        <v>23.1</v>
      </c>
      <c r="BO95" s="74">
        <v>30.78</v>
      </c>
      <c r="BP95" s="73">
        <v>21</v>
      </c>
      <c r="BQ95" s="74">
        <v>43.42</v>
      </c>
      <c r="BR95" s="73">
        <v>39.14</v>
      </c>
      <c r="BS95" s="74">
        <v>27.05</v>
      </c>
      <c r="BT95" s="73"/>
      <c r="BU95" s="74"/>
      <c r="BV95" s="73"/>
      <c r="BW95" s="74"/>
      <c r="BX95" s="74"/>
      <c r="BY95" s="71">
        <v>323.26309500000002</v>
      </c>
      <c r="BZ95" s="71">
        <v>372.565789</v>
      </c>
      <c r="CA95" s="71">
        <v>468.88068339173702</v>
      </c>
      <c r="CB95" s="87">
        <v>441.05</v>
      </c>
      <c r="CC95" s="104">
        <v>529.85</v>
      </c>
      <c r="CD95" s="87">
        <v>746.08</v>
      </c>
      <c r="CE95" s="87">
        <v>758.61</v>
      </c>
      <c r="CF95" s="87">
        <v>711.08</v>
      </c>
      <c r="CG95" s="87">
        <v>911.68</v>
      </c>
      <c r="CH95" s="87">
        <v>1058.76</v>
      </c>
      <c r="CI95" s="70" t="s">
        <v>92</v>
      </c>
    </row>
    <row r="96" spans="1:87" x14ac:dyDescent="0.2">
      <c r="A96" s="70" t="s">
        <v>93</v>
      </c>
      <c r="B96" s="173">
        <v>753.27</v>
      </c>
      <c r="C96" s="73">
        <v>1.18</v>
      </c>
      <c r="D96" s="73">
        <v>0.32</v>
      </c>
      <c r="E96" s="73">
        <v>0.28000000000000003</v>
      </c>
      <c r="F96" s="73">
        <v>-6.23</v>
      </c>
      <c r="G96" s="73">
        <v>-2.64</v>
      </c>
      <c r="H96" s="73">
        <v>-0.92</v>
      </c>
      <c r="I96" s="73">
        <v>0.99</v>
      </c>
      <c r="J96" s="73">
        <v>1.53</v>
      </c>
      <c r="K96" s="73">
        <v>1.82</v>
      </c>
      <c r="L96" s="73">
        <v>2.2599999999999998</v>
      </c>
      <c r="M96" s="73">
        <v>3.21</v>
      </c>
      <c r="N96" s="73">
        <v>3.08</v>
      </c>
      <c r="O96" s="73">
        <v>2.27</v>
      </c>
      <c r="P96" s="73">
        <v>2.78</v>
      </c>
      <c r="Q96" s="73">
        <v>1.86</v>
      </c>
      <c r="R96" s="73">
        <v>0.82</v>
      </c>
      <c r="S96" s="58">
        <v>1.1399999999999999</v>
      </c>
      <c r="T96" s="73">
        <v>1.54</v>
      </c>
      <c r="U96" s="73">
        <v>1.87</v>
      </c>
      <c r="V96" s="73">
        <v>-0.06</v>
      </c>
      <c r="W96" s="73">
        <v>1.61</v>
      </c>
      <c r="X96" s="73">
        <v>1.72</v>
      </c>
      <c r="Y96" s="73">
        <v>2.06</v>
      </c>
      <c r="Z96" s="73">
        <v>3.94</v>
      </c>
      <c r="AA96" s="73">
        <v>1.28</v>
      </c>
      <c r="AB96" s="73">
        <v>1.84</v>
      </c>
      <c r="AC96" s="73">
        <v>3.62</v>
      </c>
      <c r="AD96" s="73">
        <v>1.38</v>
      </c>
      <c r="AE96" s="73">
        <v>2.13</v>
      </c>
      <c r="AF96" s="73">
        <v>2.25</v>
      </c>
      <c r="AG96" s="73">
        <v>4.2300000000000004</v>
      </c>
      <c r="AH96" s="73">
        <v>2.9</v>
      </c>
      <c r="AI96" s="73">
        <v>1.29</v>
      </c>
      <c r="AJ96" s="73">
        <v>2.14</v>
      </c>
      <c r="AK96" s="73">
        <v>3.55</v>
      </c>
      <c r="AL96" s="73">
        <v>4.03</v>
      </c>
      <c r="AM96" s="73">
        <v>4</v>
      </c>
      <c r="AN96" s="73">
        <v>4.95</v>
      </c>
      <c r="AO96" s="73">
        <v>4.2300000000000004</v>
      </c>
      <c r="AP96" s="73">
        <v>-0.46</v>
      </c>
      <c r="AQ96" s="73">
        <v>3.79</v>
      </c>
      <c r="AR96" s="73">
        <v>2.99</v>
      </c>
      <c r="AS96" s="73"/>
      <c r="AT96" s="73"/>
      <c r="AU96" s="73"/>
      <c r="AV96" s="73"/>
      <c r="AW96" s="73"/>
      <c r="AX96" s="73"/>
      <c r="AY96" s="74"/>
      <c r="AZ96" s="73">
        <v>-4.45</v>
      </c>
      <c r="BA96" s="74">
        <v>-30.81</v>
      </c>
      <c r="BB96" s="73">
        <v>-1.04</v>
      </c>
      <c r="BC96" s="74">
        <v>-194.79</v>
      </c>
      <c r="BD96" s="73">
        <v>10.37</v>
      </c>
      <c r="BE96" s="74">
        <v>24.29</v>
      </c>
      <c r="BF96" s="73">
        <v>7.74</v>
      </c>
      <c r="BG96" s="74">
        <v>31.16</v>
      </c>
      <c r="BH96" s="73">
        <v>4.4800000000000004</v>
      </c>
      <c r="BI96" s="74">
        <v>60.02</v>
      </c>
      <c r="BJ96" s="73">
        <v>9.33</v>
      </c>
      <c r="BK96" s="74">
        <v>41.61</v>
      </c>
      <c r="BL96" s="73">
        <v>8.1199999999999992</v>
      </c>
      <c r="BM96" s="74">
        <v>53.94</v>
      </c>
      <c r="BN96" s="73">
        <v>11.51</v>
      </c>
      <c r="BO96" s="74">
        <v>39.64</v>
      </c>
      <c r="BP96" s="73">
        <v>11.02</v>
      </c>
      <c r="BQ96" s="74">
        <v>55.16</v>
      </c>
      <c r="BR96" s="73">
        <v>12.72</v>
      </c>
      <c r="BS96" s="74">
        <v>52.47</v>
      </c>
      <c r="BT96" s="73"/>
      <c r="BU96" s="74"/>
      <c r="BV96" s="73"/>
      <c r="BW96" s="74"/>
      <c r="BX96" s="74"/>
      <c r="BY96" s="71">
        <v>137.085894</v>
      </c>
      <c r="BZ96" s="71">
        <v>202.58402699999999</v>
      </c>
      <c r="CA96" s="71">
        <v>251.92909297019099</v>
      </c>
      <c r="CB96" s="87">
        <v>241.05</v>
      </c>
      <c r="CC96" s="104">
        <v>268.88</v>
      </c>
      <c r="CD96" s="87">
        <v>388.16</v>
      </c>
      <c r="CE96" s="87">
        <v>438.01</v>
      </c>
      <c r="CF96" s="87">
        <v>456.15</v>
      </c>
      <c r="CG96" s="87">
        <v>607.80999999999995</v>
      </c>
      <c r="CH96" s="87">
        <v>667.42</v>
      </c>
      <c r="CI96" s="70" t="s">
        <v>93</v>
      </c>
    </row>
    <row r="97" spans="1:87" x14ac:dyDescent="0.2">
      <c r="A97" s="70" t="s">
        <v>94</v>
      </c>
      <c r="B97" s="173">
        <v>576.98</v>
      </c>
      <c r="C97" s="73">
        <v>-0.5</v>
      </c>
      <c r="D97" s="73">
        <v>0.66</v>
      </c>
      <c r="E97" s="73">
        <v>0.97</v>
      </c>
      <c r="F97" s="73">
        <v>-17.010000000000002</v>
      </c>
      <c r="G97" s="73">
        <v>-5.77</v>
      </c>
      <c r="H97" s="73">
        <v>1.91</v>
      </c>
      <c r="I97" s="73">
        <v>4.8899999999999997</v>
      </c>
      <c r="J97" s="73">
        <v>2.91</v>
      </c>
      <c r="K97" s="73">
        <v>2.5299999999999998</v>
      </c>
      <c r="L97" s="73">
        <v>4.04</v>
      </c>
      <c r="M97" s="73">
        <v>2.73</v>
      </c>
      <c r="N97" s="73">
        <v>3.63</v>
      </c>
      <c r="O97" s="73">
        <v>2.39</v>
      </c>
      <c r="P97" s="73">
        <v>4.74</v>
      </c>
      <c r="Q97" s="73">
        <v>3.05</v>
      </c>
      <c r="R97" s="73">
        <v>0.01</v>
      </c>
      <c r="S97" s="58">
        <v>2.92</v>
      </c>
      <c r="T97" s="73">
        <v>-3.02</v>
      </c>
      <c r="U97" s="73">
        <v>3.08</v>
      </c>
      <c r="V97" s="73">
        <v>-0.17</v>
      </c>
      <c r="W97" s="73">
        <v>1.25</v>
      </c>
      <c r="X97" s="73">
        <v>3.17</v>
      </c>
      <c r="Y97" s="73">
        <v>1.1599999999999999</v>
      </c>
      <c r="Z97" s="73">
        <v>3.19</v>
      </c>
      <c r="AA97" s="73">
        <v>1.41</v>
      </c>
      <c r="AB97" s="73">
        <v>3.3</v>
      </c>
      <c r="AC97" s="73">
        <v>4.91</v>
      </c>
      <c r="AD97" s="73">
        <v>0.04</v>
      </c>
      <c r="AE97" s="73">
        <v>-4.22</v>
      </c>
      <c r="AF97" s="73">
        <v>0.97</v>
      </c>
      <c r="AG97" s="73">
        <v>4.0199999999999996</v>
      </c>
      <c r="AH97" s="73">
        <v>-4.82</v>
      </c>
      <c r="AI97" s="73">
        <v>3.12</v>
      </c>
      <c r="AJ97" s="73">
        <v>3.77</v>
      </c>
      <c r="AK97" s="73">
        <v>1.27</v>
      </c>
      <c r="AL97" s="73">
        <v>-2.77</v>
      </c>
      <c r="AM97" s="73">
        <v>3.97</v>
      </c>
      <c r="AN97" s="73">
        <v>5.2</v>
      </c>
      <c r="AO97" s="73">
        <v>4.7</v>
      </c>
      <c r="AP97" s="73">
        <v>8.57</v>
      </c>
      <c r="AQ97" s="73">
        <v>5.62</v>
      </c>
      <c r="AR97" s="73">
        <v>5.59</v>
      </c>
      <c r="AS97" s="73"/>
      <c r="AT97" s="73"/>
      <c r="AU97" s="73"/>
      <c r="AV97" s="73"/>
      <c r="AW97" s="73"/>
      <c r="AX97" s="73"/>
      <c r="AY97" s="74"/>
      <c r="AZ97" s="73">
        <v>-15.88</v>
      </c>
      <c r="BA97" s="74">
        <v>-10.57</v>
      </c>
      <c r="BB97" s="73">
        <v>3.94</v>
      </c>
      <c r="BC97" s="74">
        <v>62.33</v>
      </c>
      <c r="BD97" s="73">
        <v>12.93</v>
      </c>
      <c r="BE97" s="74">
        <v>22.25</v>
      </c>
      <c r="BF97" s="73">
        <v>10.19</v>
      </c>
      <c r="BG97" s="74">
        <v>25.66</v>
      </c>
      <c r="BH97" s="73">
        <v>2.81</v>
      </c>
      <c r="BI97" s="74">
        <v>115.32</v>
      </c>
      <c r="BJ97" s="73">
        <v>8.76</v>
      </c>
      <c r="BK97" s="74">
        <v>49.76</v>
      </c>
      <c r="BL97" s="73">
        <v>9.65</v>
      </c>
      <c r="BM97" s="74">
        <v>44.89</v>
      </c>
      <c r="BN97" s="73">
        <v>-4.0599999999999996</v>
      </c>
      <c r="BO97" s="74">
        <v>-78.3</v>
      </c>
      <c r="BP97" s="73">
        <v>5.38</v>
      </c>
      <c r="BQ97" s="74">
        <v>90.22</v>
      </c>
      <c r="BR97" s="73">
        <v>22.44</v>
      </c>
      <c r="BS97" s="74">
        <v>23.55</v>
      </c>
      <c r="BT97" s="73"/>
      <c r="BU97" s="74"/>
      <c r="BV97" s="73"/>
      <c r="BW97" s="74"/>
      <c r="BX97" s="74"/>
      <c r="BY97" s="71">
        <v>167.886177</v>
      </c>
      <c r="BZ97" s="71">
        <v>245.56984800000001</v>
      </c>
      <c r="CA97" s="71">
        <v>287.68724360763201</v>
      </c>
      <c r="CB97" s="87">
        <v>261.44</v>
      </c>
      <c r="CC97" s="104">
        <v>324.22000000000003</v>
      </c>
      <c r="CD97" s="87">
        <v>436.1</v>
      </c>
      <c r="CE97" s="87">
        <v>433.19</v>
      </c>
      <c r="CF97" s="87">
        <v>317.93</v>
      </c>
      <c r="CG97" s="87">
        <v>485.75</v>
      </c>
      <c r="CH97" s="87">
        <v>528.41</v>
      </c>
      <c r="CI97" s="70" t="s">
        <v>94</v>
      </c>
    </row>
    <row r="98" spans="1:87" x14ac:dyDescent="0.2">
      <c r="A98" s="70" t="s">
        <v>95</v>
      </c>
      <c r="B98" s="173">
        <v>3.44</v>
      </c>
      <c r="C98" s="73">
        <v>0.05</v>
      </c>
      <c r="D98" s="73">
        <v>0.2</v>
      </c>
      <c r="E98" s="73">
        <v>-0.19</v>
      </c>
      <c r="F98" s="73">
        <v>-0.6</v>
      </c>
      <c r="G98" s="73">
        <v>-0.02</v>
      </c>
      <c r="H98" s="73">
        <v>-0.02</v>
      </c>
      <c r="I98" s="73">
        <v>0.03</v>
      </c>
      <c r="J98" s="73">
        <v>0.01</v>
      </c>
      <c r="K98" s="73">
        <v>0.03</v>
      </c>
      <c r="L98" s="73">
        <v>0.04</v>
      </c>
      <c r="M98" s="73">
        <v>0.05</v>
      </c>
      <c r="N98" s="73">
        <v>0.05</v>
      </c>
      <c r="O98" s="73">
        <v>0.06</v>
      </c>
      <c r="P98" s="73">
        <v>0.03</v>
      </c>
      <c r="Q98" s="73">
        <v>0.04</v>
      </c>
      <c r="R98" s="73">
        <v>-0.05</v>
      </c>
      <c r="S98" s="58">
        <v>0.03</v>
      </c>
      <c r="T98" s="73">
        <v>0.03</v>
      </c>
      <c r="U98" s="73">
        <v>0.03</v>
      </c>
      <c r="V98" s="73">
        <v>-0.08</v>
      </c>
      <c r="W98" s="73">
        <v>-0.01</v>
      </c>
      <c r="X98" s="73">
        <v>0.02</v>
      </c>
      <c r="Y98" s="73">
        <v>0.02</v>
      </c>
      <c r="Z98" s="73">
        <v>-0.02</v>
      </c>
      <c r="AA98" s="73">
        <v>0.01</v>
      </c>
      <c r="AB98" s="73">
        <v>0.1</v>
      </c>
      <c r="AC98" s="73">
        <v>0.01</v>
      </c>
      <c r="AD98" s="73">
        <v>-0.04</v>
      </c>
      <c r="AE98" s="73">
        <v>0</v>
      </c>
      <c r="AF98" s="73">
        <v>0.08</v>
      </c>
      <c r="AG98" s="73">
        <v>0.05</v>
      </c>
      <c r="AH98" s="73">
        <v>0.02</v>
      </c>
      <c r="AI98" s="73">
        <v>0.01</v>
      </c>
      <c r="AJ98" s="73">
        <v>0.03</v>
      </c>
      <c r="AK98" s="73">
        <v>0.03</v>
      </c>
      <c r="AL98" s="73">
        <v>0</v>
      </c>
      <c r="AM98" s="73">
        <v>0.02</v>
      </c>
      <c r="AN98" s="73">
        <v>0.01</v>
      </c>
      <c r="AO98" s="73">
        <v>-0.01</v>
      </c>
      <c r="AP98" s="73">
        <v>-0.34</v>
      </c>
      <c r="AQ98" s="73">
        <v>-0.01</v>
      </c>
      <c r="AR98" s="73">
        <v>-0.03</v>
      </c>
      <c r="AS98" s="73"/>
      <c r="AT98" s="73"/>
      <c r="AU98" s="73"/>
      <c r="AV98" s="73"/>
      <c r="AW98" s="73"/>
      <c r="AX98" s="73"/>
      <c r="AY98" s="74"/>
      <c r="AZ98" s="73">
        <v>-0.54</v>
      </c>
      <c r="BA98" s="74">
        <v>-9.02</v>
      </c>
      <c r="BB98" s="73">
        <v>0</v>
      </c>
      <c r="BC98" s="74">
        <v>2.73</v>
      </c>
      <c r="BD98" s="73">
        <v>0.17</v>
      </c>
      <c r="BE98" s="74">
        <v>16.7</v>
      </c>
      <c r="BF98" s="73">
        <v>0.09</v>
      </c>
      <c r="BG98" s="74">
        <v>25.14</v>
      </c>
      <c r="BH98" s="73">
        <v>0.01</v>
      </c>
      <c r="BI98" s="74">
        <v>220.98</v>
      </c>
      <c r="BJ98" s="73">
        <v>0.01</v>
      </c>
      <c r="BK98" s="74">
        <v>269.49</v>
      </c>
      <c r="BL98" s="73">
        <v>7.0000000000000007E-2</v>
      </c>
      <c r="BM98" s="74">
        <v>33.159999999999997</v>
      </c>
      <c r="BN98" s="73">
        <v>0.16</v>
      </c>
      <c r="BO98" s="74">
        <v>15.93</v>
      </c>
      <c r="BP98" s="73">
        <v>0.08</v>
      </c>
      <c r="BQ98" s="74">
        <v>37.99</v>
      </c>
      <c r="BR98" s="73">
        <v>-0.33</v>
      </c>
      <c r="BS98" s="74">
        <v>-8.59</v>
      </c>
      <c r="BT98" s="73"/>
      <c r="BU98" s="74"/>
      <c r="BV98" s="73"/>
      <c r="BW98" s="74"/>
      <c r="BX98" s="74"/>
      <c r="BY98" s="71">
        <v>4.8689799999999996</v>
      </c>
      <c r="BZ98" s="71">
        <v>2.733466</v>
      </c>
      <c r="CA98" s="71">
        <v>2.78718630060018</v>
      </c>
      <c r="CB98" s="87">
        <v>2.35</v>
      </c>
      <c r="CC98" s="104">
        <v>2.42</v>
      </c>
      <c r="CD98" s="87">
        <v>2.54</v>
      </c>
      <c r="CE98" s="87">
        <v>2.46</v>
      </c>
      <c r="CF98" s="87">
        <v>2.4700000000000002</v>
      </c>
      <c r="CG98" s="87">
        <v>2.9</v>
      </c>
      <c r="CH98" s="87">
        <v>2.84</v>
      </c>
      <c r="CI98" s="70" t="s">
        <v>95</v>
      </c>
    </row>
    <row r="99" spans="1:87" x14ac:dyDescent="0.2">
      <c r="A99" s="70" t="s">
        <v>96</v>
      </c>
      <c r="B99" s="173">
        <v>995.49</v>
      </c>
      <c r="C99" s="73">
        <v>10.19</v>
      </c>
      <c r="D99" s="73">
        <v>2.2200000000000002</v>
      </c>
      <c r="E99" s="73">
        <v>3.67</v>
      </c>
      <c r="F99" s="73">
        <v>8.1</v>
      </c>
      <c r="G99" s="73">
        <v>10.119999999999999</v>
      </c>
      <c r="H99" s="73">
        <v>2.29</v>
      </c>
      <c r="I99" s="73">
        <v>2.02</v>
      </c>
      <c r="J99" s="73">
        <v>9.61</v>
      </c>
      <c r="K99" s="73">
        <v>10.99</v>
      </c>
      <c r="L99" s="73">
        <v>3.1</v>
      </c>
      <c r="M99" s="73">
        <v>4.08</v>
      </c>
      <c r="N99" s="73">
        <v>8.2100000000000009</v>
      </c>
      <c r="O99" s="73">
        <v>12.2</v>
      </c>
      <c r="P99" s="73">
        <v>4.29</v>
      </c>
      <c r="Q99" s="73">
        <v>3.1</v>
      </c>
      <c r="R99" s="73">
        <v>9.84</v>
      </c>
      <c r="S99" s="58">
        <v>11.56</v>
      </c>
      <c r="T99" s="73">
        <v>3.12</v>
      </c>
      <c r="U99" s="73">
        <v>3.59</v>
      </c>
      <c r="V99" s="73">
        <v>10.71</v>
      </c>
      <c r="W99" s="73">
        <v>11.84</v>
      </c>
      <c r="X99" s="73">
        <v>4.78</v>
      </c>
      <c r="Y99" s="73">
        <v>3.52</v>
      </c>
      <c r="Z99" s="73">
        <v>9.9</v>
      </c>
      <c r="AA99" s="73">
        <v>15.33</v>
      </c>
      <c r="AB99" s="73">
        <v>3.78</v>
      </c>
      <c r="AC99" s="73">
        <v>2.66</v>
      </c>
      <c r="AD99" s="73">
        <v>13.52</v>
      </c>
      <c r="AE99" s="73">
        <v>14.37</v>
      </c>
      <c r="AF99" s="73">
        <v>3.58</v>
      </c>
      <c r="AG99" s="73">
        <v>3.28</v>
      </c>
      <c r="AH99" s="73">
        <v>11.89</v>
      </c>
      <c r="AI99" s="73">
        <v>13.67</v>
      </c>
      <c r="AJ99" s="73">
        <v>4.09</v>
      </c>
      <c r="AK99" s="73">
        <v>7.22</v>
      </c>
      <c r="AL99" s="73">
        <v>10.68</v>
      </c>
      <c r="AM99" s="73">
        <v>13.81</v>
      </c>
      <c r="AN99" s="73">
        <v>6.83</v>
      </c>
      <c r="AO99" s="73">
        <v>4.6500000000000004</v>
      </c>
      <c r="AP99" s="73">
        <v>5.84</v>
      </c>
      <c r="AQ99" s="73">
        <v>16.649999999999999</v>
      </c>
      <c r="AR99" s="73">
        <v>0.97</v>
      </c>
      <c r="AS99" s="73"/>
      <c r="AT99" s="73"/>
      <c r="AU99" s="73"/>
      <c r="AV99" s="73"/>
      <c r="AW99" s="73"/>
      <c r="AX99" s="73"/>
      <c r="AY99" s="74"/>
      <c r="AZ99" s="73">
        <v>24.18</v>
      </c>
      <c r="BA99" s="74">
        <v>15.56</v>
      </c>
      <c r="BB99" s="73">
        <v>24.04</v>
      </c>
      <c r="BC99" s="74">
        <v>15.93</v>
      </c>
      <c r="BD99" s="73">
        <v>26.38</v>
      </c>
      <c r="BE99" s="74">
        <v>16.5</v>
      </c>
      <c r="BF99" s="73">
        <v>29.43</v>
      </c>
      <c r="BG99" s="74">
        <v>16.989999999999998</v>
      </c>
      <c r="BH99" s="73">
        <v>28.97</v>
      </c>
      <c r="BI99" s="74">
        <v>16.75</v>
      </c>
      <c r="BJ99" s="73">
        <v>30.04</v>
      </c>
      <c r="BK99" s="74">
        <v>18.87</v>
      </c>
      <c r="BL99" s="73">
        <v>35.29</v>
      </c>
      <c r="BM99" s="74">
        <v>18.920000000000002</v>
      </c>
      <c r="BN99" s="73">
        <v>33.130000000000003</v>
      </c>
      <c r="BO99" s="74">
        <v>20.92</v>
      </c>
      <c r="BP99" s="73">
        <v>35.67</v>
      </c>
      <c r="BQ99" s="74">
        <v>23.24</v>
      </c>
      <c r="BR99" s="73">
        <v>31.12</v>
      </c>
      <c r="BS99" s="74">
        <v>30.83</v>
      </c>
      <c r="BT99" s="73"/>
      <c r="BU99" s="74"/>
      <c r="BV99" s="73"/>
      <c r="BW99" s="74"/>
      <c r="BX99" s="74"/>
      <c r="BY99" s="71">
        <v>376.25567999999998</v>
      </c>
      <c r="BZ99" s="71">
        <v>382.95429799999999</v>
      </c>
      <c r="CA99" s="71">
        <v>435.23831515996199</v>
      </c>
      <c r="CB99" s="87">
        <v>500.03</v>
      </c>
      <c r="CC99" s="104">
        <v>485.39</v>
      </c>
      <c r="CD99" s="87">
        <v>566.92999999999995</v>
      </c>
      <c r="CE99" s="87">
        <v>667.54</v>
      </c>
      <c r="CF99" s="87">
        <v>693.15</v>
      </c>
      <c r="CG99" s="87">
        <v>828.85</v>
      </c>
      <c r="CH99" s="87">
        <v>959.55</v>
      </c>
      <c r="CI99" s="70" t="s">
        <v>96</v>
      </c>
    </row>
    <row r="100" spans="1:87" x14ac:dyDescent="0.2">
      <c r="A100" s="70" t="s">
        <v>337</v>
      </c>
      <c r="B100" s="173">
        <v>196.85</v>
      </c>
      <c r="C100" s="73"/>
      <c r="D100" s="73"/>
      <c r="E100" s="73"/>
      <c r="F100" s="73"/>
      <c r="G100" s="73"/>
      <c r="H100" s="73"/>
      <c r="I100" s="73"/>
      <c r="J100" s="73"/>
      <c r="K100" s="73"/>
      <c r="L100" s="73"/>
      <c r="M100" s="73"/>
      <c r="N100" s="73"/>
      <c r="O100" s="73"/>
      <c r="P100" s="73"/>
      <c r="Q100" s="73"/>
      <c r="R100" s="73"/>
      <c r="S100" s="58"/>
      <c r="T100" s="73"/>
      <c r="U100" s="73"/>
      <c r="V100" s="73"/>
      <c r="W100" s="73">
        <v>0.87</v>
      </c>
      <c r="X100" s="73">
        <v>1.05</v>
      </c>
      <c r="Y100" s="73">
        <v>1.25</v>
      </c>
      <c r="Z100" s="73">
        <v>0.96</v>
      </c>
      <c r="AA100" s="73">
        <v>0.95</v>
      </c>
      <c r="AB100" s="73">
        <v>1.59</v>
      </c>
      <c r="AC100" s="73">
        <v>1.86</v>
      </c>
      <c r="AD100" s="73">
        <v>1.76</v>
      </c>
      <c r="AE100" s="73">
        <v>0.94</v>
      </c>
      <c r="AF100" s="73">
        <v>0.69</v>
      </c>
      <c r="AG100" s="73">
        <v>0.88</v>
      </c>
      <c r="AH100" s="73">
        <v>1.79</v>
      </c>
      <c r="AI100" s="73">
        <v>2.09</v>
      </c>
      <c r="AJ100" s="73">
        <v>1.92</v>
      </c>
      <c r="AK100" s="73">
        <v>1.41</v>
      </c>
      <c r="AL100" s="73">
        <v>1.5</v>
      </c>
      <c r="AM100" s="73">
        <v>1.72</v>
      </c>
      <c r="AN100" s="73">
        <v>1.58</v>
      </c>
      <c r="AO100" s="73">
        <v>1.33</v>
      </c>
      <c r="AP100" s="73">
        <v>1.27</v>
      </c>
      <c r="AQ100" s="73">
        <v>0.67</v>
      </c>
      <c r="AR100" s="73">
        <v>1.51</v>
      </c>
      <c r="AS100" s="73"/>
      <c r="AT100" s="73"/>
      <c r="AU100" s="73"/>
      <c r="AV100" s="73"/>
      <c r="AW100" s="73"/>
      <c r="AX100" s="73"/>
      <c r="AY100" s="74"/>
      <c r="BA100" s="74"/>
      <c r="BC100" s="74"/>
      <c r="BE100" s="74"/>
      <c r="BG100" s="74"/>
      <c r="BI100" s="74"/>
      <c r="BJ100" s="73">
        <v>4.13</v>
      </c>
      <c r="BK100" s="74">
        <v>38</v>
      </c>
      <c r="BL100" s="73">
        <v>6.15</v>
      </c>
      <c r="BM100" s="74">
        <v>29.93</v>
      </c>
      <c r="BN100" s="73">
        <v>4.3099999999999996</v>
      </c>
      <c r="BO100" s="74">
        <v>39.049999999999997</v>
      </c>
      <c r="BP100" s="73">
        <v>6.91</v>
      </c>
      <c r="BQ100" s="74">
        <v>29.08</v>
      </c>
      <c r="BR100" s="73">
        <v>5.89</v>
      </c>
      <c r="BS100" s="74">
        <v>34.51</v>
      </c>
      <c r="BT100" s="73"/>
      <c r="BU100" s="74"/>
      <c r="BV100" s="73"/>
      <c r="BW100" s="74"/>
      <c r="BX100" s="74"/>
      <c r="BY100" s="71"/>
      <c r="BZ100" s="71"/>
      <c r="CA100" s="71"/>
      <c r="CD100" s="87"/>
      <c r="CE100" s="87"/>
      <c r="CF100" s="87"/>
      <c r="CG100" s="87">
        <v>201.01</v>
      </c>
      <c r="CH100" s="87">
        <v>203.41</v>
      </c>
    </row>
    <row r="101" spans="1:87" s="112" customFormat="1" x14ac:dyDescent="0.2">
      <c r="A101" s="70"/>
      <c r="B101" s="173"/>
      <c r="C101" s="110"/>
      <c r="D101" s="110"/>
      <c r="E101" s="110"/>
      <c r="F101" s="110"/>
      <c r="G101" s="110"/>
      <c r="H101" s="110"/>
      <c r="I101" s="110"/>
      <c r="J101" s="110"/>
      <c r="K101" s="110"/>
      <c r="L101" s="110"/>
      <c r="M101" s="110"/>
      <c r="N101" s="110"/>
      <c r="O101" s="110"/>
      <c r="P101" s="110"/>
      <c r="Q101" s="110"/>
      <c r="R101" s="110"/>
      <c r="S101" s="58"/>
      <c r="T101" s="110"/>
      <c r="U101" s="110"/>
      <c r="V101" s="110"/>
      <c r="W101" s="110"/>
      <c r="X101" s="110"/>
      <c r="Y101" s="110"/>
      <c r="Z101" s="110"/>
      <c r="AA101" s="110"/>
      <c r="AB101" s="110"/>
      <c r="AC101" s="110"/>
      <c r="AD101" s="110"/>
      <c r="AE101" s="110"/>
      <c r="AF101" s="110"/>
      <c r="AG101" s="110"/>
      <c r="AH101" s="110"/>
      <c r="AI101" s="110"/>
      <c r="AJ101" s="110"/>
      <c r="AK101" s="110"/>
      <c r="AL101" s="110"/>
      <c r="AM101" s="110"/>
      <c r="AN101" s="110"/>
      <c r="AO101" s="110"/>
      <c r="AP101" s="110"/>
      <c r="AQ101" s="110"/>
      <c r="AR101" s="110"/>
      <c r="AS101" s="110"/>
      <c r="AT101" s="110"/>
      <c r="AU101" s="110"/>
      <c r="AV101" s="110"/>
      <c r="AW101" s="110"/>
      <c r="AX101" s="110"/>
      <c r="AY101" s="111"/>
      <c r="AZ101" s="110"/>
      <c r="BA101" s="111"/>
      <c r="BB101" s="110"/>
      <c r="BC101" s="111"/>
      <c r="BD101" s="110"/>
      <c r="BE101" s="111"/>
      <c r="BF101" s="110"/>
      <c r="BG101" s="111"/>
      <c r="BH101" s="110"/>
      <c r="BI101" s="111"/>
      <c r="BJ101" s="110"/>
      <c r="BK101" s="111"/>
      <c r="BL101" s="110"/>
      <c r="BM101" s="111"/>
      <c r="BN101" s="110"/>
      <c r="BO101" s="111"/>
      <c r="BP101" s="110"/>
      <c r="BQ101" s="111"/>
      <c r="BR101" s="110"/>
      <c r="BS101" s="111"/>
      <c r="BT101" s="110"/>
      <c r="BU101" s="111"/>
      <c r="BV101" s="110"/>
      <c r="BW101" s="111"/>
      <c r="BX101" s="74"/>
      <c r="BY101" s="111"/>
      <c r="BZ101" s="111"/>
      <c r="CA101" s="111"/>
      <c r="CB101" s="87"/>
      <c r="CC101" s="104"/>
      <c r="CD101" s="87"/>
      <c r="CE101" s="87"/>
      <c r="CF101" s="87"/>
      <c r="CG101" s="87"/>
      <c r="CH101" s="87"/>
      <c r="CI101" s="70"/>
    </row>
    <row r="102" spans="1:87" s="112" customFormat="1" x14ac:dyDescent="0.2">
      <c r="A102" s="70" t="s">
        <v>168</v>
      </c>
      <c r="B102" s="173">
        <v>678.73</v>
      </c>
      <c r="C102" s="110">
        <v>3.47</v>
      </c>
      <c r="D102" s="110">
        <v>2.84</v>
      </c>
      <c r="E102" s="110">
        <v>2.15</v>
      </c>
      <c r="F102" s="110">
        <v>-5.51</v>
      </c>
      <c r="G102" s="110">
        <v>1.4</v>
      </c>
      <c r="H102" s="110">
        <v>2.92</v>
      </c>
      <c r="I102" s="110">
        <v>3.24</v>
      </c>
      <c r="J102" s="110">
        <v>3.36</v>
      </c>
      <c r="K102" s="110">
        <v>3.86</v>
      </c>
      <c r="L102" s="110">
        <v>4.33</v>
      </c>
      <c r="M102" s="110">
        <v>4.37</v>
      </c>
      <c r="N102" s="110">
        <v>4.5599999999999996</v>
      </c>
      <c r="O102" s="110">
        <v>4.7300000000000004</v>
      </c>
      <c r="P102" s="110">
        <v>4.96</v>
      </c>
      <c r="Q102" s="110">
        <v>4.97</v>
      </c>
      <c r="R102" s="110">
        <v>4.57</v>
      </c>
      <c r="S102" s="58">
        <v>5.1100000000000003</v>
      </c>
      <c r="T102" s="110">
        <v>4.82</v>
      </c>
      <c r="U102" s="110">
        <v>4.7699999999999996</v>
      </c>
      <c r="V102" s="110">
        <v>4.5599999999999996</v>
      </c>
      <c r="W102" s="110">
        <v>5.38</v>
      </c>
      <c r="X102" s="110">
        <v>5.57</v>
      </c>
      <c r="Y102" s="110">
        <v>5.52</v>
      </c>
      <c r="Z102" s="110">
        <v>5.91</v>
      </c>
      <c r="AA102" s="110">
        <v>5.52</v>
      </c>
      <c r="AB102" s="110">
        <v>6.08</v>
      </c>
      <c r="AC102" s="110">
        <v>6.01</v>
      </c>
      <c r="AD102" s="110">
        <v>5.08</v>
      </c>
      <c r="AE102" s="110">
        <v>4.84</v>
      </c>
      <c r="AF102" s="110">
        <v>5.04</v>
      </c>
      <c r="AG102" s="110">
        <v>5.03</v>
      </c>
      <c r="AH102" s="110">
        <v>3.93</v>
      </c>
      <c r="AI102" s="110">
        <v>4.83</v>
      </c>
      <c r="AJ102" s="110">
        <v>5.23</v>
      </c>
      <c r="AK102" s="110">
        <v>5.74</v>
      </c>
      <c r="AL102" s="110">
        <v>5.37</v>
      </c>
      <c r="AM102" s="110">
        <v>6.16</v>
      </c>
      <c r="AN102" s="110">
        <v>6.11</v>
      </c>
      <c r="AO102" s="110">
        <v>6.4</v>
      </c>
      <c r="AP102" s="110">
        <v>6.27</v>
      </c>
      <c r="AQ102" s="110">
        <v>7.47</v>
      </c>
      <c r="AR102" s="110">
        <v>7.73</v>
      </c>
      <c r="AS102" s="110"/>
      <c r="AT102" s="110"/>
      <c r="AU102" s="110"/>
      <c r="AV102" s="110"/>
      <c r="AW102" s="110"/>
      <c r="AX102" s="110"/>
      <c r="AY102" s="111"/>
      <c r="AZ102" s="110">
        <v>2.95</v>
      </c>
      <c r="BA102" s="111">
        <v>69.47</v>
      </c>
      <c r="BB102" s="110">
        <v>10.92</v>
      </c>
      <c r="BC102" s="111">
        <v>23.33</v>
      </c>
      <c r="BD102" s="110">
        <v>17.12</v>
      </c>
      <c r="BE102" s="111">
        <v>16.989999999999998</v>
      </c>
      <c r="BF102" s="110">
        <v>19.23</v>
      </c>
      <c r="BG102" s="111">
        <v>15.08</v>
      </c>
      <c r="BH102" s="110">
        <v>19.27</v>
      </c>
      <c r="BI102" s="111">
        <v>17.12</v>
      </c>
      <c r="BJ102" s="110">
        <v>22.38</v>
      </c>
      <c r="BK102" s="111">
        <v>19.18</v>
      </c>
      <c r="BL102" s="110">
        <v>22.68</v>
      </c>
      <c r="BM102" s="111">
        <v>20.98</v>
      </c>
      <c r="BN102" s="110">
        <v>18.850000000000001</v>
      </c>
      <c r="BO102" s="111">
        <v>24.99</v>
      </c>
      <c r="BP102" s="110">
        <v>21.17</v>
      </c>
      <c r="BQ102" s="111">
        <v>24.61</v>
      </c>
      <c r="BR102" s="110">
        <v>24.94</v>
      </c>
      <c r="BS102" s="111">
        <v>24.82</v>
      </c>
      <c r="BT102" s="110"/>
      <c r="BU102" s="111"/>
      <c r="BV102" s="110"/>
      <c r="BW102" s="111"/>
      <c r="BX102" s="74"/>
      <c r="BY102" s="111">
        <v>204.93180699999999</v>
      </c>
      <c r="BZ102" s="111">
        <v>254.78577403963399</v>
      </c>
      <c r="CA102" s="111">
        <v>290.88647527357602</v>
      </c>
      <c r="CB102" s="87">
        <v>290.12</v>
      </c>
      <c r="CC102" s="104">
        <v>329.78</v>
      </c>
      <c r="CD102" s="87">
        <v>429.1</v>
      </c>
      <c r="CE102" s="87">
        <v>475.8</v>
      </c>
      <c r="CF102" s="87">
        <v>470.91</v>
      </c>
      <c r="CG102" s="87">
        <v>521.04</v>
      </c>
      <c r="CH102" s="87">
        <v>618.99</v>
      </c>
      <c r="CI102" s="70" t="s">
        <v>168</v>
      </c>
    </row>
    <row r="103" spans="1:87" s="112" customFormat="1" x14ac:dyDescent="0.2">
      <c r="A103" s="70" t="s">
        <v>169</v>
      </c>
      <c r="B103" s="173">
        <v>859.94</v>
      </c>
      <c r="C103" s="110">
        <v>1.73</v>
      </c>
      <c r="D103" s="110">
        <v>-2.67</v>
      </c>
      <c r="E103" s="110">
        <v>-1.53</v>
      </c>
      <c r="F103" s="110">
        <v>-10.3</v>
      </c>
      <c r="G103" s="110">
        <v>0.44</v>
      </c>
      <c r="H103" s="110">
        <v>2.54</v>
      </c>
      <c r="I103" s="110">
        <v>2.85</v>
      </c>
      <c r="J103" s="110">
        <v>3.49</v>
      </c>
      <c r="K103" s="110">
        <v>3.46</v>
      </c>
      <c r="L103" s="110">
        <v>3.94</v>
      </c>
      <c r="M103" s="110">
        <v>3.69</v>
      </c>
      <c r="N103" s="110">
        <v>4.05</v>
      </c>
      <c r="O103" s="110">
        <v>3.94</v>
      </c>
      <c r="P103" s="110">
        <v>4.51</v>
      </c>
      <c r="Q103" s="110">
        <v>4.34</v>
      </c>
      <c r="R103" s="110">
        <v>7.26</v>
      </c>
      <c r="S103" s="58">
        <v>4.3899999999999997</v>
      </c>
      <c r="T103" s="110">
        <v>4.4000000000000004</v>
      </c>
      <c r="U103" s="110">
        <v>5.18</v>
      </c>
      <c r="V103" s="110">
        <v>5.54</v>
      </c>
      <c r="W103" s="110">
        <v>5.14</v>
      </c>
      <c r="X103" s="110">
        <v>5.59</v>
      </c>
      <c r="Y103" s="110">
        <v>5.53</v>
      </c>
      <c r="Z103" s="110">
        <v>6.33</v>
      </c>
      <c r="AA103" s="110">
        <v>5.19</v>
      </c>
      <c r="AB103" s="110">
        <v>5.78</v>
      </c>
      <c r="AC103" s="110">
        <v>6.06</v>
      </c>
      <c r="AD103" s="110">
        <v>7.93</v>
      </c>
      <c r="AE103" s="110">
        <v>5.43</v>
      </c>
      <c r="AF103" s="110">
        <v>6.29</v>
      </c>
      <c r="AG103" s="110">
        <v>6.4</v>
      </c>
      <c r="AH103" s="110">
        <v>7.41</v>
      </c>
      <c r="AI103" s="110">
        <v>6.5</v>
      </c>
      <c r="AJ103" s="110">
        <v>7.27</v>
      </c>
      <c r="AK103" s="110">
        <v>6.81</v>
      </c>
      <c r="AL103" s="110">
        <v>6.84</v>
      </c>
      <c r="AM103" s="110">
        <v>6.9</v>
      </c>
      <c r="AN103" s="110">
        <v>7.43</v>
      </c>
      <c r="AO103" s="110">
        <v>7.44</v>
      </c>
      <c r="AP103" s="110">
        <v>12.46</v>
      </c>
      <c r="AQ103" s="110">
        <v>7.2</v>
      </c>
      <c r="AR103" s="110">
        <v>9.09</v>
      </c>
      <c r="AS103" s="110"/>
      <c r="AT103" s="110"/>
      <c r="AU103" s="110"/>
      <c r="AV103" s="110"/>
      <c r="AW103" s="110"/>
      <c r="AX103" s="110"/>
      <c r="AY103" s="111"/>
      <c r="AZ103" s="110">
        <v>-12.77</v>
      </c>
      <c r="BA103" s="111">
        <v>-12.32</v>
      </c>
      <c r="BB103" s="110">
        <v>9.32</v>
      </c>
      <c r="BC103" s="111">
        <v>23.82</v>
      </c>
      <c r="BD103" s="110">
        <v>15.14</v>
      </c>
      <c r="BE103" s="111">
        <v>18.59</v>
      </c>
      <c r="BF103" s="110">
        <v>20.04</v>
      </c>
      <c r="BG103" s="111">
        <v>14.56</v>
      </c>
      <c r="BH103" s="110">
        <v>19.510000000000002</v>
      </c>
      <c r="BI103" s="111">
        <v>18.239999999999998</v>
      </c>
      <c r="BJ103" s="110">
        <v>22.6</v>
      </c>
      <c r="BK103" s="111">
        <v>22.24</v>
      </c>
      <c r="BL103" s="110">
        <v>24.96</v>
      </c>
      <c r="BM103" s="111">
        <v>21.75</v>
      </c>
      <c r="BN103" s="110">
        <v>25.54</v>
      </c>
      <c r="BO103" s="111">
        <v>22.59</v>
      </c>
      <c r="BP103" s="110">
        <v>27.43</v>
      </c>
      <c r="BQ103" s="111">
        <v>22.08</v>
      </c>
      <c r="BR103" s="110">
        <v>34.229999999999997</v>
      </c>
      <c r="BS103" s="111">
        <v>21.37</v>
      </c>
      <c r="BT103" s="110"/>
      <c r="BU103" s="111"/>
      <c r="BV103" s="110"/>
      <c r="BW103" s="111"/>
      <c r="BX103" s="74"/>
      <c r="BY103" s="111">
        <v>157.30288400000001</v>
      </c>
      <c r="BZ103" s="111">
        <v>221.96467321973699</v>
      </c>
      <c r="CA103" s="111">
        <v>281.44054270377598</v>
      </c>
      <c r="CB103" s="87">
        <v>291.89999999999998</v>
      </c>
      <c r="CC103" s="104">
        <v>355.82</v>
      </c>
      <c r="CD103" s="87">
        <v>502.69</v>
      </c>
      <c r="CE103" s="87">
        <v>543.08000000000004</v>
      </c>
      <c r="CF103" s="87">
        <v>576.91999999999996</v>
      </c>
      <c r="CG103" s="87">
        <v>605.63</v>
      </c>
      <c r="CH103" s="87">
        <v>731.48</v>
      </c>
      <c r="CI103" s="70" t="s">
        <v>169</v>
      </c>
    </row>
    <row r="104" spans="1:87" s="112" customFormat="1" x14ac:dyDescent="0.2">
      <c r="A104" s="70" t="s">
        <v>170</v>
      </c>
      <c r="B104" s="173">
        <v>599.33000000000004</v>
      </c>
      <c r="C104" s="110">
        <v>3.79</v>
      </c>
      <c r="D104" s="110">
        <v>3.6</v>
      </c>
      <c r="E104" s="110">
        <v>4.5</v>
      </c>
      <c r="F104" s="110">
        <v>2.61</v>
      </c>
      <c r="G104" s="110">
        <v>3.56</v>
      </c>
      <c r="H104" s="110">
        <v>4.41</v>
      </c>
      <c r="I104" s="110">
        <v>4.57</v>
      </c>
      <c r="J104" s="110">
        <v>4.3499999999999996</v>
      </c>
      <c r="K104" s="110">
        <v>4.0999999999999996</v>
      </c>
      <c r="L104" s="110">
        <v>4.79</v>
      </c>
      <c r="M104" s="110">
        <v>4.66</v>
      </c>
      <c r="N104" s="110">
        <v>6.13</v>
      </c>
      <c r="O104" s="110">
        <v>4.88</v>
      </c>
      <c r="P104" s="110">
        <v>5.26</v>
      </c>
      <c r="Q104" s="110">
        <v>5.04</v>
      </c>
      <c r="R104" s="110">
        <v>4.4800000000000004</v>
      </c>
      <c r="S104" s="58">
        <v>4.82</v>
      </c>
      <c r="T104" s="110">
        <v>5.36</v>
      </c>
      <c r="U104" s="110">
        <v>5.43</v>
      </c>
      <c r="V104" s="110">
        <v>6.16</v>
      </c>
      <c r="W104" s="110">
        <v>5.24</v>
      </c>
      <c r="X104" s="110">
        <v>5.71</v>
      </c>
      <c r="Y104" s="110">
        <v>6.74</v>
      </c>
      <c r="Z104" s="110">
        <v>5.91</v>
      </c>
      <c r="AA104" s="110">
        <v>5.15</v>
      </c>
      <c r="AB104" s="110">
        <v>6.01</v>
      </c>
      <c r="AC104" s="110">
        <v>5.7</v>
      </c>
      <c r="AD104" s="110">
        <v>5.08</v>
      </c>
      <c r="AE104" s="110">
        <v>5.19</v>
      </c>
      <c r="AF104" s="110">
        <v>5.76</v>
      </c>
      <c r="AG104" s="110">
        <v>6.94</v>
      </c>
      <c r="AH104" s="110">
        <v>5.31</v>
      </c>
      <c r="AI104" s="110">
        <v>5.94</v>
      </c>
      <c r="AJ104" s="110">
        <v>6.4</v>
      </c>
      <c r="AK104" s="110">
        <v>6.3</v>
      </c>
      <c r="AL104" s="110">
        <v>8.74</v>
      </c>
      <c r="AM104" s="110">
        <v>5.61</v>
      </c>
      <c r="AN104" s="110">
        <v>6.26</v>
      </c>
      <c r="AO104" s="110">
        <v>6.64</v>
      </c>
      <c r="AP104" s="110">
        <v>8.1</v>
      </c>
      <c r="AQ104" s="110">
        <v>7.19</v>
      </c>
      <c r="AR104" s="110">
        <v>6.26</v>
      </c>
      <c r="AS104" s="110"/>
      <c r="AT104" s="110"/>
      <c r="AU104" s="110"/>
      <c r="AV104" s="110"/>
      <c r="AW104" s="110"/>
      <c r="AX104" s="110"/>
      <c r="AY104" s="111"/>
      <c r="AZ104" s="110">
        <v>14.5</v>
      </c>
      <c r="BA104" s="111">
        <v>17.52</v>
      </c>
      <c r="BB104" s="110">
        <v>16.89</v>
      </c>
      <c r="BC104" s="111">
        <v>16.8</v>
      </c>
      <c r="BD104" s="110">
        <v>19.690000000000001</v>
      </c>
      <c r="BE104" s="111">
        <v>16.03</v>
      </c>
      <c r="BF104" s="110">
        <v>19.649999999999999</v>
      </c>
      <c r="BG104" s="111">
        <v>17.8</v>
      </c>
      <c r="BH104" s="110">
        <v>21.77</v>
      </c>
      <c r="BI104" s="111">
        <v>17.32</v>
      </c>
      <c r="BJ104" s="110">
        <v>23.6</v>
      </c>
      <c r="BK104" s="111">
        <v>19.71</v>
      </c>
      <c r="BL104" s="110">
        <v>21.93</v>
      </c>
      <c r="BM104" s="111">
        <v>24.07</v>
      </c>
      <c r="BN104" s="110">
        <v>23.2</v>
      </c>
      <c r="BO104" s="111">
        <v>23.54</v>
      </c>
      <c r="BP104" s="110">
        <v>27.37</v>
      </c>
      <c r="BQ104" s="111">
        <v>20.57</v>
      </c>
      <c r="BR104" s="110">
        <v>26.62</v>
      </c>
      <c r="BS104" s="111">
        <v>23.3</v>
      </c>
      <c r="BT104" s="110"/>
      <c r="BU104" s="111"/>
      <c r="BV104" s="110"/>
      <c r="BW104" s="111"/>
      <c r="BX104" s="74"/>
      <c r="BY104" s="111">
        <v>253.99034599999999</v>
      </c>
      <c r="BZ104" s="111">
        <v>283.69700322462802</v>
      </c>
      <c r="CA104" s="111">
        <v>315.59918175809997</v>
      </c>
      <c r="CB104" s="87">
        <v>349.81</v>
      </c>
      <c r="CC104" s="104">
        <v>377.01</v>
      </c>
      <c r="CD104" s="87">
        <v>465.29</v>
      </c>
      <c r="CE104" s="87">
        <v>527.99</v>
      </c>
      <c r="CF104" s="87">
        <v>545.97</v>
      </c>
      <c r="CG104" s="87">
        <v>562.89</v>
      </c>
      <c r="CH104" s="87">
        <v>620.03</v>
      </c>
      <c r="CI104" s="70" t="s">
        <v>170</v>
      </c>
    </row>
    <row r="105" spans="1:87" s="112" customFormat="1" x14ac:dyDescent="0.2">
      <c r="A105" s="70" t="s">
        <v>171</v>
      </c>
      <c r="B105" s="173">
        <v>570.46</v>
      </c>
      <c r="C105" s="110">
        <v>12.47</v>
      </c>
      <c r="D105" s="110">
        <v>13.61</v>
      </c>
      <c r="E105" s="110">
        <v>20.84</v>
      </c>
      <c r="F105" s="110">
        <v>-12.75</v>
      </c>
      <c r="G105" s="110">
        <v>-1.3</v>
      </c>
      <c r="H105" s="110">
        <v>4.25</v>
      </c>
      <c r="I105" s="110">
        <v>6.13</v>
      </c>
      <c r="J105" s="110">
        <v>6.24</v>
      </c>
      <c r="K105" s="110">
        <v>8.64</v>
      </c>
      <c r="L105" s="110">
        <v>10.039999999999999</v>
      </c>
      <c r="M105" s="110">
        <v>8.84</v>
      </c>
      <c r="N105" s="110">
        <v>9.2799999999999994</v>
      </c>
      <c r="O105" s="110">
        <v>11.02</v>
      </c>
      <c r="P105" s="110">
        <v>13.05</v>
      </c>
      <c r="Q105" s="110">
        <v>12.39</v>
      </c>
      <c r="R105" s="110">
        <v>9.98</v>
      </c>
      <c r="S105" s="58">
        <v>12.07</v>
      </c>
      <c r="T105" s="110">
        <v>13.25</v>
      </c>
      <c r="U105" s="110">
        <v>9.8800000000000008</v>
      </c>
      <c r="V105" s="110">
        <v>9.51</v>
      </c>
      <c r="W105" s="110">
        <v>11.03</v>
      </c>
      <c r="X105" s="110">
        <v>12.11</v>
      </c>
      <c r="Y105" s="110">
        <v>10.15</v>
      </c>
      <c r="Z105" s="110">
        <v>9.1999999999999993</v>
      </c>
      <c r="AA105" s="110">
        <v>10.32</v>
      </c>
      <c r="AB105" s="110">
        <v>11.62</v>
      </c>
      <c r="AC105" s="110">
        <v>11.84</v>
      </c>
      <c r="AD105" s="110">
        <v>1.2</v>
      </c>
      <c r="AE105" s="110">
        <v>-2.48</v>
      </c>
      <c r="AF105" s="110">
        <v>-3.26</v>
      </c>
      <c r="AG105" s="110">
        <v>-8.3800000000000008</v>
      </c>
      <c r="AH105" s="110">
        <v>-17.98</v>
      </c>
      <c r="AI105" s="110">
        <v>-6.16</v>
      </c>
      <c r="AJ105" s="110">
        <v>-5.8</v>
      </c>
      <c r="AK105" s="110">
        <v>-0.63</v>
      </c>
      <c r="AL105" s="110">
        <v>-3.86</v>
      </c>
      <c r="AM105" s="110">
        <v>3.94</v>
      </c>
      <c r="AN105" s="110">
        <v>0.62</v>
      </c>
      <c r="AO105" s="110">
        <v>2.66</v>
      </c>
      <c r="AP105" s="110">
        <v>9.77</v>
      </c>
      <c r="AQ105" s="110">
        <v>5.53</v>
      </c>
      <c r="AR105" s="110">
        <v>4.95</v>
      </c>
      <c r="AS105" s="110"/>
      <c r="AT105" s="110"/>
      <c r="AU105" s="110"/>
      <c r="AV105" s="110"/>
      <c r="AW105" s="110"/>
      <c r="AX105" s="110"/>
      <c r="AY105" s="111"/>
      <c r="AZ105" s="110">
        <v>34.17</v>
      </c>
      <c r="BA105" s="111">
        <v>11.68</v>
      </c>
      <c r="BB105" s="110">
        <v>15.32</v>
      </c>
      <c r="BC105" s="111">
        <v>29.68</v>
      </c>
      <c r="BD105" s="110">
        <v>36.799999999999997</v>
      </c>
      <c r="BE105" s="111">
        <v>14.69</v>
      </c>
      <c r="BF105" s="110">
        <v>46.45</v>
      </c>
      <c r="BG105" s="111">
        <v>11.88</v>
      </c>
      <c r="BH105" s="110">
        <v>44.71</v>
      </c>
      <c r="BI105" s="111">
        <v>12.61</v>
      </c>
      <c r="BJ105" s="110">
        <v>42.49</v>
      </c>
      <c r="BK105" s="111">
        <v>16.27</v>
      </c>
      <c r="BL105" s="110">
        <v>35</v>
      </c>
      <c r="BM105" s="111">
        <v>17.54</v>
      </c>
      <c r="BN105" s="110">
        <v>-32.11</v>
      </c>
      <c r="BO105" s="111">
        <v>-14.45</v>
      </c>
      <c r="BP105" s="110">
        <v>-16.440000000000001</v>
      </c>
      <c r="BQ105" s="111">
        <v>-34.9</v>
      </c>
      <c r="BR105" s="110">
        <v>16.989999999999998</v>
      </c>
      <c r="BS105" s="111">
        <v>32.19</v>
      </c>
      <c r="BT105" s="110"/>
      <c r="BU105" s="111"/>
      <c r="BV105" s="110"/>
      <c r="BW105" s="111"/>
      <c r="BX105" s="74"/>
      <c r="BY105" s="111">
        <v>399.124324</v>
      </c>
      <c r="BZ105" s="111">
        <v>454.72875056943002</v>
      </c>
      <c r="CA105" s="111">
        <v>540.64938728528705</v>
      </c>
      <c r="CB105" s="87">
        <v>551.87</v>
      </c>
      <c r="CC105" s="104">
        <v>563.64</v>
      </c>
      <c r="CD105" s="87">
        <v>691.56</v>
      </c>
      <c r="CE105" s="87">
        <v>613.71</v>
      </c>
      <c r="CF105" s="87">
        <v>463.95</v>
      </c>
      <c r="CG105" s="87">
        <v>573.98</v>
      </c>
      <c r="CH105" s="87">
        <v>546.99</v>
      </c>
      <c r="CI105" s="70" t="s">
        <v>171</v>
      </c>
    </row>
    <row r="106" spans="1:87" s="112" customFormat="1" x14ac:dyDescent="0.2">
      <c r="A106" s="70" t="s">
        <v>172</v>
      </c>
      <c r="B106" s="173">
        <v>527.74</v>
      </c>
      <c r="C106" s="110">
        <v>-0.48</v>
      </c>
      <c r="D106" s="110">
        <v>-2.36</v>
      </c>
      <c r="E106" s="110">
        <v>-10.08</v>
      </c>
      <c r="F106" s="110">
        <v>-22.96</v>
      </c>
      <c r="G106" s="110">
        <v>-0.23</v>
      </c>
      <c r="H106" s="110">
        <v>2</v>
      </c>
      <c r="I106" s="110">
        <v>1.1000000000000001</v>
      </c>
      <c r="J106" s="110">
        <v>-0.04</v>
      </c>
      <c r="K106" s="110">
        <v>3.49</v>
      </c>
      <c r="L106" s="110">
        <v>3.47</v>
      </c>
      <c r="M106" s="110">
        <v>2.54</v>
      </c>
      <c r="N106" s="110">
        <v>3.56</v>
      </c>
      <c r="O106" s="110">
        <v>3.63</v>
      </c>
      <c r="P106" s="110">
        <v>2.69</v>
      </c>
      <c r="Q106" s="110">
        <v>4.37</v>
      </c>
      <c r="R106" s="110">
        <v>3.85</v>
      </c>
      <c r="S106" s="58">
        <v>4.16</v>
      </c>
      <c r="T106" s="110">
        <v>4.3</v>
      </c>
      <c r="U106" s="110">
        <v>4.01</v>
      </c>
      <c r="V106" s="110">
        <v>4</v>
      </c>
      <c r="W106" s="110">
        <v>4.95</v>
      </c>
      <c r="X106" s="110">
        <v>5.44</v>
      </c>
      <c r="Y106" s="110">
        <v>4.54</v>
      </c>
      <c r="Z106" s="110">
        <v>4.96</v>
      </c>
      <c r="AA106" s="110">
        <v>5.16</v>
      </c>
      <c r="AB106" s="110">
        <v>5.46</v>
      </c>
      <c r="AC106" s="110">
        <v>5.23</v>
      </c>
      <c r="AD106" s="110">
        <v>4.57</v>
      </c>
      <c r="AE106" s="110">
        <v>6.13</v>
      </c>
      <c r="AF106" s="110">
        <v>5.95</v>
      </c>
      <c r="AG106" s="110">
        <v>5.87</v>
      </c>
      <c r="AH106" s="110">
        <v>4.8899999999999997</v>
      </c>
      <c r="AI106" s="110">
        <v>5.61</v>
      </c>
      <c r="AJ106" s="110">
        <v>5.75</v>
      </c>
      <c r="AK106" s="110">
        <v>7.31</v>
      </c>
      <c r="AL106" s="110">
        <v>6.1</v>
      </c>
      <c r="AM106" s="110">
        <v>7.23</v>
      </c>
      <c r="AN106" s="110">
        <v>7.23</v>
      </c>
      <c r="AO106" s="110">
        <v>6.44</v>
      </c>
      <c r="AP106" s="110">
        <v>6.5</v>
      </c>
      <c r="AQ106" s="110">
        <v>8.52</v>
      </c>
      <c r="AR106" s="110">
        <v>9.69</v>
      </c>
      <c r="AS106" s="110"/>
      <c r="AT106" s="110"/>
      <c r="AU106" s="110"/>
      <c r="AV106" s="110"/>
      <c r="AW106" s="110"/>
      <c r="AX106" s="110"/>
      <c r="AY106" s="111"/>
      <c r="AZ106" s="110">
        <v>-35.880000000000003</v>
      </c>
      <c r="BA106" s="111">
        <v>-5.24</v>
      </c>
      <c r="BB106" s="110">
        <v>2.83</v>
      </c>
      <c r="BC106" s="111">
        <v>74.900000000000006</v>
      </c>
      <c r="BD106" s="110">
        <v>13.07</v>
      </c>
      <c r="BE106" s="111">
        <v>18.12</v>
      </c>
      <c r="BF106" s="110">
        <v>14.54</v>
      </c>
      <c r="BG106" s="111">
        <v>13.58</v>
      </c>
      <c r="BH106" s="110">
        <v>16.46</v>
      </c>
      <c r="BI106" s="111">
        <v>14.9</v>
      </c>
      <c r="BJ106" s="110">
        <v>19.89</v>
      </c>
      <c r="BK106" s="111">
        <v>16.239999999999998</v>
      </c>
      <c r="BL106" s="110">
        <v>20.41</v>
      </c>
      <c r="BM106" s="111">
        <v>17.82</v>
      </c>
      <c r="BN106" s="110">
        <v>22.84</v>
      </c>
      <c r="BO106" s="111">
        <v>15.47</v>
      </c>
      <c r="BP106" s="110">
        <v>24.76</v>
      </c>
      <c r="BQ106" s="111">
        <v>17.34</v>
      </c>
      <c r="BR106" s="110">
        <v>27.4</v>
      </c>
      <c r="BS106" s="111">
        <v>18.61</v>
      </c>
      <c r="BT106" s="110"/>
      <c r="BU106" s="111"/>
      <c r="BV106" s="110"/>
      <c r="BW106" s="111"/>
      <c r="BX106" s="74"/>
      <c r="BY106" s="111">
        <v>187.99776499999999</v>
      </c>
      <c r="BZ106" s="111">
        <v>211.96466059482</v>
      </c>
      <c r="CA106" s="111">
        <v>236.71917825364301</v>
      </c>
      <c r="CB106" s="87">
        <v>197.47</v>
      </c>
      <c r="CC106" s="104">
        <v>245.32</v>
      </c>
      <c r="CD106" s="87">
        <v>322.92</v>
      </c>
      <c r="CE106" s="87">
        <v>363.69</v>
      </c>
      <c r="CF106" s="87">
        <v>353.45</v>
      </c>
      <c r="CG106" s="87">
        <v>429.46</v>
      </c>
      <c r="CH106" s="87">
        <v>509.92</v>
      </c>
      <c r="CI106" s="70" t="s">
        <v>172</v>
      </c>
    </row>
    <row r="107" spans="1:87" s="112" customFormat="1" x14ac:dyDescent="0.2">
      <c r="A107" s="70" t="s">
        <v>173</v>
      </c>
      <c r="B107" s="173">
        <v>1157.6199999999999</v>
      </c>
      <c r="C107" s="110">
        <v>5.35</v>
      </c>
      <c r="D107" s="110">
        <v>5.55</v>
      </c>
      <c r="E107" s="110">
        <v>4.96</v>
      </c>
      <c r="F107" s="110">
        <v>2.36</v>
      </c>
      <c r="G107" s="110">
        <v>4.8899999999999997</v>
      </c>
      <c r="H107" s="110">
        <v>5.84</v>
      </c>
      <c r="I107" s="110">
        <v>6.42</v>
      </c>
      <c r="J107" s="110">
        <v>6.61</v>
      </c>
      <c r="K107" s="110">
        <v>5.23</v>
      </c>
      <c r="L107" s="110">
        <v>5.93</v>
      </c>
      <c r="M107" s="110">
        <v>5.38</v>
      </c>
      <c r="N107" s="110">
        <v>5.13</v>
      </c>
      <c r="O107" s="110">
        <v>6.28</v>
      </c>
      <c r="P107" s="110">
        <v>6.93</v>
      </c>
      <c r="Q107" s="110">
        <v>6.13</v>
      </c>
      <c r="R107" s="110">
        <v>5.29</v>
      </c>
      <c r="S107" s="58">
        <v>6.95</v>
      </c>
      <c r="T107" s="110">
        <v>5.53</v>
      </c>
      <c r="U107" s="110">
        <v>6.65</v>
      </c>
      <c r="V107" s="110">
        <v>5.6</v>
      </c>
      <c r="W107" s="110">
        <v>6.79</v>
      </c>
      <c r="X107" s="110">
        <v>6.96</v>
      </c>
      <c r="Y107" s="110">
        <v>6.68</v>
      </c>
      <c r="Z107" s="110">
        <v>6.12</v>
      </c>
      <c r="AA107" s="110">
        <v>7.27</v>
      </c>
      <c r="AB107" s="110">
        <v>8.59</v>
      </c>
      <c r="AC107" s="110">
        <v>7.36</v>
      </c>
      <c r="AD107" s="110">
        <v>8.09</v>
      </c>
      <c r="AE107" s="110">
        <v>7.86</v>
      </c>
      <c r="AF107" s="110">
        <v>8.5</v>
      </c>
      <c r="AG107" s="110">
        <v>8.08</v>
      </c>
      <c r="AH107" s="110">
        <v>7.24</v>
      </c>
      <c r="AI107" s="110">
        <v>9.93</v>
      </c>
      <c r="AJ107" s="110">
        <v>9.26</v>
      </c>
      <c r="AK107" s="110">
        <v>8.1999999999999993</v>
      </c>
      <c r="AL107" s="110">
        <v>6.88</v>
      </c>
      <c r="AM107" s="110">
        <v>10.220000000000001</v>
      </c>
      <c r="AN107" s="110">
        <v>9.32</v>
      </c>
      <c r="AO107" s="110">
        <v>8.08</v>
      </c>
      <c r="AP107" s="110">
        <v>0.85</v>
      </c>
      <c r="AQ107" s="110">
        <v>10.51</v>
      </c>
      <c r="AR107" s="110">
        <v>8.66</v>
      </c>
      <c r="AS107" s="110"/>
      <c r="AT107" s="110"/>
      <c r="AU107" s="110"/>
      <c r="AV107" s="110"/>
      <c r="AW107" s="110"/>
      <c r="AX107" s="110"/>
      <c r="AY107" s="111"/>
      <c r="AZ107" s="110">
        <v>18.22</v>
      </c>
      <c r="BA107" s="111">
        <v>16.82</v>
      </c>
      <c r="BB107" s="110">
        <v>23.76</v>
      </c>
      <c r="BC107" s="111">
        <v>15.26</v>
      </c>
      <c r="BD107" s="110">
        <v>21.67</v>
      </c>
      <c r="BE107" s="111">
        <v>17.27</v>
      </c>
      <c r="BF107" s="110">
        <v>24.63</v>
      </c>
      <c r="BG107" s="111">
        <v>16.649999999999999</v>
      </c>
      <c r="BH107" s="110">
        <v>24.74</v>
      </c>
      <c r="BI107" s="111">
        <v>19.21</v>
      </c>
      <c r="BJ107" s="110">
        <v>26.55</v>
      </c>
      <c r="BK107" s="111">
        <v>25</v>
      </c>
      <c r="BL107" s="110">
        <v>31.31</v>
      </c>
      <c r="BM107" s="111">
        <v>26.06</v>
      </c>
      <c r="BN107" s="110">
        <v>31.69</v>
      </c>
      <c r="BO107" s="111">
        <v>27.25</v>
      </c>
      <c r="BP107" s="110">
        <v>34.26</v>
      </c>
      <c r="BQ107" s="111">
        <v>24.28</v>
      </c>
      <c r="BR107" s="110">
        <v>28.47</v>
      </c>
      <c r="BS107" s="111">
        <v>35.22</v>
      </c>
      <c r="BT107" s="110"/>
      <c r="BU107" s="111"/>
      <c r="BV107" s="110"/>
      <c r="BW107" s="111"/>
      <c r="BX107" s="74"/>
      <c r="BY107" s="111">
        <v>306.441464</v>
      </c>
      <c r="BZ107" s="111">
        <v>362.62085543049</v>
      </c>
      <c r="CA107" s="111">
        <v>374.18163178383003</v>
      </c>
      <c r="CB107" s="87">
        <v>410.14</v>
      </c>
      <c r="CC107" s="104">
        <v>475.27</v>
      </c>
      <c r="CD107" s="87">
        <v>663.81</v>
      </c>
      <c r="CE107" s="87">
        <v>815.87</v>
      </c>
      <c r="CF107" s="87">
        <v>863.43</v>
      </c>
      <c r="CG107" s="87">
        <v>832.05</v>
      </c>
      <c r="CH107" s="87">
        <v>1002.7</v>
      </c>
      <c r="CI107" s="70" t="s">
        <v>173</v>
      </c>
    </row>
    <row r="108" spans="1:87" s="112" customFormat="1" x14ac:dyDescent="0.2">
      <c r="A108" s="70" t="s">
        <v>174</v>
      </c>
      <c r="B108" s="173">
        <v>720.9</v>
      </c>
      <c r="C108" s="110">
        <v>4.9000000000000004</v>
      </c>
      <c r="D108" s="110">
        <v>5.6</v>
      </c>
      <c r="E108" s="110">
        <v>4.93</v>
      </c>
      <c r="F108" s="110">
        <v>1.23</v>
      </c>
      <c r="G108" s="110">
        <v>1.96</v>
      </c>
      <c r="H108" s="110">
        <v>3.22</v>
      </c>
      <c r="I108" s="110">
        <v>2.94</v>
      </c>
      <c r="J108" s="110">
        <v>3.84</v>
      </c>
      <c r="K108" s="110">
        <v>3.29</v>
      </c>
      <c r="L108" s="110">
        <v>4.54</v>
      </c>
      <c r="M108" s="110">
        <v>4.66</v>
      </c>
      <c r="N108" s="110">
        <v>4.57</v>
      </c>
      <c r="O108" s="110">
        <v>4.68</v>
      </c>
      <c r="P108" s="110">
        <v>5.48</v>
      </c>
      <c r="Q108" s="110">
        <v>5.12</v>
      </c>
      <c r="R108" s="110">
        <v>5</v>
      </c>
      <c r="S108" s="58">
        <v>5.49</v>
      </c>
      <c r="T108" s="110">
        <v>6.11</v>
      </c>
      <c r="U108" s="110">
        <v>5.2</v>
      </c>
      <c r="V108" s="110">
        <v>3.9</v>
      </c>
      <c r="W108" s="110">
        <v>5.59</v>
      </c>
      <c r="X108" s="110">
        <v>6.01</v>
      </c>
      <c r="Y108" s="110">
        <v>6.54</v>
      </c>
      <c r="Z108" s="110">
        <v>7.99</v>
      </c>
      <c r="AA108" s="110">
        <v>5.63</v>
      </c>
      <c r="AB108" s="110">
        <v>7</v>
      </c>
      <c r="AC108" s="110">
        <v>6.97</v>
      </c>
      <c r="AD108" s="110">
        <v>6.03</v>
      </c>
      <c r="AE108" s="110">
        <v>2.97</v>
      </c>
      <c r="AF108" s="110">
        <v>6.86</v>
      </c>
      <c r="AG108" s="110">
        <v>7.57</v>
      </c>
      <c r="AH108" s="110">
        <v>6.13</v>
      </c>
      <c r="AI108" s="110">
        <v>5.07</v>
      </c>
      <c r="AJ108" s="110">
        <v>7.18</v>
      </c>
      <c r="AK108" s="110">
        <v>7.46</v>
      </c>
      <c r="AL108" s="110">
        <v>5.61</v>
      </c>
      <c r="AM108" s="110">
        <v>5.91</v>
      </c>
      <c r="AN108" s="110">
        <v>7.91</v>
      </c>
      <c r="AO108" s="110">
        <v>8.25</v>
      </c>
      <c r="AP108" s="110">
        <v>6.52</v>
      </c>
      <c r="AQ108" s="110">
        <v>7.74</v>
      </c>
      <c r="AR108" s="110">
        <v>9.41</v>
      </c>
      <c r="AS108" s="110"/>
      <c r="AT108" s="110"/>
      <c r="AU108" s="110"/>
      <c r="AV108" s="110"/>
      <c r="AW108" s="110"/>
      <c r="AX108" s="110"/>
      <c r="AY108" s="111"/>
      <c r="AZ108" s="110">
        <v>16.66</v>
      </c>
      <c r="BA108" s="111">
        <v>12.83</v>
      </c>
      <c r="BB108" s="110">
        <v>11.96</v>
      </c>
      <c r="BC108" s="111">
        <v>21.15</v>
      </c>
      <c r="BD108" s="110">
        <v>17.07</v>
      </c>
      <c r="BE108" s="111">
        <v>18.48</v>
      </c>
      <c r="BF108" s="110">
        <v>20.28</v>
      </c>
      <c r="BG108" s="111">
        <v>15.09</v>
      </c>
      <c r="BH108" s="110">
        <v>20.7</v>
      </c>
      <c r="BI108" s="111">
        <v>16.829999999999998</v>
      </c>
      <c r="BJ108" s="110">
        <v>26.13</v>
      </c>
      <c r="BK108" s="111">
        <v>18.45</v>
      </c>
      <c r="BL108" s="110">
        <v>25.63</v>
      </c>
      <c r="BM108" s="111">
        <v>20.02</v>
      </c>
      <c r="BN108" s="110">
        <v>23.53</v>
      </c>
      <c r="BO108" s="111">
        <v>20.77</v>
      </c>
      <c r="BP108" s="110">
        <v>25.33</v>
      </c>
      <c r="BQ108" s="111">
        <v>22.74</v>
      </c>
      <c r="BR108" s="110">
        <v>28.59</v>
      </c>
      <c r="BS108" s="111">
        <v>23.92</v>
      </c>
      <c r="BT108" s="110"/>
      <c r="BU108" s="111"/>
      <c r="BV108" s="110"/>
      <c r="BW108" s="111"/>
      <c r="BX108" s="74"/>
      <c r="BY108" s="111">
        <v>213.73174499999999</v>
      </c>
      <c r="BZ108" s="111">
        <v>252.96700092362499</v>
      </c>
      <c r="CA108" s="111">
        <v>315.41173690856698</v>
      </c>
      <c r="CB108" s="87">
        <v>306.02999999999997</v>
      </c>
      <c r="CC108" s="104">
        <v>348.35</v>
      </c>
      <c r="CD108" s="87">
        <v>482.23</v>
      </c>
      <c r="CE108" s="87">
        <v>513.05999999999995</v>
      </c>
      <c r="CF108" s="87">
        <v>488.83</v>
      </c>
      <c r="CG108" s="87">
        <v>575.83000000000004</v>
      </c>
      <c r="CH108" s="87">
        <v>683.83</v>
      </c>
      <c r="CI108" s="70" t="s">
        <v>174</v>
      </c>
    </row>
    <row r="109" spans="1:87" s="112" customFormat="1" x14ac:dyDescent="0.2">
      <c r="A109" s="70" t="s">
        <v>175</v>
      </c>
      <c r="B109" s="173">
        <v>1346.03</v>
      </c>
      <c r="C109" s="110">
        <v>4.1399999999999997</v>
      </c>
      <c r="D109" s="110">
        <v>4.53</v>
      </c>
      <c r="E109" s="110">
        <v>3.72</v>
      </c>
      <c r="F109" s="110">
        <v>-1.95</v>
      </c>
      <c r="G109" s="110">
        <v>1.1100000000000001</v>
      </c>
      <c r="H109" s="110">
        <v>2.85</v>
      </c>
      <c r="I109" s="110">
        <v>4.1900000000000004</v>
      </c>
      <c r="J109" s="110">
        <v>6.17</v>
      </c>
      <c r="K109" s="110">
        <v>5.36</v>
      </c>
      <c r="L109" s="110">
        <v>5.66</v>
      </c>
      <c r="M109" s="110">
        <v>6.71</v>
      </c>
      <c r="N109" s="110">
        <v>7.82</v>
      </c>
      <c r="O109" s="110">
        <v>6.94</v>
      </c>
      <c r="P109" s="110">
        <v>7.32</v>
      </c>
      <c r="Q109" s="110">
        <v>6.21</v>
      </c>
      <c r="R109" s="110">
        <v>8.07</v>
      </c>
      <c r="S109" s="58">
        <v>7.56</v>
      </c>
      <c r="T109" s="110">
        <v>4.5199999999999996</v>
      </c>
      <c r="U109" s="110">
        <v>5.91</v>
      </c>
      <c r="V109" s="110">
        <v>8.83</v>
      </c>
      <c r="W109" s="110">
        <v>7.64</v>
      </c>
      <c r="X109" s="110">
        <v>7.01</v>
      </c>
      <c r="Y109" s="110">
        <v>7.76</v>
      </c>
      <c r="Z109" s="110">
        <v>9.19</v>
      </c>
      <c r="AA109" s="110">
        <v>7.46</v>
      </c>
      <c r="AB109" s="110">
        <v>7.92</v>
      </c>
      <c r="AC109" s="110">
        <v>9.08</v>
      </c>
      <c r="AD109" s="110">
        <v>10.52</v>
      </c>
      <c r="AE109" s="110">
        <v>8.34</v>
      </c>
      <c r="AF109" s="110">
        <v>6.43</v>
      </c>
      <c r="AG109" s="110">
        <v>8.39</v>
      </c>
      <c r="AH109" s="110">
        <v>9.92</v>
      </c>
      <c r="AI109" s="110">
        <v>7.34</v>
      </c>
      <c r="AJ109" s="110">
        <v>7.91</v>
      </c>
      <c r="AK109" s="110">
        <v>8.65</v>
      </c>
      <c r="AL109" s="110">
        <v>12.41</v>
      </c>
      <c r="AM109" s="110">
        <v>9.4600000000000009</v>
      </c>
      <c r="AN109" s="110">
        <v>9.77</v>
      </c>
      <c r="AO109" s="110">
        <v>11.85</v>
      </c>
      <c r="AP109" s="110">
        <v>2.84</v>
      </c>
      <c r="AQ109" s="110">
        <v>12.87</v>
      </c>
      <c r="AR109" s="110">
        <v>13.64</v>
      </c>
      <c r="AS109" s="110"/>
      <c r="AT109" s="110"/>
      <c r="AU109" s="110"/>
      <c r="AV109" s="110"/>
      <c r="AW109" s="110"/>
      <c r="AX109" s="110"/>
      <c r="AY109" s="111"/>
      <c r="AZ109" s="110">
        <v>10.44</v>
      </c>
      <c r="BA109" s="111">
        <v>22.85</v>
      </c>
      <c r="BB109" s="110">
        <v>14.32</v>
      </c>
      <c r="BC109" s="111">
        <v>26.55</v>
      </c>
      <c r="BD109" s="110">
        <v>25.55</v>
      </c>
      <c r="BE109" s="111">
        <v>16.54</v>
      </c>
      <c r="BF109" s="110">
        <v>28.54</v>
      </c>
      <c r="BG109" s="111">
        <v>14.82</v>
      </c>
      <c r="BH109" s="110">
        <v>26.82</v>
      </c>
      <c r="BI109" s="111">
        <v>17.850000000000001</v>
      </c>
      <c r="BJ109" s="110">
        <v>31.6</v>
      </c>
      <c r="BK109" s="111">
        <v>19.239999999999998</v>
      </c>
      <c r="BL109" s="110">
        <v>34.97</v>
      </c>
      <c r="BM109" s="111">
        <v>20.37</v>
      </c>
      <c r="BN109" s="110">
        <v>33.07</v>
      </c>
      <c r="BO109" s="111">
        <v>22.41</v>
      </c>
      <c r="BP109" s="110">
        <v>36.32</v>
      </c>
      <c r="BQ109" s="111">
        <v>23.06</v>
      </c>
      <c r="BR109" s="110">
        <v>33.92</v>
      </c>
      <c r="BS109" s="111">
        <v>33.46</v>
      </c>
      <c r="BT109" s="110"/>
      <c r="BU109" s="111"/>
      <c r="BV109" s="110"/>
      <c r="BW109" s="111"/>
      <c r="BX109" s="74"/>
      <c r="BY109" s="111">
        <v>238.53137599999999</v>
      </c>
      <c r="BZ109" s="111">
        <v>380.15106433751703</v>
      </c>
      <c r="CA109" s="111">
        <v>422.46609634945401</v>
      </c>
      <c r="CB109" s="87">
        <v>423.04</v>
      </c>
      <c r="CC109" s="104">
        <v>478.87</v>
      </c>
      <c r="CD109" s="87">
        <v>608</v>
      </c>
      <c r="CE109" s="87">
        <v>712.45</v>
      </c>
      <c r="CF109" s="87">
        <v>741.27</v>
      </c>
      <c r="CG109" s="87">
        <v>837.68</v>
      </c>
      <c r="CH109" s="87">
        <v>1134.95</v>
      </c>
      <c r="CI109" s="70" t="s">
        <v>175</v>
      </c>
    </row>
    <row r="110" spans="1:87" s="112" customFormat="1" x14ac:dyDescent="0.2">
      <c r="A110" s="70" t="s">
        <v>176</v>
      </c>
      <c r="B110" s="173">
        <v>413.47</v>
      </c>
      <c r="C110" s="110">
        <v>4.0599999999999996</v>
      </c>
      <c r="D110" s="110">
        <v>4.38</v>
      </c>
      <c r="E110" s="110">
        <v>3.15</v>
      </c>
      <c r="F110" s="110">
        <v>-10.29</v>
      </c>
      <c r="G110" s="110">
        <v>0.62</v>
      </c>
      <c r="H110" s="110">
        <v>1.44</v>
      </c>
      <c r="I110" s="110">
        <v>2.62</v>
      </c>
      <c r="J110" s="110">
        <v>1.65</v>
      </c>
      <c r="K110" s="110">
        <v>2.63</v>
      </c>
      <c r="L110" s="110">
        <v>3.49</v>
      </c>
      <c r="M110" s="110">
        <v>4.07</v>
      </c>
      <c r="N110" s="110">
        <v>2.93</v>
      </c>
      <c r="O110" s="110">
        <v>4.59</v>
      </c>
      <c r="P110" s="110">
        <v>4.99</v>
      </c>
      <c r="Q110" s="110">
        <v>3.56</v>
      </c>
      <c r="R110" s="110">
        <v>1.22</v>
      </c>
      <c r="S110" s="58">
        <v>3.85</v>
      </c>
      <c r="T110" s="110">
        <v>3.88</v>
      </c>
      <c r="U110" s="110">
        <v>2.21</v>
      </c>
      <c r="V110" s="110">
        <v>1.42</v>
      </c>
      <c r="W110" s="110">
        <v>4.09</v>
      </c>
      <c r="X110" s="110">
        <v>3.7</v>
      </c>
      <c r="Y110" s="110">
        <v>2.57</v>
      </c>
      <c r="Z110" s="110">
        <v>2.11</v>
      </c>
      <c r="AA110" s="110">
        <v>4.1100000000000003</v>
      </c>
      <c r="AB110" s="110">
        <v>4.3499999999999996</v>
      </c>
      <c r="AC110" s="110">
        <v>1.1299999999999999</v>
      </c>
      <c r="AD110" s="110">
        <v>0.89</v>
      </c>
      <c r="AE110" s="110">
        <v>2.78</v>
      </c>
      <c r="AF110" s="110">
        <v>3.12</v>
      </c>
      <c r="AG110" s="110">
        <v>1.07</v>
      </c>
      <c r="AH110" s="110">
        <v>-0.55000000000000004</v>
      </c>
      <c r="AI110" s="110">
        <v>1.39</v>
      </c>
      <c r="AJ110" s="110">
        <v>4.96</v>
      </c>
      <c r="AK110" s="110">
        <v>2.48</v>
      </c>
      <c r="AL110" s="110">
        <v>1.59</v>
      </c>
      <c r="AM110" s="110">
        <v>4.26</v>
      </c>
      <c r="AN110" s="110">
        <v>4.8600000000000003</v>
      </c>
      <c r="AO110" s="110">
        <v>3.93</v>
      </c>
      <c r="AP110" s="110">
        <v>4.21</v>
      </c>
      <c r="AQ110" s="110">
        <v>4.82</v>
      </c>
      <c r="AR110" s="110">
        <v>6.34</v>
      </c>
      <c r="AS110" s="110"/>
      <c r="AT110" s="110"/>
      <c r="AU110" s="110"/>
      <c r="AV110" s="110"/>
      <c r="AW110" s="110"/>
      <c r="AX110" s="110"/>
      <c r="AY110" s="111"/>
      <c r="AZ110" s="110">
        <v>1.3</v>
      </c>
      <c r="BA110" s="111">
        <v>107.17</v>
      </c>
      <c r="BB110" s="110">
        <v>6.33</v>
      </c>
      <c r="BC110" s="111">
        <v>32.22</v>
      </c>
      <c r="BD110" s="110">
        <v>13.12</v>
      </c>
      <c r="BE110" s="111">
        <v>18.75</v>
      </c>
      <c r="BF110" s="110">
        <v>14.36</v>
      </c>
      <c r="BG110" s="111">
        <v>15.41</v>
      </c>
      <c r="BH110" s="110">
        <v>11.36</v>
      </c>
      <c r="BI110" s="111">
        <v>22.19</v>
      </c>
      <c r="BJ110" s="110">
        <v>12.47</v>
      </c>
      <c r="BK110" s="111">
        <v>24.94</v>
      </c>
      <c r="BL110" s="110">
        <v>10.47</v>
      </c>
      <c r="BM110" s="111">
        <v>30.97</v>
      </c>
      <c r="BN110" s="110">
        <v>6.42</v>
      </c>
      <c r="BO110" s="111">
        <v>44.54</v>
      </c>
      <c r="BP110" s="110">
        <v>10.42</v>
      </c>
      <c r="BQ110" s="111">
        <v>32.659999999999997</v>
      </c>
      <c r="BR110" s="110">
        <v>17.25</v>
      </c>
      <c r="BS110" s="111">
        <v>23.74</v>
      </c>
      <c r="BT110" s="110"/>
      <c r="BU110" s="111"/>
      <c r="BV110" s="110"/>
      <c r="BW110" s="111"/>
      <c r="BX110" s="74"/>
      <c r="BY110" s="111">
        <v>139.32307499999999</v>
      </c>
      <c r="BZ110" s="111">
        <v>203.967506982814</v>
      </c>
      <c r="CA110" s="111">
        <v>246.06090335991399</v>
      </c>
      <c r="CB110" s="87">
        <v>221.24</v>
      </c>
      <c r="CC110" s="104">
        <v>252.11</v>
      </c>
      <c r="CD110" s="87">
        <v>310.94</v>
      </c>
      <c r="CE110" s="87">
        <v>324.39</v>
      </c>
      <c r="CF110" s="87">
        <v>285.8</v>
      </c>
      <c r="CG110" s="87">
        <v>340.34</v>
      </c>
      <c r="CH110" s="87">
        <v>409.64</v>
      </c>
      <c r="CI110" s="70" t="s">
        <v>176</v>
      </c>
    </row>
    <row r="111" spans="1:87" s="112" customFormat="1" x14ac:dyDescent="0.2">
      <c r="A111" s="70" t="s">
        <v>177</v>
      </c>
      <c r="B111" s="173">
        <v>157.24</v>
      </c>
      <c r="C111" s="110">
        <v>1.89</v>
      </c>
      <c r="D111" s="110">
        <v>2.21</v>
      </c>
      <c r="E111" s="110">
        <v>1.93</v>
      </c>
      <c r="F111" s="110">
        <v>0.9</v>
      </c>
      <c r="G111" s="110">
        <v>1.78</v>
      </c>
      <c r="H111" s="110">
        <v>1.79</v>
      </c>
      <c r="I111" s="110">
        <v>1.6</v>
      </c>
      <c r="J111" s="110">
        <v>0.66</v>
      </c>
      <c r="K111" s="110">
        <v>0.93</v>
      </c>
      <c r="L111" s="110">
        <v>1.42</v>
      </c>
      <c r="M111" s="110">
        <v>4.24</v>
      </c>
      <c r="N111" s="110">
        <v>1.1000000000000001</v>
      </c>
      <c r="O111" s="110">
        <v>1.78</v>
      </c>
      <c r="P111" s="110">
        <v>1.71</v>
      </c>
      <c r="Q111" s="110">
        <v>1.79</v>
      </c>
      <c r="R111" s="110">
        <v>-3.35</v>
      </c>
      <c r="S111" s="58">
        <v>1.73</v>
      </c>
      <c r="T111" s="110">
        <v>1.72</v>
      </c>
      <c r="U111" s="110">
        <v>1.85</v>
      </c>
      <c r="V111" s="110">
        <v>-3.36</v>
      </c>
      <c r="W111" s="110">
        <v>2</v>
      </c>
      <c r="X111" s="110">
        <v>1.86</v>
      </c>
      <c r="Y111" s="110">
        <v>2.0499999999999998</v>
      </c>
      <c r="Z111" s="110">
        <v>4.9000000000000004</v>
      </c>
      <c r="AA111" s="110">
        <v>3.18</v>
      </c>
      <c r="AB111" s="110">
        <v>2.96</v>
      </c>
      <c r="AC111" s="110">
        <v>2.54</v>
      </c>
      <c r="AD111" s="110">
        <v>-2.21</v>
      </c>
      <c r="AE111" s="110">
        <v>2.79</v>
      </c>
      <c r="AF111" s="110">
        <v>2.75</v>
      </c>
      <c r="AG111" s="110">
        <v>2.5</v>
      </c>
      <c r="AH111" s="110">
        <v>4.1399999999999997</v>
      </c>
      <c r="AI111" s="110">
        <v>2.76</v>
      </c>
      <c r="AJ111" s="110">
        <v>1.49</v>
      </c>
      <c r="AK111" s="110">
        <v>2.41</v>
      </c>
      <c r="AL111" s="110">
        <v>2.36</v>
      </c>
      <c r="AM111" s="110">
        <v>2.38</v>
      </c>
      <c r="AN111" s="110">
        <v>2.59</v>
      </c>
      <c r="AO111" s="110">
        <v>2.21</v>
      </c>
      <c r="AP111" s="110">
        <v>13.02</v>
      </c>
      <c r="AQ111" s="110">
        <v>3.17</v>
      </c>
      <c r="AR111" s="110">
        <v>3.21</v>
      </c>
      <c r="AS111" s="110"/>
      <c r="AT111" s="110"/>
      <c r="AU111" s="110"/>
      <c r="AV111" s="110"/>
      <c r="AW111" s="110"/>
      <c r="AX111" s="110"/>
      <c r="AY111" s="111"/>
      <c r="AZ111" s="110">
        <v>6.93</v>
      </c>
      <c r="BA111" s="111">
        <v>16.079999999999998</v>
      </c>
      <c r="BB111" s="110">
        <v>5.83</v>
      </c>
      <c r="BC111" s="111">
        <v>19.59</v>
      </c>
      <c r="BD111" s="110">
        <v>7.69</v>
      </c>
      <c r="BE111" s="111">
        <v>16.68</v>
      </c>
      <c r="BF111" s="110">
        <v>1.92</v>
      </c>
      <c r="BG111" s="111">
        <v>67.02</v>
      </c>
      <c r="BH111" s="110">
        <v>1.94</v>
      </c>
      <c r="BI111" s="111">
        <v>74.709999999999994</v>
      </c>
      <c r="BJ111" s="110">
        <v>10.82</v>
      </c>
      <c r="BK111" s="111">
        <v>14.3</v>
      </c>
      <c r="BL111" s="110">
        <v>6.48</v>
      </c>
      <c r="BM111" s="111">
        <v>23.52</v>
      </c>
      <c r="BN111" s="110">
        <v>12.18</v>
      </c>
      <c r="BO111" s="111">
        <v>12.28</v>
      </c>
      <c r="BP111" s="110">
        <v>9.02</v>
      </c>
      <c r="BQ111" s="111">
        <v>19.52</v>
      </c>
      <c r="BR111" s="110">
        <v>20.21</v>
      </c>
      <c r="BS111" s="111">
        <v>8.17</v>
      </c>
      <c r="BT111" s="110"/>
      <c r="BU111" s="111"/>
      <c r="BV111" s="110"/>
      <c r="BW111" s="111"/>
      <c r="BX111" s="74"/>
      <c r="BY111" s="111">
        <v>111.414979</v>
      </c>
      <c r="BZ111" s="111">
        <v>114.226087996781</v>
      </c>
      <c r="CA111" s="111">
        <v>128.237547632126</v>
      </c>
      <c r="CB111" s="87">
        <v>128.91</v>
      </c>
      <c r="CC111" s="104">
        <v>144.97999999999999</v>
      </c>
      <c r="CD111" s="87">
        <v>154.66999999999999</v>
      </c>
      <c r="CE111" s="87">
        <v>152.32</v>
      </c>
      <c r="CF111" s="87">
        <v>149.56</v>
      </c>
      <c r="CG111" s="87">
        <v>176.17</v>
      </c>
      <c r="CH111" s="87">
        <v>165.04</v>
      </c>
      <c r="CI111" s="70" t="s">
        <v>177</v>
      </c>
    </row>
    <row r="112" spans="1:87" s="112" customFormat="1" x14ac:dyDescent="0.2">
      <c r="A112" s="70" t="s">
        <v>178</v>
      </c>
      <c r="B112" s="173">
        <v>311.99</v>
      </c>
      <c r="C112" s="110">
        <v>3.71</v>
      </c>
      <c r="D112" s="110">
        <v>2.73</v>
      </c>
      <c r="E112" s="110">
        <v>3.97</v>
      </c>
      <c r="F112" s="110">
        <v>1.93</v>
      </c>
      <c r="G112" s="110">
        <v>2.65</v>
      </c>
      <c r="H112" s="110">
        <v>2.4900000000000002</v>
      </c>
      <c r="I112" s="110">
        <v>3.63</v>
      </c>
      <c r="J112" s="110">
        <v>4.22</v>
      </c>
      <c r="K112" s="110">
        <v>3.53</v>
      </c>
      <c r="L112" s="110">
        <v>2.91</v>
      </c>
      <c r="M112" s="110">
        <v>3.44</v>
      </c>
      <c r="N112" s="110">
        <v>2.33</v>
      </c>
      <c r="O112" s="110">
        <v>3.28</v>
      </c>
      <c r="P112" s="110">
        <v>3.25</v>
      </c>
      <c r="Q112" s="110">
        <v>4.03</v>
      </c>
      <c r="R112" s="110">
        <v>1.84</v>
      </c>
      <c r="S112" s="58">
        <v>2.73</v>
      </c>
      <c r="T112" s="110">
        <v>2.68</v>
      </c>
      <c r="U112" s="110">
        <v>3.14</v>
      </c>
      <c r="V112" s="110">
        <v>1.97</v>
      </c>
      <c r="W112" s="110">
        <v>2.5</v>
      </c>
      <c r="X112" s="110">
        <v>2.31</v>
      </c>
      <c r="Y112" s="110">
        <v>4.1100000000000003</v>
      </c>
      <c r="Z112" s="110">
        <v>2.42</v>
      </c>
      <c r="AA112" s="110">
        <v>3.23</v>
      </c>
      <c r="AB112" s="110">
        <v>2.68</v>
      </c>
      <c r="AC112" s="110">
        <v>4.6500000000000004</v>
      </c>
      <c r="AD112" s="110">
        <v>2.64</v>
      </c>
      <c r="AE112" s="110">
        <v>4.05</v>
      </c>
      <c r="AF112" s="110">
        <v>2.87</v>
      </c>
      <c r="AG112" s="110">
        <v>3.6</v>
      </c>
      <c r="AH112" s="110">
        <v>-0.59</v>
      </c>
      <c r="AI112" s="110">
        <v>3.68</v>
      </c>
      <c r="AJ112" s="110">
        <v>2.2599999999999998</v>
      </c>
      <c r="AK112" s="110">
        <v>4.5599999999999996</v>
      </c>
      <c r="AL112" s="110">
        <v>-0.55000000000000004</v>
      </c>
      <c r="AM112" s="110">
        <v>4.53</v>
      </c>
      <c r="AN112" s="110">
        <v>2.27</v>
      </c>
      <c r="AO112" s="110">
        <v>4.68</v>
      </c>
      <c r="AP112" s="110">
        <v>2.5</v>
      </c>
      <c r="AQ112" s="110">
        <v>6.06</v>
      </c>
      <c r="AR112" s="110">
        <v>2.12</v>
      </c>
      <c r="AS112" s="110"/>
      <c r="AT112" s="110"/>
      <c r="AU112" s="110"/>
      <c r="AV112" s="110"/>
      <c r="AW112" s="110"/>
      <c r="AX112" s="110"/>
      <c r="AY112" s="111"/>
      <c r="AZ112" s="110">
        <v>12.34</v>
      </c>
      <c r="BA112" s="111">
        <v>13.13</v>
      </c>
      <c r="BB112" s="110">
        <v>12.99</v>
      </c>
      <c r="BC112" s="111">
        <v>13.43</v>
      </c>
      <c r="BD112" s="110">
        <v>12.21</v>
      </c>
      <c r="BE112" s="111">
        <v>14.65</v>
      </c>
      <c r="BF112" s="110">
        <v>12.41</v>
      </c>
      <c r="BG112" s="111">
        <v>16.52</v>
      </c>
      <c r="BH112" s="110">
        <v>10.52</v>
      </c>
      <c r="BI112" s="111">
        <v>19.010000000000002</v>
      </c>
      <c r="BJ112" s="110">
        <v>11.33</v>
      </c>
      <c r="BK112" s="111">
        <v>19.53</v>
      </c>
      <c r="BL112" s="110">
        <v>13.2</v>
      </c>
      <c r="BM112" s="111">
        <v>20.62</v>
      </c>
      <c r="BN112" s="110">
        <v>9.94</v>
      </c>
      <c r="BO112" s="111">
        <v>25.2</v>
      </c>
      <c r="BP112" s="110">
        <v>9.9499999999999993</v>
      </c>
      <c r="BQ112" s="111">
        <v>28.61</v>
      </c>
      <c r="BR112" s="110">
        <v>13.97</v>
      </c>
      <c r="BS112" s="111">
        <v>22.1</v>
      </c>
      <c r="BT112" s="110"/>
      <c r="BU112" s="111"/>
      <c r="BV112" s="110"/>
      <c r="BW112" s="111"/>
      <c r="BX112" s="74"/>
      <c r="BY112" s="111">
        <v>162.06434999999999</v>
      </c>
      <c r="BZ112" s="111">
        <v>174.49693655530899</v>
      </c>
      <c r="CA112" s="111">
        <v>178.90484398331199</v>
      </c>
      <c r="CB112" s="87">
        <v>204.99</v>
      </c>
      <c r="CC112" s="104">
        <v>200.04</v>
      </c>
      <c r="CD112" s="87">
        <v>221.38</v>
      </c>
      <c r="CE112" s="87">
        <v>272.12</v>
      </c>
      <c r="CF112" s="87">
        <v>250.42</v>
      </c>
      <c r="CG112" s="87">
        <v>284.70999999999998</v>
      </c>
      <c r="CH112" s="87">
        <v>308.86</v>
      </c>
      <c r="CI112" s="70" t="s">
        <v>178</v>
      </c>
    </row>
    <row r="113" spans="1:87" s="112" customFormat="1" x14ac:dyDescent="0.2">
      <c r="A113" s="70" t="s">
        <v>338</v>
      </c>
      <c r="B113" s="173">
        <v>202</v>
      </c>
      <c r="C113" s="110"/>
      <c r="D113" s="110"/>
      <c r="E113" s="110"/>
      <c r="F113" s="110"/>
      <c r="G113" s="110"/>
      <c r="H113" s="110"/>
      <c r="I113" s="110"/>
      <c r="J113" s="110"/>
      <c r="K113" s="110"/>
      <c r="L113" s="110"/>
      <c r="M113" s="110"/>
      <c r="N113" s="110"/>
      <c r="O113" s="110"/>
      <c r="P113" s="110"/>
      <c r="Q113" s="110"/>
      <c r="R113" s="110"/>
      <c r="S113" s="58"/>
      <c r="T113" s="110"/>
      <c r="U113" s="110"/>
      <c r="V113" s="110"/>
      <c r="W113" s="110">
        <v>0.8</v>
      </c>
      <c r="X113" s="110">
        <v>0.93</v>
      </c>
      <c r="Y113" s="110">
        <v>0.78</v>
      </c>
      <c r="Z113" s="110">
        <v>0.8</v>
      </c>
      <c r="AA113" s="110">
        <v>1.02</v>
      </c>
      <c r="AB113" s="110">
        <v>1.17</v>
      </c>
      <c r="AC113" s="110">
        <v>1.32</v>
      </c>
      <c r="AD113" s="110">
        <v>1.96</v>
      </c>
      <c r="AE113" s="110">
        <v>1.23</v>
      </c>
      <c r="AF113" s="110">
        <v>1.3</v>
      </c>
      <c r="AG113" s="110">
        <v>1.25</v>
      </c>
      <c r="AH113" s="110">
        <v>1.24</v>
      </c>
      <c r="AI113" s="110">
        <v>2.19</v>
      </c>
      <c r="AJ113" s="110">
        <v>1.49</v>
      </c>
      <c r="AK113" s="110">
        <v>1.49</v>
      </c>
      <c r="AL113" s="110">
        <v>1.79</v>
      </c>
      <c r="AM113" s="110">
        <v>1.35</v>
      </c>
      <c r="AN113" s="110">
        <v>1.24</v>
      </c>
      <c r="AO113" s="110">
        <v>1.35</v>
      </c>
      <c r="AP113" s="110">
        <v>1.39</v>
      </c>
      <c r="AQ113" s="110">
        <v>1.43</v>
      </c>
      <c r="AR113" s="110">
        <v>1.55</v>
      </c>
      <c r="AS113" s="110"/>
      <c r="AT113" s="110"/>
      <c r="AU113" s="110"/>
      <c r="AV113" s="110"/>
      <c r="AW113" s="110"/>
      <c r="AX113" s="110"/>
      <c r="AY113" s="111"/>
      <c r="AZ113" s="110"/>
      <c r="BA113" s="111"/>
      <c r="BB113" s="110"/>
      <c r="BC113" s="111"/>
      <c r="BD113" s="110"/>
      <c r="BE113" s="111"/>
      <c r="BF113" s="110"/>
      <c r="BG113" s="111"/>
      <c r="BH113" s="110"/>
      <c r="BI113" s="111"/>
      <c r="BJ113" s="110">
        <v>3.31</v>
      </c>
      <c r="BK113" s="111">
        <v>44.38</v>
      </c>
      <c r="BL113" s="110">
        <v>5.46</v>
      </c>
      <c r="BM113" s="111">
        <v>33.61</v>
      </c>
      <c r="BN113" s="110">
        <v>5.01</v>
      </c>
      <c r="BO113" s="111">
        <v>36.68</v>
      </c>
      <c r="BP113" s="110">
        <v>6.96</v>
      </c>
      <c r="BQ113" s="111">
        <v>27.3</v>
      </c>
      <c r="BR113" s="110">
        <v>5.33</v>
      </c>
      <c r="BS113" s="111">
        <v>37.53</v>
      </c>
      <c r="BT113" s="110"/>
      <c r="BU113" s="111"/>
      <c r="BV113" s="110"/>
      <c r="BW113" s="111"/>
      <c r="BX113" s="111"/>
      <c r="BY113" s="111"/>
      <c r="BZ113" s="111"/>
      <c r="CA113" s="111"/>
      <c r="CB113" s="87"/>
      <c r="CC113" s="104"/>
      <c r="CD113" s="87"/>
      <c r="CE113" s="87"/>
      <c r="CF113" s="87"/>
      <c r="CG113" s="87">
        <v>189.91</v>
      </c>
      <c r="CH113" s="87">
        <v>199.89</v>
      </c>
      <c r="CI113" s="70"/>
    </row>
    <row r="115" spans="1:87" x14ac:dyDescent="0.2">
      <c r="A115" s="70" t="s">
        <v>98</v>
      </c>
    </row>
    <row r="116" spans="1:87" x14ac:dyDescent="0.2">
      <c r="A116" s="70" t="s">
        <v>99</v>
      </c>
    </row>
    <row r="117" spans="1:87" x14ac:dyDescent="0.2">
      <c r="A117" s="70" t="s">
        <v>100</v>
      </c>
    </row>
    <row r="118" spans="1:87" x14ac:dyDescent="0.2">
      <c r="A118" s="70" t="s">
        <v>101</v>
      </c>
    </row>
    <row r="119" spans="1:87" x14ac:dyDescent="0.2">
      <c r="A119" s="70" t="s">
        <v>102</v>
      </c>
    </row>
    <row r="120" spans="1:87" x14ac:dyDescent="0.2">
      <c r="A120" s="70" t="s">
        <v>112</v>
      </c>
    </row>
    <row r="121" spans="1:87" x14ac:dyDescent="0.2">
      <c r="A121" s="70" t="s">
        <v>103</v>
      </c>
    </row>
    <row r="123" spans="1:87" x14ac:dyDescent="0.2">
      <c r="A123" s="70" t="s">
        <v>104</v>
      </c>
    </row>
    <row r="124" spans="1:87" x14ac:dyDescent="0.2">
      <c r="A124" s="70" t="s">
        <v>105</v>
      </c>
    </row>
    <row r="125" spans="1:87" x14ac:dyDescent="0.2">
      <c r="A125" s="70" t="s">
        <v>106</v>
      </c>
    </row>
    <row r="126" spans="1:87" x14ac:dyDescent="0.2">
      <c r="A126" s="70" t="s">
        <v>107</v>
      </c>
    </row>
    <row r="127" spans="1:87" x14ac:dyDescent="0.2">
      <c r="A127" s="70" t="s">
        <v>430</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workbookViewId="0">
      <pane ySplit="6" topLeftCell="A7" activePane="bottomLeft" state="frozen"/>
      <selection pane="bottomLeft"/>
    </sheetView>
  </sheetViews>
  <sheetFormatPr defaultRowHeight="12.75" x14ac:dyDescent="0.2"/>
  <cols>
    <col min="1" max="1" width="16.42578125" style="107" customWidth="1"/>
    <col min="2" max="2" width="11.7109375" style="57" bestFit="1" customWidth="1"/>
    <col min="3" max="3" width="14.42578125" style="57" bestFit="1" customWidth="1"/>
    <col min="4" max="4" width="12.140625" style="57" customWidth="1"/>
    <col min="5" max="5" width="9.28515625" style="17" customWidth="1"/>
    <col min="6" max="6" width="10.7109375" style="64" bestFit="1" customWidth="1"/>
    <col min="7" max="7" width="14" style="57" bestFit="1" customWidth="1"/>
    <col min="8" max="8" width="10.42578125" style="69" customWidth="1"/>
    <col min="9" max="9" width="9.5703125" style="57" customWidth="1"/>
    <col min="10" max="10" width="17.28515625" style="87" bestFit="1" customWidth="1"/>
    <col min="11" max="11" width="13.42578125" style="1" customWidth="1"/>
  </cols>
  <sheetData>
    <row r="1" spans="1:13" s="7" customFormat="1" x14ac:dyDescent="0.2">
      <c r="A1" s="235" t="s">
        <v>157</v>
      </c>
      <c r="B1" s="60"/>
      <c r="C1" s="60"/>
      <c r="D1" s="60"/>
      <c r="E1" s="45"/>
      <c r="F1" s="45"/>
      <c r="G1" s="60"/>
      <c r="H1" s="65"/>
      <c r="I1" s="60"/>
      <c r="J1" s="6"/>
      <c r="K1" s="6"/>
      <c r="L1" s="6"/>
      <c r="M1" s="6"/>
    </row>
    <row r="2" spans="1:13" s="79" customFormat="1" x14ac:dyDescent="0.2">
      <c r="A2" s="235" t="s">
        <v>111</v>
      </c>
      <c r="B2" s="60"/>
      <c r="C2" s="60"/>
      <c r="D2" s="60"/>
      <c r="E2" s="45"/>
      <c r="F2" s="45"/>
      <c r="G2" s="60"/>
      <c r="H2" s="65"/>
      <c r="I2" s="60"/>
      <c r="J2" s="6"/>
      <c r="K2" s="6"/>
      <c r="L2" s="6"/>
      <c r="M2" s="6"/>
    </row>
    <row r="3" spans="1:13" s="79" customFormat="1" x14ac:dyDescent="0.2">
      <c r="A3" s="236"/>
      <c r="B3" s="60"/>
      <c r="C3" s="60"/>
      <c r="D3" s="60"/>
      <c r="E3" s="45"/>
      <c r="F3" s="45"/>
      <c r="G3" s="60"/>
      <c r="H3" s="65"/>
      <c r="I3" s="60"/>
      <c r="J3" s="6"/>
      <c r="K3" s="6"/>
      <c r="L3" s="6"/>
      <c r="M3" s="6"/>
    </row>
    <row r="4" spans="1:13" s="100" customFormat="1" x14ac:dyDescent="0.2">
      <c r="A4" s="235"/>
      <c r="B4" s="60" t="s">
        <v>15</v>
      </c>
      <c r="C4" s="60" t="s">
        <v>10</v>
      </c>
      <c r="D4" s="60" t="s">
        <v>8</v>
      </c>
      <c r="E4" s="45" t="s">
        <v>22</v>
      </c>
      <c r="F4" s="45" t="s">
        <v>28</v>
      </c>
      <c r="G4" s="60" t="s">
        <v>296</v>
      </c>
      <c r="H4" s="65"/>
      <c r="I4" s="60"/>
      <c r="J4" s="60"/>
      <c r="K4" s="60"/>
    </row>
    <row r="5" spans="1:13" s="100" customFormat="1" x14ac:dyDescent="0.2">
      <c r="A5" s="235" t="s">
        <v>0</v>
      </c>
      <c r="B5" s="60" t="s">
        <v>16</v>
      </c>
      <c r="C5" s="60" t="s">
        <v>16</v>
      </c>
      <c r="D5" s="60" t="s">
        <v>4</v>
      </c>
      <c r="E5" s="45" t="s">
        <v>26</v>
      </c>
      <c r="F5" s="45" t="s">
        <v>26</v>
      </c>
      <c r="G5" s="60" t="s">
        <v>297</v>
      </c>
      <c r="H5" s="65"/>
      <c r="I5" s="60"/>
      <c r="J5" s="60"/>
      <c r="K5" s="60"/>
    </row>
    <row r="6" spans="1:13" s="100" customFormat="1" x14ac:dyDescent="0.2">
      <c r="A6" s="235" t="s">
        <v>11</v>
      </c>
      <c r="B6" s="60" t="s">
        <v>14</v>
      </c>
      <c r="C6" s="60" t="s">
        <v>14</v>
      </c>
      <c r="D6" s="60" t="s">
        <v>14</v>
      </c>
      <c r="E6" s="45" t="s">
        <v>27</v>
      </c>
      <c r="F6" s="45" t="s">
        <v>27</v>
      </c>
      <c r="G6" s="60" t="s">
        <v>123</v>
      </c>
      <c r="H6" s="65" t="s">
        <v>1</v>
      </c>
      <c r="I6" s="60" t="s">
        <v>2</v>
      </c>
      <c r="J6" s="60"/>
      <c r="K6" s="60"/>
    </row>
    <row r="7" spans="1:13" s="100" customFormat="1" x14ac:dyDescent="0.2">
      <c r="A7" s="49">
        <v>43280</v>
      </c>
      <c r="B7" s="60"/>
      <c r="C7" s="60"/>
      <c r="D7" s="29">
        <v>13.102582854438491</v>
      </c>
      <c r="E7" s="45"/>
      <c r="F7" s="45"/>
      <c r="G7" s="60"/>
      <c r="H7" s="66">
        <v>2718.37</v>
      </c>
      <c r="I7" s="33">
        <v>8474.3125401985908</v>
      </c>
      <c r="J7" s="60"/>
      <c r="K7" s="60"/>
    </row>
    <row r="8" spans="1:13" s="100" customFormat="1" x14ac:dyDescent="0.2">
      <c r="A8" s="49">
        <v>43188</v>
      </c>
      <c r="B8" s="29">
        <v>36.54</v>
      </c>
      <c r="C8" s="29">
        <v>33.020000000000003</v>
      </c>
      <c r="D8" s="29">
        <v>12.793986568954411</v>
      </c>
      <c r="E8" s="29">
        <v>320.388020623241</v>
      </c>
      <c r="F8" s="29">
        <v>833.44100000000003</v>
      </c>
      <c r="G8" s="29">
        <v>17.234999999999999</v>
      </c>
      <c r="H8" s="66">
        <v>2640.8659903292901</v>
      </c>
      <c r="I8" s="33">
        <v>8518.4082381580502</v>
      </c>
      <c r="J8" s="105"/>
      <c r="K8" s="60"/>
    </row>
    <row r="9" spans="1:13" s="100" customFormat="1" x14ac:dyDescent="0.2">
      <c r="A9" s="49">
        <v>43098</v>
      </c>
      <c r="B9" s="29">
        <v>33.85</v>
      </c>
      <c r="C9" s="29">
        <v>26.96</v>
      </c>
      <c r="D9" s="29">
        <v>12.782923979362749</v>
      </c>
      <c r="E9" s="29">
        <v>329.593203077623</v>
      </c>
      <c r="F9" s="29">
        <v>826.52099999999996</v>
      </c>
      <c r="G9" s="29">
        <v>18.617000000000001</v>
      </c>
      <c r="H9" s="66">
        <v>2673.6105231517399</v>
      </c>
      <c r="I9" s="33">
        <v>8535.7385215509803</v>
      </c>
      <c r="J9" s="105"/>
      <c r="K9" s="60"/>
    </row>
    <row r="10" spans="1:13" s="100" customFormat="1" x14ac:dyDescent="0.2">
      <c r="A10" s="49">
        <v>43008</v>
      </c>
      <c r="B10" s="29">
        <v>31.33</v>
      </c>
      <c r="C10" s="29">
        <v>28.45</v>
      </c>
      <c r="D10" s="29">
        <v>12.310796746221648</v>
      </c>
      <c r="E10" s="29">
        <v>308.22206192952501</v>
      </c>
      <c r="F10" s="29">
        <v>817.822</v>
      </c>
      <c r="G10" s="29">
        <v>16.326000000000001</v>
      </c>
      <c r="H10" s="66">
        <v>2519.3596719060702</v>
      </c>
      <c r="I10" s="33">
        <v>8565.2620982500011</v>
      </c>
      <c r="J10" s="105"/>
      <c r="K10" s="60"/>
    </row>
    <row r="11" spans="1:13" s="100" customFormat="1" x14ac:dyDescent="0.2">
      <c r="A11" s="49">
        <v>42916</v>
      </c>
      <c r="B11" s="29">
        <v>30.51</v>
      </c>
      <c r="C11" s="29">
        <v>27.01</v>
      </c>
      <c r="D11" s="29">
        <v>12.115322294034428</v>
      </c>
      <c r="E11" s="29">
        <v>300.98034948898999</v>
      </c>
      <c r="F11" s="29">
        <v>798.64400000000001</v>
      </c>
      <c r="G11" s="29">
        <v>15.231999999999999</v>
      </c>
      <c r="H11" s="66">
        <v>2423.4088910629698</v>
      </c>
      <c r="I11" s="33">
        <v>8567.296206939207</v>
      </c>
      <c r="J11" s="105"/>
      <c r="K11" s="60"/>
    </row>
    <row r="12" spans="1:13" s="100" customFormat="1" x14ac:dyDescent="0.2">
      <c r="A12" s="49">
        <v>42825</v>
      </c>
      <c r="B12" s="29">
        <v>28.82</v>
      </c>
      <c r="C12" s="29">
        <v>27.46</v>
      </c>
      <c r="D12" s="29">
        <v>11.722976315988888</v>
      </c>
      <c r="E12" s="29">
        <v>292.77906197216203</v>
      </c>
      <c r="F12" s="29">
        <v>785.17899999999997</v>
      </c>
      <c r="G12" s="29">
        <v>13.923</v>
      </c>
      <c r="H12" s="66">
        <v>2362.7182203972902</v>
      </c>
      <c r="I12" s="33">
        <v>8581.6303408986005</v>
      </c>
      <c r="J12" s="105"/>
      <c r="K12" s="60"/>
    </row>
    <row r="13" spans="1:13" s="100" customFormat="1" x14ac:dyDescent="0.2">
      <c r="A13" s="49">
        <v>42735</v>
      </c>
      <c r="B13" s="29">
        <v>27.9</v>
      </c>
      <c r="C13" s="29">
        <v>24.16</v>
      </c>
      <c r="D13" s="29">
        <v>12.024007621816583</v>
      </c>
      <c r="E13" s="29">
        <v>301.11551213454698</v>
      </c>
      <c r="F13" s="29">
        <v>768.98500000000001</v>
      </c>
      <c r="G13" s="29">
        <v>20.151</v>
      </c>
      <c r="H13" s="66">
        <v>2238.82668170754</v>
      </c>
      <c r="I13" s="33">
        <v>8606.2637598811798</v>
      </c>
      <c r="J13" s="105"/>
      <c r="K13" s="60"/>
    </row>
    <row r="14" spans="1:13" s="100" customFormat="1" x14ac:dyDescent="0.2">
      <c r="A14" s="49">
        <v>42643</v>
      </c>
      <c r="B14" s="29">
        <v>28.69</v>
      </c>
      <c r="C14" s="29">
        <v>25.39</v>
      </c>
      <c r="D14" s="29">
        <v>11.356713187797851</v>
      </c>
      <c r="E14" s="29">
        <v>290.93683358716402</v>
      </c>
      <c r="F14" s="29">
        <v>779.61400000000003</v>
      </c>
      <c r="G14" s="29">
        <v>15.146000000000001</v>
      </c>
      <c r="H14" s="66">
        <v>2168.2720896372798</v>
      </c>
      <c r="I14" s="33">
        <v>8643.5862699972895</v>
      </c>
      <c r="J14" s="105"/>
      <c r="K14" s="60"/>
    </row>
    <row r="15" spans="1:13" s="100" customFormat="1" x14ac:dyDescent="0.2">
      <c r="A15" s="49">
        <v>42551</v>
      </c>
      <c r="B15" s="29">
        <v>25.7</v>
      </c>
      <c r="C15" s="29">
        <v>23.28</v>
      </c>
      <c r="D15" s="29">
        <v>11.278726726038828</v>
      </c>
      <c r="E15" s="29">
        <v>284.59270983317998</v>
      </c>
      <c r="F15" s="29">
        <v>765.12300000000005</v>
      </c>
      <c r="G15" s="29">
        <v>15.311</v>
      </c>
      <c r="H15" s="66">
        <v>2098.8552265056101</v>
      </c>
      <c r="I15" s="33">
        <v>8667.9402527180337</v>
      </c>
      <c r="J15" s="105"/>
      <c r="K15" s="60"/>
    </row>
    <row r="16" spans="1:13" s="100" customFormat="1" x14ac:dyDescent="0.2">
      <c r="A16" s="49">
        <v>42460</v>
      </c>
      <c r="B16" s="29">
        <v>23.97</v>
      </c>
      <c r="C16" s="29">
        <v>21.72</v>
      </c>
      <c r="D16" s="29">
        <v>11.041155949644605</v>
      </c>
      <c r="E16" s="29">
        <v>274.03042801957099</v>
      </c>
      <c r="F16" s="29">
        <v>752.77099999999996</v>
      </c>
      <c r="G16" s="29">
        <v>14.475</v>
      </c>
      <c r="H16" s="66">
        <v>2059.7411766011501</v>
      </c>
      <c r="I16" s="33">
        <v>8718.7153627667958</v>
      </c>
      <c r="J16" s="105"/>
      <c r="K16" s="60"/>
    </row>
    <row r="17" spans="1:13" s="34" customFormat="1" x14ac:dyDescent="0.2">
      <c r="A17" s="49">
        <v>42369</v>
      </c>
      <c r="B17" s="29">
        <v>23.06</v>
      </c>
      <c r="C17" s="29">
        <v>18.7</v>
      </c>
      <c r="D17" s="29">
        <v>11.34909544426143</v>
      </c>
      <c r="E17" s="29">
        <v>288.87468018814099</v>
      </c>
      <c r="F17" s="29">
        <v>740.28700000000003</v>
      </c>
      <c r="G17" s="29">
        <v>18.097000000000001</v>
      </c>
      <c r="H17" s="66">
        <v>2043.9368626607099</v>
      </c>
      <c r="I17" s="33">
        <v>8757.3919584841387</v>
      </c>
      <c r="J17" s="105"/>
      <c r="K17" s="66"/>
    </row>
    <row r="18" spans="1:13" s="27" customFormat="1" x14ac:dyDescent="0.2">
      <c r="A18" s="49">
        <v>42277</v>
      </c>
      <c r="B18" s="29">
        <v>25.44</v>
      </c>
      <c r="C18" s="29">
        <v>23.22</v>
      </c>
      <c r="D18" s="29">
        <v>10.7908992578251</v>
      </c>
      <c r="E18" s="29">
        <v>283.717152096576</v>
      </c>
      <c r="F18" s="29">
        <v>744.68</v>
      </c>
      <c r="G18" s="29">
        <v>16.494</v>
      </c>
      <c r="H18" s="66">
        <v>1920.0265516397001</v>
      </c>
      <c r="I18" s="33">
        <v>8810.5737632553573</v>
      </c>
      <c r="J18" s="105"/>
      <c r="K18" s="66"/>
      <c r="M18" s="34"/>
    </row>
    <row r="19" spans="1:13" s="27" customFormat="1" x14ac:dyDescent="0.2">
      <c r="A19" s="49">
        <v>42185</v>
      </c>
      <c r="B19" s="29">
        <v>26.14</v>
      </c>
      <c r="C19" s="29">
        <v>22.8</v>
      </c>
      <c r="D19" s="29">
        <v>10.694788941567241</v>
      </c>
      <c r="E19" s="29">
        <v>281.348521023773</v>
      </c>
      <c r="F19" s="29">
        <v>735.9</v>
      </c>
      <c r="G19" s="29">
        <v>16.11</v>
      </c>
      <c r="H19" s="66">
        <v>2063.1118322236698</v>
      </c>
      <c r="I19" s="33">
        <v>8830.9881238439229</v>
      </c>
      <c r="J19" s="105"/>
      <c r="K19" s="66"/>
      <c r="M19" s="34"/>
    </row>
    <row r="20" spans="1:13" s="27" customFormat="1" x14ac:dyDescent="0.2">
      <c r="A20" s="49">
        <v>42094</v>
      </c>
      <c r="B20" s="29">
        <v>25.81</v>
      </c>
      <c r="C20" s="29">
        <v>21.81</v>
      </c>
      <c r="D20" s="29">
        <v>10.55310371727637</v>
      </c>
      <c r="E20" s="29">
        <v>273.18781634784602</v>
      </c>
      <c r="F20" s="29">
        <v>729.29100000000005</v>
      </c>
      <c r="G20" s="29">
        <v>15.942</v>
      </c>
      <c r="H20" s="66">
        <v>2067.88724075851</v>
      </c>
      <c r="I20" s="33">
        <v>8851.2460232117392</v>
      </c>
      <c r="J20" s="105"/>
      <c r="K20" s="66"/>
      <c r="M20" s="34"/>
    </row>
    <row r="21" spans="1:13" s="27" customFormat="1" x14ac:dyDescent="0.2">
      <c r="A21" s="49">
        <v>42004</v>
      </c>
      <c r="B21" s="29">
        <v>26.76</v>
      </c>
      <c r="C21" s="29">
        <v>22.83</v>
      </c>
      <c r="D21" s="29">
        <v>10.471604592804113</v>
      </c>
      <c r="E21" s="29">
        <v>297.91000000000003</v>
      </c>
      <c r="F21" s="29">
        <v>726.95600000000002</v>
      </c>
      <c r="G21" s="29">
        <v>19.837</v>
      </c>
      <c r="H21" s="66">
        <v>2058.9023788568802</v>
      </c>
      <c r="I21" s="33">
        <v>8861.5968892373949</v>
      </c>
      <c r="J21" s="105"/>
      <c r="K21" s="66"/>
      <c r="M21" s="34"/>
    </row>
    <row r="22" spans="1:13" s="27" customFormat="1" x14ac:dyDescent="0.2">
      <c r="A22" s="49">
        <v>41912</v>
      </c>
      <c r="B22" s="29">
        <v>29.6</v>
      </c>
      <c r="C22" s="29">
        <v>27.47</v>
      </c>
      <c r="D22" s="29">
        <v>10.022504558286219</v>
      </c>
      <c r="E22" s="29">
        <v>293.08999999999997</v>
      </c>
      <c r="F22" s="29">
        <v>736.78</v>
      </c>
      <c r="G22" s="29">
        <v>17.847999999999999</v>
      </c>
      <c r="H22" s="66">
        <v>1972.28514504996</v>
      </c>
      <c r="I22" s="33">
        <v>8882.3475999999991</v>
      </c>
      <c r="J22" s="105"/>
      <c r="K22" s="19"/>
      <c r="M22" s="34"/>
    </row>
    <row r="23" spans="1:13" s="27" customFormat="1" x14ac:dyDescent="0.2">
      <c r="A23" s="49">
        <v>41820</v>
      </c>
      <c r="B23" s="29">
        <v>29.34</v>
      </c>
      <c r="C23" s="29">
        <v>27.14</v>
      </c>
      <c r="D23" s="29">
        <v>9.7593969785702033</v>
      </c>
      <c r="E23" s="29">
        <v>292.35472100317702</v>
      </c>
      <c r="F23" s="29">
        <v>733.83600000000001</v>
      </c>
      <c r="G23" s="29">
        <v>18.013000000000002</v>
      </c>
      <c r="H23" s="66">
        <v>1960.23124036383</v>
      </c>
      <c r="I23" s="33">
        <v>8878.5441630212063</v>
      </c>
      <c r="J23" s="105"/>
      <c r="K23" s="170"/>
    </row>
    <row r="24" spans="1:13" s="27" customFormat="1" x14ac:dyDescent="0.2">
      <c r="A24" s="49">
        <v>41729</v>
      </c>
      <c r="B24" s="29">
        <v>27.32</v>
      </c>
      <c r="C24" s="29">
        <v>24.87</v>
      </c>
      <c r="D24" s="29">
        <v>9.1896349630694125</v>
      </c>
      <c r="E24" s="29">
        <v>279.96134939466799</v>
      </c>
      <c r="F24" s="29">
        <v>717.80899999999997</v>
      </c>
      <c r="G24" s="29">
        <v>16.411000000000001</v>
      </c>
      <c r="H24" s="66">
        <v>1872.33517921728</v>
      </c>
      <c r="I24" s="33">
        <v>8919.2166627820607</v>
      </c>
      <c r="J24" s="105"/>
      <c r="K24" s="170"/>
    </row>
    <row r="25" spans="1:13" s="27" customFormat="1" x14ac:dyDescent="0.2">
      <c r="A25" s="49">
        <v>41639</v>
      </c>
      <c r="B25" s="29">
        <v>28.25</v>
      </c>
      <c r="C25" s="29">
        <v>26.48</v>
      </c>
      <c r="D25" s="29">
        <v>9.5230747966072222</v>
      </c>
      <c r="E25" s="29">
        <v>289.458286214927</v>
      </c>
      <c r="F25" s="29">
        <v>715.83617158315599</v>
      </c>
      <c r="G25" s="29">
        <v>18.456</v>
      </c>
      <c r="H25" s="66">
        <v>1848.3565209419301</v>
      </c>
      <c r="I25" s="33">
        <v>8924.0267757337151</v>
      </c>
      <c r="J25" s="105"/>
      <c r="K25" s="170"/>
    </row>
    <row r="26" spans="1:13" s="27" customFormat="1" x14ac:dyDescent="0.2">
      <c r="A26" s="49">
        <v>41547</v>
      </c>
      <c r="B26" s="29">
        <v>26.92</v>
      </c>
      <c r="C26" s="29">
        <v>24.63</v>
      </c>
      <c r="D26" s="29">
        <v>8.9085700586745507</v>
      </c>
      <c r="E26" s="29">
        <v>279.41131033663498</v>
      </c>
      <c r="F26" s="29">
        <v>693.21969999999999</v>
      </c>
      <c r="G26" s="29">
        <v>16.643000000000001</v>
      </c>
      <c r="H26" s="66">
        <v>1681.54666211214</v>
      </c>
      <c r="I26" s="33">
        <v>8896.8576688014055</v>
      </c>
      <c r="J26" s="105"/>
      <c r="K26" s="170"/>
    </row>
    <row r="27" spans="1:13" s="27" customFormat="1" x14ac:dyDescent="0.2">
      <c r="A27" s="49">
        <v>41455</v>
      </c>
      <c r="B27" s="29">
        <v>26.36</v>
      </c>
      <c r="C27" s="29">
        <v>24.87</v>
      </c>
      <c r="D27" s="29">
        <v>8.6063992544553507</v>
      </c>
      <c r="E27" s="29">
        <v>277.16721895853601</v>
      </c>
      <c r="F27" s="29">
        <v>679.15099999999995</v>
      </c>
      <c r="G27" s="29">
        <v>16.253</v>
      </c>
      <c r="H27" s="66">
        <v>1606.27760773726</v>
      </c>
      <c r="I27" s="33">
        <v>8908.7683839313977</v>
      </c>
      <c r="J27" s="105"/>
      <c r="K27" s="170"/>
    </row>
    <row r="28" spans="1:13" s="27" customFormat="1" x14ac:dyDescent="0.2">
      <c r="A28" s="49">
        <v>41364</v>
      </c>
      <c r="B28" s="29">
        <v>25.77</v>
      </c>
      <c r="C28" s="29">
        <v>24.22</v>
      </c>
      <c r="D28" s="29">
        <v>7.9539999999999997</v>
      </c>
      <c r="E28" s="29">
        <v>270.77348697590099</v>
      </c>
      <c r="F28" s="29">
        <v>679.08799999999997</v>
      </c>
      <c r="G28" s="29">
        <v>14.369</v>
      </c>
      <c r="H28" s="66">
        <v>1569.18587246845</v>
      </c>
      <c r="I28" s="33">
        <v>8908.3277121393021</v>
      </c>
      <c r="J28" s="105"/>
      <c r="K28" s="170"/>
    </row>
    <row r="29" spans="1:13" s="27" customFormat="1" x14ac:dyDescent="0.2">
      <c r="A29" s="49">
        <v>41274</v>
      </c>
      <c r="B29" s="29">
        <v>23.15</v>
      </c>
      <c r="C29" s="41">
        <v>20.65</v>
      </c>
      <c r="D29" s="29">
        <v>8.9349420680692422</v>
      </c>
      <c r="E29" s="29">
        <v>288.02527242203701</v>
      </c>
      <c r="F29" s="29">
        <v>666.96554487355195</v>
      </c>
      <c r="G29" s="29">
        <v>17.491</v>
      </c>
      <c r="H29" s="66">
        <v>1426.18797808055</v>
      </c>
      <c r="I29" s="33">
        <v>8934.6120189386565</v>
      </c>
      <c r="J29" s="105"/>
      <c r="K29" s="170"/>
    </row>
    <row r="30" spans="1:13" s="27" customFormat="1" x14ac:dyDescent="0.2">
      <c r="A30" s="49">
        <v>41182</v>
      </c>
      <c r="B30" s="29">
        <v>24</v>
      </c>
      <c r="C30" s="41">
        <v>21.21</v>
      </c>
      <c r="D30" s="29">
        <v>7.7709999999999999</v>
      </c>
      <c r="E30" s="29">
        <v>268.990078023313</v>
      </c>
      <c r="F30" s="29">
        <v>661.92600000000004</v>
      </c>
      <c r="G30" s="29">
        <v>16.222000000000001</v>
      </c>
      <c r="H30" s="66">
        <v>1440.67450263613</v>
      </c>
      <c r="I30" s="33">
        <v>8940.9645026443904</v>
      </c>
      <c r="J30" s="105"/>
      <c r="K30" s="170"/>
    </row>
    <row r="31" spans="1:13" s="27" customFormat="1" x14ac:dyDescent="0.2">
      <c r="A31" s="49">
        <v>41090</v>
      </c>
      <c r="B31" s="29">
        <v>25.43</v>
      </c>
      <c r="C31" s="41">
        <v>21.62</v>
      </c>
      <c r="D31" s="29">
        <v>7.4520000000000008</v>
      </c>
      <c r="E31" s="29">
        <v>268.02612885919899</v>
      </c>
      <c r="F31" s="29">
        <v>639.44500000000005</v>
      </c>
      <c r="G31" s="29">
        <v>15.685</v>
      </c>
      <c r="H31" s="66">
        <v>1362.1587454406599</v>
      </c>
      <c r="I31" s="33">
        <v>9032.0668731581882</v>
      </c>
      <c r="J31" s="105"/>
      <c r="K31" s="170"/>
    </row>
    <row r="32" spans="1:13" s="34" customFormat="1" x14ac:dyDescent="0.2">
      <c r="A32" s="49">
        <v>40999</v>
      </c>
      <c r="B32" s="26">
        <v>24.24</v>
      </c>
      <c r="C32" s="41">
        <v>23.03</v>
      </c>
      <c r="D32" s="29">
        <v>7.0889999999999995</v>
      </c>
      <c r="E32" s="90">
        <v>267.32911421688101</v>
      </c>
      <c r="F32" s="29">
        <v>633.04399999999998</v>
      </c>
      <c r="G32" s="29">
        <v>14.33</v>
      </c>
      <c r="H32" s="66">
        <v>1408.46786041941</v>
      </c>
      <c r="I32" s="33">
        <v>9038.3664138794684</v>
      </c>
      <c r="J32" s="105"/>
      <c r="K32" s="170"/>
    </row>
    <row r="33" spans="1:11" s="86" customFormat="1" x14ac:dyDescent="0.2">
      <c r="A33" s="49">
        <v>40908</v>
      </c>
      <c r="B33" s="26">
        <v>23.73</v>
      </c>
      <c r="C33" s="26">
        <v>20.64</v>
      </c>
      <c r="D33" s="26">
        <v>7.2779999999999996</v>
      </c>
      <c r="E33" s="88">
        <v>272.64031390908002</v>
      </c>
      <c r="F33" s="26">
        <v>613.14099999999996</v>
      </c>
      <c r="G33" s="26">
        <v>16.018999999999998</v>
      </c>
      <c r="H33" s="85">
        <v>1257.60480453436</v>
      </c>
      <c r="I33" s="10">
        <v>9052.9295525719863</v>
      </c>
      <c r="J33" s="105"/>
      <c r="K33" s="170"/>
    </row>
    <row r="34" spans="1:11" s="27" customFormat="1" x14ac:dyDescent="0.2">
      <c r="A34" s="49">
        <v>40816</v>
      </c>
      <c r="B34" s="26">
        <v>25.29</v>
      </c>
      <c r="C34" s="26">
        <v>22.63</v>
      </c>
      <c r="D34" s="26">
        <v>6.5010000000000003</v>
      </c>
      <c r="E34" s="26">
        <v>265.98951123115501</v>
      </c>
      <c r="F34" s="26">
        <v>613.1832917151894</v>
      </c>
      <c r="G34" s="26">
        <v>15.07</v>
      </c>
      <c r="H34" s="66">
        <v>1131.42036008329</v>
      </c>
      <c r="I34" s="33">
        <v>9106.3778823031171</v>
      </c>
      <c r="J34" s="105"/>
      <c r="K34" s="170"/>
    </row>
    <row r="35" spans="1:11" s="27" customFormat="1" x14ac:dyDescent="0.2">
      <c r="A35" s="49">
        <v>40724</v>
      </c>
      <c r="B35" s="26">
        <v>24.86</v>
      </c>
      <c r="C35" s="26">
        <v>22.24</v>
      </c>
      <c r="D35" s="26">
        <v>6.4849999999999994</v>
      </c>
      <c r="E35" s="26">
        <v>263.31438175987398</v>
      </c>
      <c r="F35" s="29">
        <v>613.08012017590318</v>
      </c>
      <c r="G35" s="26">
        <v>14.367000000000001</v>
      </c>
      <c r="H35" s="66">
        <v>1320.63904926284</v>
      </c>
      <c r="I35" s="33">
        <v>9102.5309256209111</v>
      </c>
      <c r="J35" s="105"/>
      <c r="K35" s="170"/>
    </row>
    <row r="36" spans="1:11" s="27" customFormat="1" x14ac:dyDescent="0.2">
      <c r="A36" s="49">
        <v>40633</v>
      </c>
      <c r="B36" s="29">
        <v>22.56</v>
      </c>
      <c r="C36" s="29">
        <v>21.44</v>
      </c>
      <c r="D36" s="29">
        <v>6.1609999999999996</v>
      </c>
      <c r="E36" s="29">
        <v>250.89030199550999</v>
      </c>
      <c r="F36" s="29">
        <v>594.04829271969299</v>
      </c>
      <c r="G36" s="29">
        <v>12.379</v>
      </c>
      <c r="H36" s="66">
        <v>1325.82671751112</v>
      </c>
      <c r="I36" s="33">
        <v>9102.0463785836964</v>
      </c>
      <c r="J36" s="105"/>
      <c r="K36" s="170"/>
    </row>
    <row r="37" spans="1:11" s="34" customFormat="1" x14ac:dyDescent="0.2">
      <c r="A37" s="49">
        <v>40543</v>
      </c>
      <c r="B37" s="29">
        <v>21.93</v>
      </c>
      <c r="C37" s="29">
        <v>20.67</v>
      </c>
      <c r="D37" s="29">
        <v>6.0340000000000007</v>
      </c>
      <c r="E37" s="29">
        <v>252.73245271247052</v>
      </c>
      <c r="F37" s="29">
        <v>579.14031982866686</v>
      </c>
      <c r="G37" s="29">
        <v>15.988</v>
      </c>
      <c r="H37" s="66">
        <v>1257.63598797798</v>
      </c>
      <c r="I37" s="33">
        <v>9088.3485396189699</v>
      </c>
      <c r="J37" s="105"/>
      <c r="K37" s="170"/>
    </row>
    <row r="38" spans="1:11" s="34" customFormat="1" x14ac:dyDescent="0.2">
      <c r="A38" s="49">
        <v>40451</v>
      </c>
      <c r="B38" s="29">
        <v>21.56</v>
      </c>
      <c r="C38" s="29">
        <v>19.52</v>
      </c>
      <c r="D38" s="29">
        <v>5.6609999999999996</v>
      </c>
      <c r="E38" s="29">
        <v>240.83775488503525</v>
      </c>
      <c r="F38" s="17">
        <v>567.94647979018941</v>
      </c>
      <c r="G38" s="29"/>
      <c r="H38" s="51">
        <v>1141.20115690593</v>
      </c>
      <c r="I38" s="33">
        <v>9057.378058469867</v>
      </c>
      <c r="J38" s="105"/>
      <c r="K38" s="170"/>
    </row>
    <row r="39" spans="1:11" s="34" customFormat="1" x14ac:dyDescent="0.2">
      <c r="A39" s="49">
        <v>40359</v>
      </c>
      <c r="B39" s="29">
        <v>20.9</v>
      </c>
      <c r="C39" s="29">
        <v>19.68</v>
      </c>
      <c r="D39" s="29">
        <v>5.5750000000000002</v>
      </c>
      <c r="E39" s="29">
        <v>236.75355514653191</v>
      </c>
      <c r="F39" s="29">
        <v>541.60259896188109</v>
      </c>
      <c r="G39" s="29"/>
      <c r="H39" s="66">
        <v>1030.71008330308</v>
      </c>
      <c r="I39" s="33">
        <v>9044.8147006774816</v>
      </c>
      <c r="J39" s="105"/>
      <c r="K39" s="170"/>
    </row>
    <row r="40" spans="1:11" s="34" customFormat="1" x14ac:dyDescent="0.2">
      <c r="A40" s="49">
        <v>40268</v>
      </c>
      <c r="B40" s="29">
        <v>19.38</v>
      </c>
      <c r="C40" s="29">
        <v>17.48</v>
      </c>
      <c r="D40" s="29">
        <v>5.4589999999999996</v>
      </c>
      <c r="E40" s="29">
        <v>232.38219753036418</v>
      </c>
      <c r="F40" s="29">
        <v>530.94691410645248</v>
      </c>
      <c r="G40" s="29"/>
      <c r="H40" s="66">
        <v>1169.43119269817</v>
      </c>
      <c r="I40" s="33">
        <v>9030.0347000000002</v>
      </c>
      <c r="J40" s="105"/>
      <c r="K40" s="170"/>
    </row>
    <row r="41" spans="1:11" s="27" customFormat="1" x14ac:dyDescent="0.2">
      <c r="A41" s="49">
        <v>40178</v>
      </c>
      <c r="B41" s="23">
        <v>17.16</v>
      </c>
      <c r="C41" s="23">
        <v>15.18</v>
      </c>
      <c r="D41" s="29">
        <v>5.6579999999999995</v>
      </c>
      <c r="E41" s="29">
        <v>236.01673819999999</v>
      </c>
      <c r="F41" s="62">
        <v>513.57730084661841</v>
      </c>
      <c r="G41" s="29"/>
      <c r="H41" s="67">
        <v>1115.0999999999999</v>
      </c>
      <c r="I41" s="33">
        <v>8902.8253557231092</v>
      </c>
      <c r="J41" s="105"/>
      <c r="K41" s="170"/>
    </row>
    <row r="42" spans="1:11" s="34" customFormat="1" x14ac:dyDescent="0.2">
      <c r="A42" s="49">
        <v>40086</v>
      </c>
      <c r="B42" s="61">
        <v>15.78</v>
      </c>
      <c r="C42" s="61">
        <v>14.76</v>
      </c>
      <c r="D42" s="29">
        <v>5.3449999999999998</v>
      </c>
      <c r="E42" s="29">
        <v>227.34055003206151</v>
      </c>
      <c r="F42" s="29">
        <v>498.42921196649672</v>
      </c>
      <c r="G42" s="29"/>
      <c r="H42" s="66">
        <v>1057.0786000000001</v>
      </c>
      <c r="I42" s="33">
        <v>8832.3742000000002</v>
      </c>
      <c r="J42" s="105"/>
      <c r="K42" s="170"/>
    </row>
    <row r="43" spans="1:11" s="34" customFormat="1" x14ac:dyDescent="0.2">
      <c r="A43" s="49">
        <v>39994</v>
      </c>
      <c r="B43" s="29">
        <v>13.81</v>
      </c>
      <c r="C43" s="29">
        <v>13.51</v>
      </c>
      <c r="D43" s="29">
        <v>5.4420000000000002</v>
      </c>
      <c r="E43" s="29">
        <v>223.24161849502852</v>
      </c>
      <c r="F43" s="29">
        <v>487.68598366842139</v>
      </c>
      <c r="G43" s="29"/>
      <c r="H43" s="66">
        <v>919.32</v>
      </c>
      <c r="I43" s="33">
        <v>8750.8333000000002</v>
      </c>
      <c r="J43" s="105"/>
      <c r="K43" s="170"/>
    </row>
    <row r="44" spans="1:11" s="34" customFormat="1" x14ac:dyDescent="0.2">
      <c r="A44" s="49">
        <v>39903</v>
      </c>
      <c r="B44" s="29">
        <v>10.11</v>
      </c>
      <c r="C44" s="29">
        <v>7.52</v>
      </c>
      <c r="D44" s="29">
        <v>5.96</v>
      </c>
      <c r="E44" s="17">
        <v>221.79686295628164</v>
      </c>
      <c r="F44" s="29">
        <v>449.42648592524574</v>
      </c>
      <c r="G44" s="29"/>
      <c r="H44" s="66">
        <v>797.86699999999996</v>
      </c>
      <c r="I44" s="33">
        <v>8682.6355000000003</v>
      </c>
      <c r="J44" s="105"/>
      <c r="K44" s="170"/>
    </row>
    <row r="45" spans="1:11" s="2" customFormat="1" x14ac:dyDescent="0.2">
      <c r="A45" s="49">
        <v>39813</v>
      </c>
      <c r="B45" s="23">
        <v>-0.09</v>
      </c>
      <c r="C45" s="25">
        <v>-23.25</v>
      </c>
      <c r="D45" s="17">
        <v>7.1540000000000008</v>
      </c>
      <c r="E45" s="17">
        <v>230.21</v>
      </c>
      <c r="F45" s="17">
        <v>451.37291648250073</v>
      </c>
      <c r="G45" s="17"/>
      <c r="H45" s="51">
        <v>903.25</v>
      </c>
      <c r="I45" s="10">
        <v>8692.8475999999991</v>
      </c>
      <c r="J45" s="105"/>
      <c r="K45" s="170"/>
    </row>
    <row r="46" spans="1:11" s="2" customFormat="1" x14ac:dyDescent="0.2">
      <c r="A46" s="49">
        <v>39721</v>
      </c>
      <c r="B46" s="24">
        <v>15.96</v>
      </c>
      <c r="C46" s="24">
        <v>9.73</v>
      </c>
      <c r="D46" s="17">
        <v>7.0380000000000003</v>
      </c>
      <c r="E46" s="17">
        <v>268</v>
      </c>
      <c r="F46" s="17">
        <v>514.60126886877242</v>
      </c>
      <c r="G46" s="17"/>
      <c r="H46" s="51">
        <v>1166.361418</v>
      </c>
      <c r="I46" s="4">
        <v>8729.2458999999999</v>
      </c>
      <c r="J46" s="105"/>
      <c r="K46" s="170"/>
    </row>
    <row r="47" spans="1:11" s="2" customFormat="1" x14ac:dyDescent="0.2">
      <c r="A47" s="49">
        <v>39629</v>
      </c>
      <c r="B47" s="24">
        <v>17.02</v>
      </c>
      <c r="C47" s="24">
        <v>12.86</v>
      </c>
      <c r="D47" s="17">
        <v>7.1029999999999998</v>
      </c>
      <c r="E47" s="17">
        <v>278.52999999999997</v>
      </c>
      <c r="F47" s="17">
        <v>530.69654458236732</v>
      </c>
      <c r="G47" s="17"/>
      <c r="H47" s="51">
        <v>1280.001</v>
      </c>
      <c r="I47" s="4">
        <v>8720.7541000000001</v>
      </c>
      <c r="J47" s="105"/>
      <c r="K47" s="170"/>
    </row>
    <row r="48" spans="1:11" s="2" customFormat="1" x14ac:dyDescent="0.2">
      <c r="A48" s="49">
        <v>39538</v>
      </c>
      <c r="B48" s="17">
        <v>16.62</v>
      </c>
      <c r="C48" s="25">
        <v>15.54</v>
      </c>
      <c r="D48" s="17">
        <v>7.0920000000000005</v>
      </c>
      <c r="E48" s="17">
        <v>265.72000000000003</v>
      </c>
      <c r="F48" s="17">
        <v>530.94319319221881</v>
      </c>
      <c r="G48" s="17"/>
      <c r="H48" s="51">
        <v>1322.703</v>
      </c>
      <c r="I48" s="4">
        <v>8702.3924999999999</v>
      </c>
      <c r="J48" s="105"/>
      <c r="K48" s="170"/>
    </row>
    <row r="49" spans="1:11" s="2" customFormat="1" x14ac:dyDescent="0.2">
      <c r="A49" s="49">
        <v>39447</v>
      </c>
      <c r="B49" s="23">
        <v>15.22</v>
      </c>
      <c r="C49" s="17">
        <v>7.82</v>
      </c>
      <c r="D49" s="17">
        <v>7.6209999999999996</v>
      </c>
      <c r="E49" s="17">
        <v>268.16000000000003</v>
      </c>
      <c r="F49" s="17">
        <v>529.59494130262988</v>
      </c>
      <c r="G49" s="17"/>
      <c r="H49" s="51">
        <v>1468.3552</v>
      </c>
      <c r="I49" s="4">
        <v>8763.4436999999998</v>
      </c>
      <c r="J49" s="105"/>
      <c r="K49" s="170"/>
    </row>
    <row r="50" spans="1:11" s="2" customFormat="1" x14ac:dyDescent="0.2">
      <c r="A50" s="49">
        <v>39355</v>
      </c>
      <c r="B50" s="23">
        <v>20.87</v>
      </c>
      <c r="C50" s="17">
        <v>15.15</v>
      </c>
      <c r="D50" s="17">
        <v>6.8960000000000008</v>
      </c>
      <c r="E50" s="17">
        <v>258.81</v>
      </c>
      <c r="F50" s="17">
        <v>524.00041600880786</v>
      </c>
      <c r="G50" s="17"/>
      <c r="H50" s="51">
        <v>1526.7470000000001</v>
      </c>
      <c r="I50" s="4">
        <v>8822.4987000000001</v>
      </c>
      <c r="J50" s="105"/>
      <c r="K50" s="170"/>
    </row>
    <row r="51" spans="1:11" s="2" customFormat="1" x14ac:dyDescent="0.2">
      <c r="A51" s="49">
        <v>39263</v>
      </c>
      <c r="B51" s="17">
        <v>24.06</v>
      </c>
      <c r="C51" s="17">
        <v>21.880744314722936</v>
      </c>
      <c r="D51" s="17">
        <v>6.6930000000000005</v>
      </c>
      <c r="E51" s="17">
        <v>255.63</v>
      </c>
      <c r="F51" s="17">
        <v>516.91282982492737</v>
      </c>
      <c r="G51" s="17"/>
      <c r="H51" s="51">
        <v>1503.3486</v>
      </c>
      <c r="I51" s="4">
        <v>8879.9933999999994</v>
      </c>
      <c r="J51" s="105"/>
      <c r="K51" s="170"/>
    </row>
    <row r="52" spans="1:11" s="2" customFormat="1" x14ac:dyDescent="0.2">
      <c r="A52" s="49">
        <v>39172</v>
      </c>
      <c r="B52" s="23">
        <v>22.39</v>
      </c>
      <c r="C52" s="17">
        <v>21.33</v>
      </c>
      <c r="D52" s="17">
        <v>6.5220000000000002</v>
      </c>
      <c r="E52" s="17">
        <v>242.48</v>
      </c>
      <c r="F52" s="17">
        <v>508.99357409777878</v>
      </c>
      <c r="G52" s="17"/>
      <c r="H52" s="51">
        <v>1420.864</v>
      </c>
      <c r="I52" s="4">
        <v>8942.6689999999999</v>
      </c>
      <c r="J52" s="105"/>
      <c r="K52" s="170"/>
    </row>
    <row r="53" spans="1:11" s="2" customFormat="1" x14ac:dyDescent="0.2">
      <c r="A53" s="49">
        <v>39082</v>
      </c>
      <c r="B53" s="23">
        <v>21.99</v>
      </c>
      <c r="C53" s="17">
        <v>20.239999999999998</v>
      </c>
      <c r="D53" s="17">
        <v>6.867</v>
      </c>
      <c r="E53" s="17">
        <v>248.2</v>
      </c>
      <c r="F53" s="17">
        <v>504.39474860000001</v>
      </c>
      <c r="G53" s="17"/>
      <c r="H53" s="51">
        <v>1418.3005000000001</v>
      </c>
      <c r="I53" s="4">
        <v>8974.7255000000005</v>
      </c>
      <c r="J53" s="105"/>
      <c r="K53" s="170"/>
    </row>
    <row r="54" spans="1:11" s="2" customFormat="1" x14ac:dyDescent="0.2">
      <c r="A54" s="49">
        <v>38990</v>
      </c>
      <c r="B54" s="17">
        <v>23.03</v>
      </c>
      <c r="C54" s="17">
        <v>21.47</v>
      </c>
      <c r="D54" s="17">
        <v>6.0879999999999992</v>
      </c>
      <c r="E54" s="17">
        <v>239.8</v>
      </c>
      <c r="F54" s="17">
        <v>491.9583404</v>
      </c>
      <c r="G54" s="17"/>
      <c r="H54" s="51">
        <v>1335.847</v>
      </c>
      <c r="I54" s="4">
        <v>8997.9269999999997</v>
      </c>
      <c r="J54" s="105"/>
      <c r="K54" s="170"/>
    </row>
    <row r="55" spans="1:11" s="2" customFormat="1" x14ac:dyDescent="0.2">
      <c r="A55" s="49">
        <v>38898</v>
      </c>
      <c r="B55" s="17">
        <v>21.95</v>
      </c>
      <c r="C55" s="17">
        <v>20.11</v>
      </c>
      <c r="D55" s="17">
        <v>6.0170000000000003</v>
      </c>
      <c r="E55" s="17">
        <v>234.71</v>
      </c>
      <c r="F55" s="63">
        <v>474.91132299999998</v>
      </c>
      <c r="G55" s="17"/>
      <c r="H55" s="68">
        <v>1270.2</v>
      </c>
      <c r="I55" s="4">
        <v>9051.2029000000002</v>
      </c>
      <c r="J55" s="105"/>
      <c r="K55" s="170"/>
    </row>
    <row r="56" spans="1:11" s="2" customFormat="1" x14ac:dyDescent="0.2">
      <c r="A56" s="49">
        <v>38807</v>
      </c>
      <c r="B56" s="17">
        <v>20.75</v>
      </c>
      <c r="C56" s="17">
        <v>19.690000000000001</v>
      </c>
      <c r="D56" s="17">
        <v>5.9119999999999999</v>
      </c>
      <c r="E56" s="17">
        <v>229.8</v>
      </c>
      <c r="F56" s="17">
        <v>468.62847649999998</v>
      </c>
      <c r="G56" s="17"/>
      <c r="H56" s="51">
        <v>1294.83</v>
      </c>
      <c r="I56" s="4">
        <v>9004.8040999999994</v>
      </c>
      <c r="J56" s="105"/>
      <c r="K56" s="170"/>
    </row>
    <row r="57" spans="1:11" s="2" customFormat="1" x14ac:dyDescent="0.2">
      <c r="A57" s="49">
        <v>38717</v>
      </c>
      <c r="B57" s="17">
        <v>20.190000000000001</v>
      </c>
      <c r="C57" s="17">
        <v>17.3</v>
      </c>
      <c r="D57" s="17">
        <v>6.0790000000000006</v>
      </c>
      <c r="E57" s="17">
        <v>232.52</v>
      </c>
      <c r="F57" s="17">
        <v>453.06040000000002</v>
      </c>
      <c r="G57" s="17"/>
      <c r="H57" s="51">
        <v>1248.29</v>
      </c>
      <c r="I57" s="4">
        <v>9015.9647999999997</v>
      </c>
      <c r="J57" s="105"/>
      <c r="K57" s="170"/>
    </row>
    <row r="58" spans="1:11" s="2" customFormat="1" x14ac:dyDescent="0.2">
      <c r="A58" s="49">
        <v>38625</v>
      </c>
      <c r="B58" s="17">
        <v>18.84</v>
      </c>
      <c r="C58" s="17">
        <v>17.39</v>
      </c>
      <c r="D58" s="17">
        <v>5.4290000000000003</v>
      </c>
      <c r="E58" s="17">
        <v>220.9</v>
      </c>
      <c r="F58" s="17">
        <v>441.76600000000002</v>
      </c>
      <c r="G58" s="17"/>
      <c r="H58" s="51">
        <v>1228.81</v>
      </c>
      <c r="I58" s="4">
        <v>9018.9580000000005</v>
      </c>
      <c r="J58" s="105"/>
      <c r="K58" s="170"/>
    </row>
    <row r="59" spans="1:11" s="2" customFormat="1" x14ac:dyDescent="0.2">
      <c r="A59" s="49">
        <v>38533</v>
      </c>
      <c r="B59" s="17">
        <v>19.420000000000002</v>
      </c>
      <c r="C59" s="17">
        <v>18.29</v>
      </c>
      <c r="D59" s="17">
        <v>5.3639999999999999</v>
      </c>
      <c r="E59" s="17">
        <v>214.8</v>
      </c>
      <c r="F59" s="17">
        <v>436.89609999999999</v>
      </c>
      <c r="G59" s="17"/>
      <c r="H59" s="51">
        <v>1191.33</v>
      </c>
      <c r="I59" s="4">
        <v>9141.0503000000008</v>
      </c>
      <c r="J59" s="105"/>
      <c r="K59" s="170"/>
    </row>
    <row r="60" spans="1:11" s="2" customFormat="1" x14ac:dyDescent="0.2">
      <c r="A60" s="49">
        <v>38442</v>
      </c>
      <c r="B60" s="17">
        <v>18</v>
      </c>
      <c r="C60" s="17">
        <v>16.850000000000001</v>
      </c>
      <c r="D60" s="17">
        <v>5.3440000000000003</v>
      </c>
      <c r="E60" s="17">
        <v>206.1</v>
      </c>
      <c r="F60" s="17">
        <v>426.7921</v>
      </c>
      <c r="G60" s="17"/>
      <c r="H60" s="51">
        <v>1180.5899999999999</v>
      </c>
      <c r="I60" s="4">
        <v>9164.7469000000001</v>
      </c>
      <c r="J60" s="105"/>
      <c r="K60" s="170"/>
    </row>
    <row r="61" spans="1:11" s="2" customFormat="1" x14ac:dyDescent="0.2">
      <c r="A61" s="49">
        <v>38352</v>
      </c>
      <c r="B61" s="17">
        <v>17.95</v>
      </c>
      <c r="C61" s="17">
        <v>13.94</v>
      </c>
      <c r="D61" s="17">
        <v>5.3339999999999996</v>
      </c>
      <c r="E61" s="17">
        <v>210.14</v>
      </c>
      <c r="F61" s="17">
        <v>414.74900000000002</v>
      </c>
      <c r="G61" s="17"/>
      <c r="H61" s="51">
        <v>1211.92</v>
      </c>
      <c r="I61" s="4">
        <v>9314.6450000000004</v>
      </c>
      <c r="J61" s="105"/>
      <c r="K61" s="170"/>
    </row>
    <row r="62" spans="1:11" s="2" customFormat="1" x14ac:dyDescent="0.2">
      <c r="A62" s="49">
        <v>38260</v>
      </c>
      <c r="B62" s="17">
        <v>16.88</v>
      </c>
      <c r="C62" s="17">
        <v>14.18</v>
      </c>
      <c r="D62" s="17">
        <v>4.8830000000000009</v>
      </c>
      <c r="E62" s="17">
        <v>197.06</v>
      </c>
      <c r="F62" s="17">
        <v>402.51560000000001</v>
      </c>
      <c r="G62" s="17"/>
      <c r="H62" s="51">
        <v>1114.58</v>
      </c>
      <c r="I62" s="4">
        <v>9328.8960999999999</v>
      </c>
      <c r="J62" s="105"/>
      <c r="K62" s="170"/>
    </row>
    <row r="63" spans="1:11" s="2" customFormat="1" x14ac:dyDescent="0.2">
      <c r="A63" s="49">
        <v>38168</v>
      </c>
      <c r="B63" s="17">
        <v>16.98</v>
      </c>
      <c r="C63" s="17">
        <v>15.25</v>
      </c>
      <c r="D63" s="17">
        <v>4.6639999999999997</v>
      </c>
      <c r="E63" s="17">
        <v>193.64</v>
      </c>
      <c r="F63" s="17">
        <v>386.22980000000001</v>
      </c>
      <c r="G63" s="17"/>
      <c r="H63" s="51">
        <v>1140.8399999999999</v>
      </c>
      <c r="I63" s="4">
        <v>9311.9321999999993</v>
      </c>
      <c r="J63" s="105"/>
      <c r="K63" s="170"/>
    </row>
    <row r="64" spans="1:11" s="2" customFormat="1" x14ac:dyDescent="0.2">
      <c r="A64" s="49">
        <v>38077</v>
      </c>
      <c r="B64" s="17">
        <v>15.87</v>
      </c>
      <c r="C64" s="17">
        <v>15.18</v>
      </c>
      <c r="D64" s="17">
        <v>4.5609999999999999</v>
      </c>
      <c r="E64" s="17">
        <v>187.33</v>
      </c>
      <c r="F64" s="17">
        <v>376.47480000000002</v>
      </c>
      <c r="G64" s="17"/>
      <c r="H64" s="51">
        <v>1126.21</v>
      </c>
      <c r="I64" s="4">
        <v>9288.9621999999999</v>
      </c>
      <c r="J64" s="105"/>
      <c r="K64" s="170"/>
    </row>
    <row r="65" spans="1:11" s="2" customFormat="1" x14ac:dyDescent="0.2">
      <c r="A65" s="49">
        <v>37986</v>
      </c>
      <c r="B65" s="17">
        <v>14.88</v>
      </c>
      <c r="C65" s="17">
        <v>13.16</v>
      </c>
      <c r="D65" s="17">
        <v>5.0549999999999997</v>
      </c>
      <c r="E65" s="17">
        <v>178.85</v>
      </c>
      <c r="F65" s="17">
        <v>367.1737</v>
      </c>
      <c r="G65" s="17"/>
      <c r="H65" s="51">
        <v>1111.92</v>
      </c>
      <c r="I65" s="4">
        <v>9250.5098999999991</v>
      </c>
      <c r="J65" s="105"/>
      <c r="K65" s="170"/>
    </row>
    <row r="66" spans="1:11" s="2" customFormat="1" x14ac:dyDescent="0.2">
      <c r="A66" s="49">
        <v>37894</v>
      </c>
      <c r="B66" s="17">
        <v>14.41</v>
      </c>
      <c r="C66" s="17">
        <v>12.56</v>
      </c>
      <c r="D66" s="17">
        <v>4.3220000000000001</v>
      </c>
      <c r="E66" s="17">
        <v>179.6</v>
      </c>
      <c r="F66" s="17">
        <v>351.89240000000001</v>
      </c>
      <c r="G66" s="17"/>
      <c r="H66" s="51">
        <v>995.97</v>
      </c>
      <c r="I66" s="4">
        <v>9244.9465999999993</v>
      </c>
      <c r="J66" s="105"/>
      <c r="K66" s="170"/>
    </row>
    <row r="67" spans="1:11" s="2" customFormat="1" x14ac:dyDescent="0.2">
      <c r="A67" s="49">
        <v>37802</v>
      </c>
      <c r="B67" s="17">
        <v>12.92</v>
      </c>
      <c r="C67" s="17">
        <v>11.1</v>
      </c>
      <c r="D67" s="17">
        <v>4.0860000000000003</v>
      </c>
      <c r="E67" s="17">
        <v>181.15</v>
      </c>
      <c r="F67" s="17">
        <v>346.3186</v>
      </c>
      <c r="G67" s="17"/>
      <c r="H67" s="51">
        <v>974.5</v>
      </c>
      <c r="I67" s="4">
        <v>9236.5445</v>
      </c>
      <c r="J67" s="105"/>
      <c r="K67" s="170"/>
    </row>
    <row r="68" spans="1:11" x14ac:dyDescent="0.2">
      <c r="A68" s="49">
        <v>37711</v>
      </c>
      <c r="B68" s="17">
        <v>12.48</v>
      </c>
      <c r="C68" s="17">
        <v>11.92</v>
      </c>
      <c r="D68" s="17">
        <v>3.9220000000000002</v>
      </c>
      <c r="E68" s="17">
        <v>171.21</v>
      </c>
      <c r="F68" s="17">
        <v>328.72280000000001</v>
      </c>
      <c r="G68" s="17"/>
      <c r="H68" s="51">
        <v>848.18</v>
      </c>
      <c r="I68" s="4">
        <v>9227.6358</v>
      </c>
      <c r="J68" s="105"/>
      <c r="K68" s="170"/>
    </row>
    <row r="69" spans="1:11" x14ac:dyDescent="0.2">
      <c r="A69" s="49">
        <v>37621</v>
      </c>
      <c r="B69" s="17">
        <v>11.94</v>
      </c>
      <c r="C69" s="17">
        <v>3</v>
      </c>
      <c r="D69" s="17">
        <v>4.2560000000000002</v>
      </c>
      <c r="E69" s="17">
        <v>165.94</v>
      </c>
      <c r="F69" s="17">
        <v>321.71940000000001</v>
      </c>
      <c r="G69" s="17"/>
      <c r="H69" s="51">
        <v>879.82</v>
      </c>
      <c r="I69" s="4">
        <v>9214.8461000000007</v>
      </c>
      <c r="J69" s="105"/>
      <c r="K69" s="170"/>
    </row>
    <row r="70" spans="1:11" x14ac:dyDescent="0.2">
      <c r="A70" s="49">
        <v>37529</v>
      </c>
      <c r="B70" s="17">
        <v>11.61</v>
      </c>
      <c r="C70" s="17">
        <v>8.5299999999999994</v>
      </c>
      <c r="D70" s="17">
        <v>3.9009999999999998</v>
      </c>
      <c r="E70" s="17">
        <v>166.12</v>
      </c>
      <c r="F70" s="17">
        <v>334.91730000000001</v>
      </c>
      <c r="G70" s="17"/>
      <c r="H70" s="51">
        <v>815.28</v>
      </c>
      <c r="I70" s="4">
        <v>9221.83</v>
      </c>
      <c r="J70" s="105"/>
      <c r="K70" s="170"/>
    </row>
    <row r="71" spans="1:11" x14ac:dyDescent="0.2">
      <c r="A71" s="49">
        <v>37437</v>
      </c>
      <c r="B71" s="17">
        <v>11.64</v>
      </c>
      <c r="C71" s="17">
        <v>6.87</v>
      </c>
      <c r="D71" s="17">
        <v>4.1449999999999996</v>
      </c>
      <c r="E71" s="17">
        <v>175.33</v>
      </c>
      <c r="F71" s="17">
        <v>329.5215</v>
      </c>
      <c r="G71" s="17"/>
      <c r="H71" s="51">
        <v>989.81</v>
      </c>
      <c r="I71" s="4">
        <v>9184.1200000000008</v>
      </c>
      <c r="J71" s="105"/>
      <c r="K71" s="170"/>
    </row>
    <row r="72" spans="1:11" x14ac:dyDescent="0.2">
      <c r="A72" s="49">
        <v>37346</v>
      </c>
      <c r="B72" s="17">
        <v>10.85</v>
      </c>
      <c r="C72" s="17">
        <v>9.19</v>
      </c>
      <c r="D72" s="17">
        <v>3.7720000000000002</v>
      </c>
      <c r="E72" s="17">
        <v>167.2</v>
      </c>
      <c r="F72" s="17">
        <v>332.74009999999998</v>
      </c>
      <c r="G72" s="17"/>
      <c r="H72" s="51">
        <v>1147.3900000000001</v>
      </c>
      <c r="I72" s="4">
        <v>9152.85</v>
      </c>
      <c r="J72" s="105"/>
      <c r="K72" s="170"/>
    </row>
    <row r="73" spans="1:11" x14ac:dyDescent="0.2">
      <c r="A73" s="49">
        <v>37256</v>
      </c>
      <c r="B73" s="17">
        <v>9.94</v>
      </c>
      <c r="C73" s="17">
        <v>5.45</v>
      </c>
      <c r="D73" s="17">
        <v>3.9809999999999999</v>
      </c>
      <c r="E73" s="17">
        <v>189.1</v>
      </c>
      <c r="F73" s="17">
        <v>338.37380000000002</v>
      </c>
      <c r="G73" s="17"/>
      <c r="H73" s="51">
        <v>1148.08</v>
      </c>
      <c r="I73" s="4">
        <v>9113.82</v>
      </c>
      <c r="J73" s="105"/>
      <c r="K73" s="170"/>
    </row>
    <row r="74" spans="1:11" x14ac:dyDescent="0.2">
      <c r="A74" s="49">
        <v>37164</v>
      </c>
      <c r="B74" s="17">
        <v>9.16</v>
      </c>
      <c r="C74" s="17">
        <v>5.23</v>
      </c>
      <c r="D74" s="17">
        <v>4.141</v>
      </c>
      <c r="E74" s="17">
        <v>178.68</v>
      </c>
      <c r="F74" s="17">
        <v>339.3972</v>
      </c>
      <c r="G74" s="17"/>
      <c r="H74" s="51">
        <v>1040.94</v>
      </c>
      <c r="I74" s="4">
        <v>9065.58</v>
      </c>
      <c r="J74" s="105"/>
      <c r="K74" s="170"/>
    </row>
    <row r="75" spans="1:11" x14ac:dyDescent="0.2">
      <c r="A75" s="49">
        <v>37072</v>
      </c>
      <c r="B75" s="17">
        <v>9.02</v>
      </c>
      <c r="C75" s="17">
        <v>4.83</v>
      </c>
      <c r="D75" s="17">
        <v>3.8359999999999999</v>
      </c>
      <c r="E75" s="17">
        <v>183.03</v>
      </c>
      <c r="F75" s="17">
        <v>345.87369999999999</v>
      </c>
      <c r="G75" s="17"/>
      <c r="H75" s="51">
        <v>1224.3800000000001</v>
      </c>
      <c r="I75" s="4">
        <v>9006.43</v>
      </c>
      <c r="J75" s="105"/>
      <c r="K75" s="170"/>
    </row>
    <row r="76" spans="1:11" x14ac:dyDescent="0.2">
      <c r="A76" s="49">
        <v>36981</v>
      </c>
      <c r="B76" s="17">
        <v>10.73</v>
      </c>
      <c r="C76" s="17">
        <v>9.18</v>
      </c>
      <c r="D76" s="17">
        <v>3.782</v>
      </c>
      <c r="E76" s="17">
        <v>186.07</v>
      </c>
      <c r="F76" s="17">
        <v>347.25170000000003</v>
      </c>
      <c r="G76" s="17"/>
      <c r="H76" s="51">
        <v>1160.33</v>
      </c>
      <c r="I76" s="4">
        <v>8949.76</v>
      </c>
      <c r="J76" s="105"/>
      <c r="K76" s="170"/>
    </row>
    <row r="77" spans="1:11" x14ac:dyDescent="0.2">
      <c r="A77" s="49">
        <v>36891</v>
      </c>
      <c r="B77" s="17">
        <v>13.11</v>
      </c>
      <c r="C77" s="17">
        <v>9.07</v>
      </c>
      <c r="D77" s="17">
        <v>3.9769999999999999</v>
      </c>
      <c r="E77" s="17">
        <v>191.03</v>
      </c>
      <c r="F77" s="17">
        <v>325.79849999999999</v>
      </c>
      <c r="G77" s="17"/>
      <c r="H77" s="51">
        <v>1320.28</v>
      </c>
      <c r="I77" s="4">
        <v>8872.7800000000007</v>
      </c>
      <c r="J77" s="105"/>
      <c r="K77" s="170"/>
    </row>
    <row r="78" spans="1:11" x14ac:dyDescent="0.2">
      <c r="A78" s="49">
        <v>36799</v>
      </c>
      <c r="B78" s="17">
        <v>14.17</v>
      </c>
      <c r="C78" s="17">
        <v>13.71</v>
      </c>
      <c r="D78" s="17">
        <v>4.0909999999999993</v>
      </c>
      <c r="E78" s="17">
        <v>188.1</v>
      </c>
      <c r="F78" s="17">
        <v>319.59530000000001</v>
      </c>
      <c r="G78" s="17"/>
      <c r="H78" s="51">
        <v>1436.51</v>
      </c>
      <c r="I78" s="4">
        <v>8770.4</v>
      </c>
      <c r="J78" s="105"/>
      <c r="K78" s="170"/>
    </row>
    <row r="79" spans="1:11" x14ac:dyDescent="0.2">
      <c r="A79" s="49">
        <v>36707</v>
      </c>
      <c r="B79" s="17">
        <v>14.88</v>
      </c>
      <c r="C79" s="17">
        <v>13.48</v>
      </c>
      <c r="D79" s="17">
        <v>4.1230000000000002</v>
      </c>
      <c r="E79" s="17">
        <v>186.07</v>
      </c>
      <c r="F79" s="17">
        <v>312.93709999999999</v>
      </c>
      <c r="G79" s="17"/>
      <c r="H79" s="51">
        <v>1454.6</v>
      </c>
      <c r="I79" s="4">
        <v>8582.7099999999991</v>
      </c>
      <c r="J79" s="105"/>
      <c r="K79" s="170"/>
    </row>
    <row r="80" spans="1:11" x14ac:dyDescent="0.2">
      <c r="A80" s="49">
        <v>36616</v>
      </c>
      <c r="B80" s="17">
        <v>13.97</v>
      </c>
      <c r="C80" s="17">
        <v>13.74</v>
      </c>
      <c r="D80" s="17">
        <v>4.08</v>
      </c>
      <c r="E80" s="17">
        <v>180.5</v>
      </c>
      <c r="F80" s="17">
        <v>295.93579999999997</v>
      </c>
      <c r="G80" s="17"/>
      <c r="H80" s="51">
        <v>1498.58</v>
      </c>
      <c r="I80" s="4">
        <v>8465.4599999999991</v>
      </c>
      <c r="J80" s="105"/>
      <c r="K80" s="170"/>
    </row>
    <row r="81" spans="1:11" x14ac:dyDescent="0.2">
      <c r="A81" s="49">
        <v>36525</v>
      </c>
      <c r="B81" s="17">
        <v>13.77</v>
      </c>
      <c r="C81" s="17">
        <v>12.77</v>
      </c>
      <c r="D81" s="17">
        <v>4.0529999999999999</v>
      </c>
      <c r="F81" s="17">
        <v>290.68329999999997</v>
      </c>
      <c r="G81" s="17"/>
      <c r="H81" s="51">
        <v>1469.25</v>
      </c>
      <c r="I81" s="4">
        <v>8381.82</v>
      </c>
      <c r="J81" s="105"/>
      <c r="K81" s="170"/>
    </row>
    <row r="82" spans="1:11" x14ac:dyDescent="0.2">
      <c r="A82" s="49">
        <v>36433</v>
      </c>
      <c r="B82" s="17">
        <v>12.97</v>
      </c>
      <c r="C82" s="17">
        <v>11.93</v>
      </c>
      <c r="D82" s="17">
        <v>4.4480000000000004</v>
      </c>
      <c r="F82" s="17"/>
      <c r="G82" s="17"/>
      <c r="H82" s="51">
        <v>1282.71</v>
      </c>
      <c r="I82" s="4">
        <v>8227.74</v>
      </c>
      <c r="J82" s="105"/>
      <c r="K82" s="170"/>
    </row>
    <row r="83" spans="1:11" x14ac:dyDescent="0.2">
      <c r="A83" s="49">
        <v>36341</v>
      </c>
      <c r="B83" s="17">
        <v>13.21</v>
      </c>
      <c r="C83" s="17">
        <v>12.51</v>
      </c>
      <c r="D83" s="17">
        <v>4.181</v>
      </c>
      <c r="F83" s="17"/>
      <c r="G83" s="17"/>
      <c r="H83" s="51">
        <v>1372.71</v>
      </c>
      <c r="I83" s="4">
        <v>8182</v>
      </c>
      <c r="J83" s="105"/>
      <c r="K83" s="170"/>
    </row>
    <row r="84" spans="1:11" x14ac:dyDescent="0.2">
      <c r="A84" s="49">
        <v>36250</v>
      </c>
      <c r="B84" s="17">
        <v>11.73</v>
      </c>
      <c r="C84" s="17">
        <v>10.96</v>
      </c>
      <c r="D84" s="17">
        <v>4.01</v>
      </c>
      <c r="F84" s="17"/>
      <c r="G84" s="17"/>
      <c r="H84" s="51">
        <v>1286.3699999999999</v>
      </c>
      <c r="I84" s="4">
        <v>8172.68</v>
      </c>
      <c r="J84" s="105"/>
      <c r="K84" s="170"/>
    </row>
    <row r="85" spans="1:11" x14ac:dyDescent="0.2">
      <c r="A85" s="49">
        <v>36160</v>
      </c>
      <c r="B85" s="17">
        <v>11.47</v>
      </c>
      <c r="C85" s="17">
        <v>8.56</v>
      </c>
      <c r="D85" s="17">
        <v>4.0019999999999998</v>
      </c>
      <c r="F85" s="17"/>
      <c r="G85" s="17"/>
      <c r="H85" s="51">
        <v>1229.23</v>
      </c>
      <c r="I85" s="4">
        <v>8088.29</v>
      </c>
      <c r="J85" s="105"/>
      <c r="K85" s="170"/>
    </row>
    <row r="86" spans="1:11" x14ac:dyDescent="0.2">
      <c r="A86" s="49">
        <v>36068</v>
      </c>
      <c r="B86" s="17">
        <v>10.45</v>
      </c>
      <c r="C86" s="17">
        <v>8.99</v>
      </c>
      <c r="D86" s="17">
        <v>4.2549999999999999</v>
      </c>
      <c r="F86" s="17"/>
      <c r="G86" s="17"/>
      <c r="H86" s="51">
        <v>1017.01</v>
      </c>
      <c r="I86" s="4">
        <v>7989.24</v>
      </c>
      <c r="J86" s="105"/>
      <c r="K86" s="170"/>
    </row>
    <row r="87" spans="1:11" x14ac:dyDescent="0.2">
      <c r="A87" s="49">
        <v>35976</v>
      </c>
      <c r="B87" s="17">
        <v>11.43</v>
      </c>
      <c r="C87" s="17">
        <v>9.8699999999999992</v>
      </c>
      <c r="D87" s="17">
        <v>4.1819999999999995</v>
      </c>
      <c r="F87" s="17"/>
      <c r="G87" s="17"/>
      <c r="H87" s="51">
        <v>1133.8399999999999</v>
      </c>
      <c r="I87" s="4">
        <v>7898.5</v>
      </c>
      <c r="J87" s="105"/>
      <c r="K87" s="170"/>
    </row>
    <row r="88" spans="1:11" x14ac:dyDescent="0.2">
      <c r="A88" s="49">
        <v>35885</v>
      </c>
      <c r="B88" s="17">
        <v>10.92</v>
      </c>
      <c r="C88" s="17">
        <v>10.29</v>
      </c>
      <c r="D88" s="17">
        <v>3.7560000000000002</v>
      </c>
      <c r="F88" s="17"/>
      <c r="G88" s="17"/>
      <c r="H88" s="51">
        <v>1101.75</v>
      </c>
      <c r="I88" s="4">
        <v>7829.71</v>
      </c>
      <c r="J88" s="105"/>
      <c r="K88" s="170"/>
    </row>
    <row r="89" spans="1:11" x14ac:dyDescent="0.2">
      <c r="A89" s="49">
        <v>35795</v>
      </c>
      <c r="B89" s="17">
        <v>11.29</v>
      </c>
      <c r="C89" s="17">
        <v>8.94</v>
      </c>
      <c r="D89" s="17">
        <v>3.95</v>
      </c>
      <c r="F89" s="17"/>
      <c r="G89" s="17"/>
      <c r="H89" s="51">
        <v>970.43</v>
      </c>
      <c r="I89" s="4">
        <v>7784.88</v>
      </c>
      <c r="J89" s="105"/>
      <c r="K89" s="170"/>
    </row>
    <row r="90" spans="1:11" x14ac:dyDescent="0.2">
      <c r="A90" s="49">
        <v>35703</v>
      </c>
      <c r="B90" s="17">
        <v>11.03</v>
      </c>
      <c r="C90" s="17">
        <v>9.8699999999999992</v>
      </c>
      <c r="D90" s="17">
        <v>4.0620000000000003</v>
      </c>
      <c r="F90" s="17"/>
      <c r="G90" s="17"/>
      <c r="H90" s="51">
        <v>947.28</v>
      </c>
      <c r="I90" s="4">
        <v>7741.54</v>
      </c>
      <c r="J90" s="105"/>
      <c r="K90" s="170"/>
    </row>
    <row r="91" spans="1:11" x14ac:dyDescent="0.2">
      <c r="A91" s="49">
        <v>35611</v>
      </c>
      <c r="B91" s="17">
        <v>11.13</v>
      </c>
      <c r="C91" s="17">
        <v>10.44</v>
      </c>
      <c r="D91" s="17">
        <v>3.8730000000000002</v>
      </c>
      <c r="F91" s="17"/>
      <c r="G91" s="17"/>
      <c r="H91" s="51">
        <v>885.14</v>
      </c>
      <c r="I91" s="4">
        <v>7673.57</v>
      </c>
      <c r="J91" s="105"/>
      <c r="K91" s="170"/>
    </row>
    <row r="92" spans="1:11" x14ac:dyDescent="0.2">
      <c r="A92" s="49">
        <v>35520</v>
      </c>
      <c r="B92" s="17">
        <v>10.56</v>
      </c>
      <c r="C92" s="17">
        <v>10.47</v>
      </c>
      <c r="D92" s="17">
        <v>3.6120000000000001</v>
      </c>
      <c r="F92" s="17"/>
      <c r="G92" s="17"/>
      <c r="H92" s="51">
        <v>757.12</v>
      </c>
      <c r="I92" s="4">
        <v>7655.79</v>
      </c>
      <c r="J92" s="105"/>
      <c r="K92" s="170"/>
    </row>
    <row r="93" spans="1:11" x14ac:dyDescent="0.2">
      <c r="A93" s="49">
        <v>35430</v>
      </c>
      <c r="B93" s="17">
        <v>11.01</v>
      </c>
      <c r="C93" s="17">
        <v>9.86</v>
      </c>
      <c r="D93" s="17">
        <v>3.7859999999999996</v>
      </c>
      <c r="F93" s="17"/>
      <c r="G93" s="17"/>
      <c r="H93" s="51">
        <v>740.74</v>
      </c>
      <c r="I93" s="4">
        <v>7594.79</v>
      </c>
      <c r="J93" s="105"/>
      <c r="K93" s="170"/>
    </row>
    <row r="94" spans="1:11" x14ac:dyDescent="0.2">
      <c r="A94" s="49">
        <v>35338</v>
      </c>
      <c r="B94" s="17">
        <v>9.92</v>
      </c>
      <c r="C94" s="17">
        <v>9.7799999999999994</v>
      </c>
      <c r="D94" s="17">
        <v>3.89</v>
      </c>
      <c r="F94" s="17"/>
      <c r="G94" s="17"/>
      <c r="H94" s="51">
        <v>687.33</v>
      </c>
      <c r="I94" s="4">
        <v>7573.12</v>
      </c>
      <c r="J94" s="105"/>
      <c r="K94" s="170"/>
    </row>
    <row r="95" spans="1:11" x14ac:dyDescent="0.2">
      <c r="A95" s="49">
        <v>35246</v>
      </c>
      <c r="B95" s="17">
        <v>10.31</v>
      </c>
      <c r="C95" s="17">
        <v>10.130000000000001</v>
      </c>
      <c r="D95" s="17">
        <v>3.7709999999999999</v>
      </c>
      <c r="F95" s="17"/>
      <c r="G95" s="17"/>
      <c r="H95" s="51">
        <v>670.63</v>
      </c>
      <c r="I95" s="4">
        <v>7550.72</v>
      </c>
      <c r="J95" s="105"/>
      <c r="K95" s="170"/>
    </row>
    <row r="96" spans="1:11" x14ac:dyDescent="0.2">
      <c r="A96" s="49">
        <v>35155</v>
      </c>
      <c r="B96" s="17">
        <v>9.39</v>
      </c>
      <c r="C96" s="17">
        <v>8.9600000000000009</v>
      </c>
      <c r="D96" s="17">
        <v>3.452</v>
      </c>
      <c r="F96" s="17"/>
      <c r="G96" s="17"/>
      <c r="H96" s="51">
        <v>645.5</v>
      </c>
      <c r="I96" s="4">
        <v>7511.21</v>
      </c>
      <c r="J96" s="105"/>
      <c r="K96" s="170"/>
    </row>
    <row r="97" spans="1:11" x14ac:dyDescent="0.2">
      <c r="A97" s="49">
        <v>35064</v>
      </c>
      <c r="B97" s="17">
        <v>9.7799999999999994</v>
      </c>
      <c r="C97" s="17">
        <v>7.13</v>
      </c>
      <c r="D97" s="17">
        <v>3.5510000000000002</v>
      </c>
      <c r="F97" s="17"/>
      <c r="G97" s="17"/>
      <c r="H97" s="51">
        <v>615.92999999999995</v>
      </c>
      <c r="I97" s="4">
        <v>7449.38</v>
      </c>
      <c r="J97" s="105"/>
      <c r="K97" s="170"/>
    </row>
    <row r="98" spans="1:11" x14ac:dyDescent="0.2">
      <c r="A98" s="49">
        <v>34972</v>
      </c>
      <c r="B98" s="17">
        <v>9.7799999999999994</v>
      </c>
      <c r="C98" s="17">
        <v>8.69</v>
      </c>
      <c r="D98" s="17">
        <v>3.4989999999999997</v>
      </c>
      <c r="F98" s="17"/>
      <c r="G98" s="17"/>
      <c r="H98" s="51">
        <v>584.41</v>
      </c>
      <c r="I98" s="4">
        <v>7373.75</v>
      </c>
      <c r="J98" s="105"/>
      <c r="K98" s="170"/>
    </row>
    <row r="99" spans="1:11" x14ac:dyDescent="0.2">
      <c r="A99" s="49">
        <v>34880</v>
      </c>
      <c r="B99" s="17">
        <v>9.5</v>
      </c>
      <c r="C99" s="17">
        <v>9.26</v>
      </c>
      <c r="D99" s="17">
        <v>3.6019999999999999</v>
      </c>
      <c r="F99" s="17"/>
      <c r="G99" s="17"/>
      <c r="H99" s="51">
        <v>544.75</v>
      </c>
      <c r="I99" s="4">
        <v>7340.26</v>
      </c>
      <c r="J99" s="105"/>
      <c r="K99" s="170"/>
    </row>
    <row r="100" spans="1:11" x14ac:dyDescent="0.2">
      <c r="A100" s="49">
        <v>34789</v>
      </c>
      <c r="B100" s="17">
        <v>8.64</v>
      </c>
      <c r="C100" s="17">
        <v>8.8800000000000008</v>
      </c>
      <c r="D100" s="17">
        <v>3.1360000000000001</v>
      </c>
      <c r="F100" s="17"/>
      <c r="G100" s="17"/>
      <c r="H100" s="51">
        <v>500.71</v>
      </c>
      <c r="I100" s="4">
        <v>7331.51</v>
      </c>
      <c r="J100" s="105"/>
      <c r="K100" s="170"/>
    </row>
    <row r="101" spans="1:11" x14ac:dyDescent="0.2">
      <c r="A101" s="49">
        <v>34699</v>
      </c>
      <c r="B101" s="17">
        <v>8.8000000000000007</v>
      </c>
      <c r="C101" s="17">
        <v>8.35</v>
      </c>
      <c r="D101" s="17">
        <v>3.3380000000000001</v>
      </c>
      <c r="F101" s="17"/>
      <c r="G101" s="17"/>
      <c r="H101" s="51">
        <v>459.27</v>
      </c>
      <c r="I101" s="4">
        <v>7285.82</v>
      </c>
      <c r="J101" s="105"/>
      <c r="K101" s="170"/>
    </row>
    <row r="102" spans="1:11" x14ac:dyDescent="0.2">
      <c r="A102" s="49">
        <v>34607</v>
      </c>
      <c r="B102" s="17">
        <v>8.0299999999999994</v>
      </c>
      <c r="C102" s="17">
        <v>7.94</v>
      </c>
      <c r="D102" s="17">
        <v>3.2850000000000001</v>
      </c>
      <c r="F102" s="17"/>
      <c r="G102" s="17"/>
      <c r="H102" s="51">
        <v>462.71</v>
      </c>
      <c r="I102" s="4">
        <v>7265.69</v>
      </c>
      <c r="J102" s="105"/>
      <c r="K102" s="170"/>
    </row>
    <row r="103" spans="1:11" x14ac:dyDescent="0.2">
      <c r="A103" s="49">
        <v>34515</v>
      </c>
      <c r="B103" s="17">
        <v>7.75</v>
      </c>
      <c r="C103" s="17">
        <v>7.38</v>
      </c>
      <c r="D103" s="17">
        <v>3.4109999999999996</v>
      </c>
      <c r="F103" s="17"/>
      <c r="G103" s="17"/>
      <c r="H103" s="51">
        <v>444.27</v>
      </c>
      <c r="I103" s="4">
        <v>7211.87</v>
      </c>
      <c r="J103" s="105"/>
      <c r="K103" s="170"/>
    </row>
    <row r="104" spans="1:11" x14ac:dyDescent="0.2">
      <c r="A104" s="49">
        <v>34424</v>
      </c>
      <c r="B104" s="17">
        <v>7.17</v>
      </c>
      <c r="C104" s="17">
        <v>6.93</v>
      </c>
      <c r="D104" s="17">
        <v>3.1360000000000001</v>
      </c>
      <c r="F104" s="17"/>
      <c r="G104" s="17"/>
      <c r="H104" s="51">
        <v>445.77</v>
      </c>
      <c r="I104" s="4">
        <v>7127.98</v>
      </c>
      <c r="J104" s="105"/>
      <c r="K104" s="170"/>
    </row>
    <row r="105" spans="1:11" x14ac:dyDescent="0.2">
      <c r="A105" s="49">
        <v>34334</v>
      </c>
      <c r="B105" s="17">
        <v>7.16</v>
      </c>
      <c r="C105" s="17">
        <v>5.08</v>
      </c>
      <c r="D105" s="17">
        <v>3.0910000000000002</v>
      </c>
      <c r="F105" s="17"/>
      <c r="G105" s="17"/>
      <c r="H105" s="51">
        <v>466.45</v>
      </c>
      <c r="I105" s="4">
        <v>7086.53</v>
      </c>
      <c r="J105" s="105"/>
      <c r="K105" s="170"/>
    </row>
    <row r="106" spans="1:11" x14ac:dyDescent="0.2">
      <c r="A106" s="49">
        <v>34242</v>
      </c>
      <c r="B106" s="17">
        <v>6.92</v>
      </c>
      <c r="C106" s="17">
        <v>5.81</v>
      </c>
      <c r="D106" s="17">
        <v>3.1969999999999996</v>
      </c>
      <c r="F106" s="17"/>
      <c r="G106" s="17"/>
      <c r="H106" s="51">
        <v>458.93</v>
      </c>
      <c r="I106" s="4">
        <v>7011.06</v>
      </c>
      <c r="J106" s="105"/>
      <c r="K106" s="170"/>
    </row>
    <row r="107" spans="1:11" x14ac:dyDescent="0.2">
      <c r="A107" s="49">
        <v>34150</v>
      </c>
      <c r="B107" s="17">
        <v>6.57</v>
      </c>
      <c r="C107" s="17">
        <v>4.8899999999999997</v>
      </c>
      <c r="D107" s="17">
        <v>3.2829999999999995</v>
      </c>
      <c r="F107" s="17"/>
      <c r="G107" s="17"/>
      <c r="H107" s="51">
        <v>450.53</v>
      </c>
      <c r="I107" s="4">
        <v>6974.55</v>
      </c>
      <c r="J107" s="105"/>
      <c r="K107" s="170"/>
    </row>
    <row r="108" spans="1:11" x14ac:dyDescent="0.2">
      <c r="A108" s="49">
        <v>34059</v>
      </c>
      <c r="B108" s="17">
        <v>6.25</v>
      </c>
      <c r="C108" s="17">
        <v>6.11</v>
      </c>
      <c r="D108" s="17">
        <v>3.0059999999999998</v>
      </c>
      <c r="F108" s="17"/>
      <c r="G108" s="17"/>
      <c r="H108" s="51">
        <v>451.67</v>
      </c>
      <c r="I108" s="4">
        <v>6947.24</v>
      </c>
      <c r="J108" s="105"/>
      <c r="K108" s="170"/>
    </row>
    <row r="109" spans="1:11" x14ac:dyDescent="0.2">
      <c r="A109" s="49">
        <v>33969</v>
      </c>
      <c r="B109" s="17">
        <v>5.61</v>
      </c>
      <c r="C109" s="17">
        <v>3.6</v>
      </c>
      <c r="D109" s="17">
        <v>3.0330000000000004</v>
      </c>
      <c r="F109" s="17"/>
      <c r="G109" s="17"/>
      <c r="H109" s="51">
        <v>435.71</v>
      </c>
      <c r="I109" s="4">
        <v>6918.99</v>
      </c>
      <c r="J109" s="105"/>
      <c r="K109" s="170"/>
    </row>
    <row r="110" spans="1:11" x14ac:dyDescent="0.2">
      <c r="A110" s="49">
        <v>33877</v>
      </c>
      <c r="B110" s="17">
        <v>5.12</v>
      </c>
      <c r="C110" s="17">
        <v>4.7300000000000004</v>
      </c>
      <c r="D110" s="17">
        <v>3.2009999999999996</v>
      </c>
      <c r="F110" s="17"/>
      <c r="G110" s="17"/>
      <c r="H110" s="51">
        <v>417.8</v>
      </c>
      <c r="I110" s="4">
        <v>6900.48</v>
      </c>
      <c r="J110" s="105"/>
      <c r="K110" s="170"/>
    </row>
    <row r="111" spans="1:11" x14ac:dyDescent="0.2">
      <c r="A111" s="49">
        <v>33785</v>
      </c>
      <c r="B111" s="17">
        <v>5.21</v>
      </c>
      <c r="C111" s="17">
        <v>5.4</v>
      </c>
      <c r="D111" s="17">
        <v>3.2389999999999999</v>
      </c>
      <c r="E111" s="26"/>
      <c r="F111" s="17"/>
      <c r="G111" s="17"/>
      <c r="H111" s="51">
        <v>408.14</v>
      </c>
      <c r="I111" s="4">
        <v>6867.07</v>
      </c>
      <c r="J111" s="105"/>
      <c r="K111" s="170"/>
    </row>
    <row r="112" spans="1:11" x14ac:dyDescent="0.2">
      <c r="A112" s="49">
        <v>33694</v>
      </c>
      <c r="B112" s="17">
        <v>4.93</v>
      </c>
      <c r="C112" s="17">
        <v>5.36</v>
      </c>
      <c r="D112" s="17">
        <v>2.9119999999999999</v>
      </c>
      <c r="F112" s="17"/>
      <c r="G112" s="17"/>
      <c r="H112" s="51">
        <v>403.69</v>
      </c>
      <c r="I112" s="4">
        <v>6833.95</v>
      </c>
      <c r="J112" s="105"/>
      <c r="K112" s="170"/>
    </row>
    <row r="113" spans="1:11" x14ac:dyDescent="0.2">
      <c r="A113" s="49">
        <v>33603</v>
      </c>
      <c r="B113" s="17">
        <v>4.63</v>
      </c>
      <c r="C113" s="17">
        <v>2.5499999999999998</v>
      </c>
      <c r="D113" s="17">
        <v>3.0430000000000001</v>
      </c>
      <c r="F113" s="17"/>
      <c r="G113" s="17"/>
      <c r="H113" s="51">
        <v>417.09</v>
      </c>
      <c r="I113" s="4">
        <v>6812.5168999999996</v>
      </c>
      <c r="J113" s="105"/>
      <c r="K113" s="170"/>
    </row>
    <row r="114" spans="1:11" x14ac:dyDescent="0.2">
      <c r="A114" s="49">
        <v>33511</v>
      </c>
      <c r="B114" s="17">
        <v>5.1100000000000003</v>
      </c>
      <c r="C114" s="17">
        <v>3.74</v>
      </c>
      <c r="D114" s="17">
        <v>3.1259999999999994</v>
      </c>
      <c r="F114" s="17"/>
      <c r="G114" s="17"/>
      <c r="H114" s="51">
        <v>387.86</v>
      </c>
      <c r="I114" s="4">
        <v>6723.09</v>
      </c>
      <c r="J114" s="105"/>
      <c r="K114" s="170"/>
    </row>
    <row r="115" spans="1:11" x14ac:dyDescent="0.2">
      <c r="A115" s="49">
        <v>33419</v>
      </c>
      <c r="B115" s="17">
        <v>4.79</v>
      </c>
      <c r="C115" s="17">
        <v>4.54</v>
      </c>
      <c r="D115" s="17">
        <v>3.2429999999999999</v>
      </c>
      <c r="F115" s="17"/>
      <c r="G115" s="17"/>
      <c r="H115" s="51">
        <v>371.16</v>
      </c>
      <c r="I115" s="4">
        <v>6685.13</v>
      </c>
      <c r="J115" s="105"/>
      <c r="K115" s="170"/>
    </row>
    <row r="116" spans="1:11" x14ac:dyDescent="0.2">
      <c r="A116" s="49">
        <v>33328</v>
      </c>
      <c r="B116" s="17">
        <v>4.7699999999999996</v>
      </c>
      <c r="C116" s="17">
        <v>5.14</v>
      </c>
      <c r="D116" s="17">
        <v>2.7909999999999995</v>
      </c>
      <c r="F116" s="17"/>
      <c r="G116" s="17"/>
      <c r="H116" s="51">
        <v>375.22</v>
      </c>
      <c r="I116" s="4">
        <v>6666.67</v>
      </c>
      <c r="J116" s="105"/>
      <c r="K116" s="170"/>
    </row>
    <row r="117" spans="1:11" x14ac:dyDescent="0.2">
      <c r="A117" s="49">
        <v>33238</v>
      </c>
      <c r="B117" s="17">
        <v>5.01</v>
      </c>
      <c r="C117" s="17">
        <v>4.4000000000000004</v>
      </c>
      <c r="D117" s="17">
        <v>3.1150000000000002</v>
      </c>
      <c r="F117" s="17"/>
      <c r="G117" s="17"/>
      <c r="H117" s="51">
        <v>330.22</v>
      </c>
      <c r="I117" s="4">
        <v>6647.01</v>
      </c>
      <c r="J117" s="105"/>
      <c r="K117" s="170"/>
    </row>
    <row r="118" spans="1:11" x14ac:dyDescent="0.2">
      <c r="A118" s="49">
        <v>33146</v>
      </c>
      <c r="B118" s="17">
        <v>5.97</v>
      </c>
      <c r="C118" s="17">
        <v>5.33</v>
      </c>
      <c r="D118" s="17">
        <v>2.9980000000000002</v>
      </c>
      <c r="F118" s="17"/>
      <c r="G118" s="17"/>
      <c r="H118" s="51">
        <v>306.05</v>
      </c>
      <c r="I118" s="4">
        <v>6653.1</v>
      </c>
      <c r="J118" s="105"/>
      <c r="K118" s="170"/>
    </row>
    <row r="119" spans="1:11" x14ac:dyDescent="0.2">
      <c r="A119" s="49">
        <v>33054</v>
      </c>
      <c r="B119" s="17">
        <v>6.06</v>
      </c>
      <c r="C119" s="17">
        <v>6.07</v>
      </c>
      <c r="D119" s="17">
        <v>3.206</v>
      </c>
      <c r="F119" s="17"/>
      <c r="G119" s="17"/>
      <c r="H119" s="51">
        <v>358.02</v>
      </c>
      <c r="I119" s="4">
        <v>6656.02</v>
      </c>
      <c r="J119" s="105"/>
      <c r="K119" s="170"/>
    </row>
    <row r="120" spans="1:11" x14ac:dyDescent="0.2">
      <c r="A120" s="49">
        <v>32963</v>
      </c>
      <c r="B120" s="17">
        <v>5.61</v>
      </c>
      <c r="C120" s="17">
        <v>5.54</v>
      </c>
      <c r="D120" s="17">
        <v>2.7669999999999999</v>
      </c>
      <c r="F120" s="17"/>
      <c r="G120" s="17"/>
      <c r="H120" s="51">
        <v>339.94</v>
      </c>
      <c r="I120" s="4">
        <v>6669.89</v>
      </c>
      <c r="J120" s="105"/>
      <c r="K120" s="170"/>
    </row>
    <row r="121" spans="1:11" x14ac:dyDescent="0.2">
      <c r="A121" s="49">
        <v>32873</v>
      </c>
      <c r="B121" s="17">
        <v>5.84</v>
      </c>
      <c r="C121" s="17">
        <v>4.8</v>
      </c>
      <c r="D121" s="17">
        <v>2.863</v>
      </c>
      <c r="F121" s="17"/>
      <c r="G121" s="17"/>
      <c r="H121" s="51">
        <v>353.4</v>
      </c>
      <c r="I121" s="4">
        <v>6697.81</v>
      </c>
      <c r="J121" s="105"/>
      <c r="K121" s="170"/>
    </row>
    <row r="122" spans="1:11" x14ac:dyDescent="0.2">
      <c r="A122" s="49">
        <v>32781</v>
      </c>
      <c r="B122" s="17">
        <v>5.54</v>
      </c>
      <c r="C122" s="17">
        <v>4.8499999999999996</v>
      </c>
      <c r="D122" s="17">
        <v>2.827</v>
      </c>
      <c r="F122" s="17"/>
      <c r="G122" s="17"/>
      <c r="H122" s="51">
        <v>349.15</v>
      </c>
      <c r="I122" s="4">
        <v>6684.33</v>
      </c>
      <c r="J122" s="105"/>
      <c r="K122" s="170"/>
    </row>
    <row r="123" spans="1:11" x14ac:dyDescent="0.2">
      <c r="A123" s="49">
        <v>32689</v>
      </c>
      <c r="B123" s="17">
        <v>6.53</v>
      </c>
      <c r="C123" s="17">
        <v>6.48</v>
      </c>
      <c r="D123" s="17">
        <v>2.8609999999999998</v>
      </c>
      <c r="F123" s="17"/>
      <c r="G123" s="17"/>
      <c r="H123" s="51">
        <v>317.98</v>
      </c>
      <c r="I123" s="4">
        <v>6723.45</v>
      </c>
      <c r="J123" s="105"/>
      <c r="K123" s="170"/>
    </row>
    <row r="124" spans="1:11" x14ac:dyDescent="0.2">
      <c r="A124" s="49">
        <v>32598</v>
      </c>
      <c r="B124" s="17">
        <v>6.41</v>
      </c>
      <c r="C124" s="17">
        <v>6.74</v>
      </c>
      <c r="D124" s="17">
        <v>2.5039999999999996</v>
      </c>
      <c r="F124" s="17"/>
      <c r="G124" s="17"/>
      <c r="H124" s="51">
        <v>294.87</v>
      </c>
      <c r="I124" s="4">
        <v>6731.88</v>
      </c>
      <c r="J124" s="105"/>
      <c r="K124" s="170"/>
    </row>
    <row r="125" spans="1:11" x14ac:dyDescent="0.2">
      <c r="A125" s="49">
        <v>32508</v>
      </c>
      <c r="B125" s="17">
        <v>6.37</v>
      </c>
      <c r="C125" s="17">
        <v>5.62</v>
      </c>
      <c r="D125" s="17">
        <v>2.5419999999999998</v>
      </c>
      <c r="F125" s="17"/>
      <c r="G125" s="17"/>
      <c r="H125" s="51">
        <v>277.72000000000003</v>
      </c>
      <c r="I125" s="4">
        <v>6829.56</v>
      </c>
      <c r="J125" s="105"/>
      <c r="K125" s="170"/>
    </row>
    <row r="126" spans="1:11" x14ac:dyDescent="0.2">
      <c r="A126" s="49">
        <v>32416</v>
      </c>
      <c r="B126" s="17">
        <v>6.22</v>
      </c>
      <c r="C126" s="17">
        <v>6.38</v>
      </c>
      <c r="D126" s="17">
        <v>2.4609999999999999</v>
      </c>
      <c r="F126" s="17"/>
      <c r="G126" s="17"/>
      <c r="H126" s="51">
        <v>271.91000000000003</v>
      </c>
      <c r="I126" s="4">
        <v>6930.89</v>
      </c>
      <c r="J126" s="105"/>
      <c r="K126" s="170"/>
    </row>
    <row r="127" spans="1:11" x14ac:dyDescent="0.2">
      <c r="A127" s="49">
        <v>32324</v>
      </c>
      <c r="B127" s="17">
        <v>6.05</v>
      </c>
      <c r="C127" s="17">
        <v>6.22</v>
      </c>
      <c r="D127" s="17">
        <v>2.504</v>
      </c>
      <c r="F127" s="17"/>
      <c r="G127" s="17"/>
      <c r="H127" s="51">
        <v>273.5</v>
      </c>
      <c r="I127" s="4">
        <v>6956.73</v>
      </c>
      <c r="J127" s="105"/>
      <c r="K127" s="170"/>
    </row>
    <row r="128" spans="1:11" x14ac:dyDescent="0.2">
      <c r="A128" s="49">
        <v>32233</v>
      </c>
      <c r="B128" s="17">
        <v>5.48</v>
      </c>
      <c r="C128" s="17">
        <v>5.53</v>
      </c>
      <c r="D128" s="17">
        <v>2.2430000000000003</v>
      </c>
      <c r="F128" s="17"/>
      <c r="G128" s="17"/>
      <c r="H128" s="51">
        <v>258.89</v>
      </c>
      <c r="I128" s="4">
        <v>6977.4</v>
      </c>
      <c r="J128" s="105"/>
      <c r="K128" s="170"/>
    </row>
    <row r="131" spans="1:13" s="89" customFormat="1" x14ac:dyDescent="0.2">
      <c r="A131" s="237"/>
      <c r="B131" s="177"/>
      <c r="C131" s="177"/>
      <c r="D131" s="177"/>
      <c r="E131" s="29"/>
      <c r="F131" s="152"/>
      <c r="G131" s="177"/>
      <c r="H131" s="178"/>
      <c r="I131" s="177"/>
      <c r="J131" s="142"/>
      <c r="K131" s="14"/>
    </row>
    <row r="132" spans="1:13" s="89" customFormat="1" x14ac:dyDescent="0.2">
      <c r="A132" s="36"/>
      <c r="B132" s="14"/>
      <c r="C132" s="14"/>
      <c r="D132" s="15"/>
      <c r="E132" s="14"/>
      <c r="F132" s="14"/>
      <c r="G132" s="15"/>
      <c r="H132" s="14"/>
      <c r="I132" s="14"/>
      <c r="J132" s="14"/>
      <c r="K132" s="16"/>
      <c r="L132" s="16"/>
      <c r="M132" s="16"/>
    </row>
    <row r="133" spans="1:13" ht="12.75" customHeight="1" x14ac:dyDescent="0.2">
      <c r="B133"/>
      <c r="C133"/>
      <c r="D133"/>
      <c r="E133"/>
      <c r="F133"/>
      <c r="G133"/>
      <c r="H133"/>
      <c r="I133"/>
      <c r="K133"/>
    </row>
    <row r="134" spans="1:13" x14ac:dyDescent="0.2">
      <c r="B134"/>
      <c r="C134"/>
      <c r="D134"/>
      <c r="E134"/>
      <c r="F134"/>
      <c r="G134"/>
      <c r="H134"/>
      <c r="I134"/>
      <c r="K134"/>
    </row>
    <row r="135" spans="1:13" x14ac:dyDescent="0.2">
      <c r="B135"/>
      <c r="C135"/>
      <c r="D135"/>
      <c r="E135"/>
      <c r="F135"/>
      <c r="G135"/>
      <c r="H135"/>
      <c r="I135"/>
      <c r="K135"/>
    </row>
    <row r="136" spans="1:13"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row r="151" spans="2:11" x14ac:dyDescent="0.2">
      <c r="B151"/>
      <c r="C151"/>
      <c r="D151"/>
      <c r="E151"/>
      <c r="F151"/>
      <c r="G151"/>
      <c r="H151"/>
      <c r="I151"/>
      <c r="K151"/>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6"/>
  <sheetViews>
    <sheetView workbookViewId="0">
      <selection activeCell="M12" sqref="M12"/>
    </sheetView>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4.140625" customWidth="1"/>
    <col min="12" max="12" width="3.140625" customWidth="1"/>
    <col min="13" max="13" width="38.85546875" style="128" customWidth="1"/>
    <col min="14" max="14" width="8" customWidth="1"/>
    <col min="15" max="15" width="12.5703125" customWidth="1"/>
    <col min="16" max="16" width="7.140625" customWidth="1"/>
    <col min="18" max="18" width="34.5703125" customWidth="1"/>
    <col min="19" max="19" width="14.42578125" customWidth="1"/>
    <col min="20" max="20" width="10.7109375" bestFit="1" customWidth="1"/>
  </cols>
  <sheetData>
    <row r="1" spans="1:27" s="79" customFormat="1" x14ac:dyDescent="0.2">
      <c r="A1" s="80" t="s">
        <v>157</v>
      </c>
      <c r="G1" s="80"/>
      <c r="M1" s="6"/>
      <c r="N1" s="6"/>
      <c r="O1" s="6"/>
    </row>
    <row r="2" spans="1:27" s="79" customFormat="1" ht="18" x14ac:dyDescent="0.25">
      <c r="A2" s="203"/>
      <c r="G2" s="80"/>
      <c r="M2" s="6"/>
      <c r="N2" s="6"/>
      <c r="O2" s="6"/>
      <c r="R2" s="203"/>
      <c r="X2" s="80"/>
    </row>
    <row r="3" spans="1:27" s="79" customFormat="1" ht="13.5" customHeight="1" x14ac:dyDescent="0.25">
      <c r="A3" s="80" t="s">
        <v>689</v>
      </c>
      <c r="G3" s="80"/>
      <c r="M3" s="6"/>
      <c r="N3" s="6"/>
      <c r="O3" s="6"/>
      <c r="R3" s="203"/>
      <c r="X3" s="80"/>
    </row>
    <row r="4" spans="1:27" x14ac:dyDescent="0.2">
      <c r="A4" s="80" t="s">
        <v>447</v>
      </c>
      <c r="B4" s="79"/>
      <c r="C4" s="79"/>
      <c r="D4" s="79"/>
      <c r="E4" s="79"/>
      <c r="F4" s="79"/>
      <c r="G4" s="79"/>
      <c r="H4" s="79"/>
      <c r="I4" s="79"/>
      <c r="J4" s="79"/>
      <c r="K4" s="79"/>
      <c r="L4" s="79"/>
      <c r="M4" s="6"/>
      <c r="N4" s="6"/>
      <c r="O4" s="6"/>
      <c r="P4" s="79"/>
      <c r="Q4" s="79"/>
      <c r="R4" s="80"/>
      <c r="S4" s="79"/>
      <c r="T4" s="79"/>
      <c r="U4" s="79"/>
      <c r="V4" s="79"/>
      <c r="W4" s="79"/>
      <c r="X4" s="79"/>
      <c r="Y4" s="79"/>
      <c r="Z4" s="79"/>
      <c r="AA4" s="79"/>
    </row>
    <row r="5" spans="1:27" ht="12.75" customHeight="1" x14ac:dyDescent="0.2">
      <c r="A5" s="80" t="s">
        <v>515</v>
      </c>
      <c r="B5" s="79"/>
      <c r="C5" s="79"/>
      <c r="D5" s="79"/>
      <c r="E5" s="79"/>
      <c r="F5" s="79"/>
      <c r="G5" s="79"/>
      <c r="H5" s="79"/>
      <c r="I5" s="79"/>
      <c r="J5" s="79"/>
      <c r="K5" s="79"/>
      <c r="L5" s="79"/>
      <c r="M5" s="6"/>
      <c r="N5" s="6"/>
      <c r="O5" s="6"/>
      <c r="P5" s="79"/>
      <c r="Q5" s="79"/>
      <c r="R5" s="80"/>
      <c r="S5" s="79"/>
      <c r="T5" s="79"/>
      <c r="U5" s="79"/>
      <c r="V5" s="79"/>
      <c r="W5" s="79"/>
      <c r="X5" s="79"/>
      <c r="Y5" s="79"/>
      <c r="Z5" s="79"/>
      <c r="AA5" s="79"/>
    </row>
    <row r="6" spans="1:27" ht="12.75" customHeight="1" x14ac:dyDescent="0.2">
      <c r="A6" s="80" t="s">
        <v>517</v>
      </c>
      <c r="B6" s="79"/>
      <c r="C6" s="79"/>
      <c r="D6" s="79"/>
      <c r="E6" s="79"/>
      <c r="F6" s="79"/>
      <c r="G6" s="79"/>
      <c r="H6" s="79"/>
      <c r="I6" s="79"/>
      <c r="J6" s="79"/>
      <c r="K6" s="79"/>
      <c r="L6" s="79"/>
      <c r="M6" s="6"/>
      <c r="N6" s="6"/>
      <c r="O6" s="6"/>
      <c r="P6" s="79"/>
      <c r="Q6" s="79"/>
      <c r="R6" s="80"/>
      <c r="S6" s="79"/>
      <c r="T6" s="79"/>
      <c r="U6" s="79"/>
      <c r="V6" s="79"/>
      <c r="W6" s="79"/>
      <c r="X6" s="79"/>
      <c r="Y6" s="79"/>
      <c r="Z6" s="79"/>
      <c r="AA6" s="79"/>
    </row>
    <row r="7" spans="1:27" ht="12.75" customHeight="1" x14ac:dyDescent="0.2">
      <c r="A7" s="80"/>
      <c r="B7" s="79" t="s">
        <v>149</v>
      </c>
      <c r="C7" s="79"/>
      <c r="D7" s="79"/>
      <c r="E7" s="79"/>
      <c r="F7" s="93"/>
      <c r="G7" s="79" t="s">
        <v>156</v>
      </c>
      <c r="H7" s="79"/>
      <c r="I7" s="79"/>
      <c r="J7" s="79"/>
      <c r="K7" s="79"/>
      <c r="L7" s="81"/>
      <c r="M7" s="6" t="s">
        <v>404</v>
      </c>
      <c r="N7" s="6"/>
      <c r="O7" s="6"/>
      <c r="R7" s="80"/>
      <c r="S7" s="79"/>
      <c r="T7" s="79"/>
      <c r="U7" s="79"/>
      <c r="V7" s="79"/>
      <c r="W7" s="93"/>
      <c r="X7" s="79"/>
      <c r="Y7" s="79"/>
      <c r="Z7" s="79"/>
      <c r="AA7" s="79"/>
    </row>
    <row r="8" spans="1:27" ht="12.75" customHeight="1" x14ac:dyDescent="0.2">
      <c r="A8" s="80" t="s">
        <v>145</v>
      </c>
      <c r="B8" s="81" t="s">
        <v>117</v>
      </c>
      <c r="C8" s="81" t="s">
        <v>118</v>
      </c>
      <c r="D8" s="81" t="s">
        <v>119</v>
      </c>
      <c r="E8" s="81" t="s">
        <v>120</v>
      </c>
      <c r="F8" s="93"/>
      <c r="G8" s="81" t="s">
        <v>117</v>
      </c>
      <c r="H8" s="81" t="s">
        <v>118</v>
      </c>
      <c r="I8" s="81" t="s">
        <v>119</v>
      </c>
      <c r="J8" s="81" t="s">
        <v>120</v>
      </c>
      <c r="K8" s="81"/>
      <c r="L8" s="82"/>
      <c r="M8" s="6" t="s">
        <v>446</v>
      </c>
      <c r="N8" s="154"/>
      <c r="O8" s="155"/>
      <c r="R8" s="80"/>
      <c r="S8" s="81"/>
      <c r="T8" s="81"/>
      <c r="U8" s="81"/>
      <c r="V8" s="81"/>
      <c r="W8" s="93"/>
      <c r="X8" s="81"/>
      <c r="Y8" s="81"/>
      <c r="Z8" s="81"/>
      <c r="AA8" s="81"/>
    </row>
    <row r="9" spans="1:27" ht="12.75" customHeight="1" x14ac:dyDescent="0.2">
      <c r="A9" s="80" t="s">
        <v>135</v>
      </c>
      <c r="B9" s="93">
        <v>31</v>
      </c>
      <c r="C9" s="93">
        <v>13</v>
      </c>
      <c r="D9" s="93">
        <v>16</v>
      </c>
      <c r="E9" s="93">
        <v>2</v>
      </c>
      <c r="F9" s="93"/>
      <c r="G9" s="82">
        <f>B9/31</f>
        <v>1</v>
      </c>
      <c r="H9" s="82">
        <f>C9/B9</f>
        <v>0.41935483870967744</v>
      </c>
      <c r="I9" s="82">
        <f>D9/B9</f>
        <v>0.5161290322580645</v>
      </c>
      <c r="J9" s="82">
        <f>E9/B9</f>
        <v>6.4516129032258063E-2</v>
      </c>
      <c r="K9" s="82"/>
      <c r="L9" s="82"/>
      <c r="M9" s="6" t="s">
        <v>272</v>
      </c>
      <c r="N9" s="6"/>
      <c r="O9" s="6"/>
      <c r="R9" s="80"/>
      <c r="S9" s="93"/>
      <c r="T9" s="93"/>
      <c r="U9" s="93"/>
      <c r="V9" s="93"/>
      <c r="W9" s="93"/>
      <c r="X9" s="82"/>
      <c r="Y9" s="82"/>
      <c r="Z9" s="82"/>
      <c r="AA9" s="82"/>
    </row>
    <row r="10" spans="1:27" ht="12.75" customHeight="1" x14ac:dyDescent="0.2">
      <c r="A10" s="80" t="s">
        <v>136</v>
      </c>
      <c r="B10" s="93">
        <v>24</v>
      </c>
      <c r="C10" s="93">
        <v>20</v>
      </c>
      <c r="D10" s="93">
        <v>2</v>
      </c>
      <c r="E10" s="93">
        <v>2</v>
      </c>
      <c r="F10" s="93"/>
      <c r="G10" s="82">
        <f>B10/24</f>
        <v>1</v>
      </c>
      <c r="H10" s="82">
        <f t="shared" ref="H10:H19" si="0">C10/B10</f>
        <v>0.83333333333333337</v>
      </c>
      <c r="I10" s="82">
        <f t="shared" ref="I10:I20" si="1">D10/B10</f>
        <v>8.3333333333333329E-2</v>
      </c>
      <c r="J10" s="82">
        <f t="shared" ref="J10:J20" si="2">E10/B10</f>
        <v>8.3333333333333329E-2</v>
      </c>
      <c r="K10" s="82"/>
      <c r="L10" s="82"/>
      <c r="M10" s="6" t="s">
        <v>216</v>
      </c>
      <c r="N10" s="154">
        <v>500</v>
      </c>
      <c r="O10" s="156" t="s">
        <v>217</v>
      </c>
      <c r="R10" s="80"/>
      <c r="S10" s="93"/>
      <c r="T10" s="93"/>
      <c r="U10" s="93"/>
      <c r="V10" s="93"/>
      <c r="W10" s="93"/>
      <c r="X10" s="82"/>
      <c r="Y10" s="82"/>
      <c r="Z10" s="82"/>
      <c r="AA10" s="82"/>
    </row>
    <row r="11" spans="1:27" ht="12.75" customHeight="1" x14ac:dyDescent="0.2">
      <c r="A11" s="80" t="s">
        <v>137</v>
      </c>
      <c r="B11" s="93">
        <v>69</v>
      </c>
      <c r="C11" s="93">
        <v>57</v>
      </c>
      <c r="D11" s="93">
        <v>10</v>
      </c>
      <c r="E11" s="93">
        <v>2</v>
      </c>
      <c r="F11" s="93"/>
      <c r="G11" s="82">
        <f>B11/69</f>
        <v>1</v>
      </c>
      <c r="H11" s="82">
        <f t="shared" si="0"/>
        <v>0.82608695652173914</v>
      </c>
      <c r="I11" s="82">
        <f t="shared" si="1"/>
        <v>0.14492753623188406</v>
      </c>
      <c r="J11" s="82">
        <f t="shared" si="2"/>
        <v>2.8985507246376812E-2</v>
      </c>
      <c r="K11" s="82"/>
      <c r="L11" s="82"/>
      <c r="M11" s="6" t="s">
        <v>448</v>
      </c>
      <c r="N11" s="154">
        <v>311</v>
      </c>
      <c r="O11" s="155">
        <f>N11/N10</f>
        <v>0.622</v>
      </c>
      <c r="R11" s="80"/>
      <c r="S11" s="93"/>
      <c r="T11" s="93"/>
      <c r="U11" s="93"/>
      <c r="V11" s="93"/>
      <c r="W11" s="93"/>
      <c r="X11" s="82"/>
      <c r="Y11" s="82"/>
      <c r="Z11" s="82"/>
      <c r="AA11" s="82"/>
    </row>
    <row r="12" spans="1:27" ht="12.75" customHeight="1" x14ac:dyDescent="0.2">
      <c r="A12" s="80" t="s">
        <v>138</v>
      </c>
      <c r="B12" s="93">
        <v>79</v>
      </c>
      <c r="C12" s="93">
        <v>64</v>
      </c>
      <c r="D12" s="93">
        <v>12</v>
      </c>
      <c r="E12" s="93">
        <v>3</v>
      </c>
      <c r="F12" s="93"/>
      <c r="G12" s="82">
        <f>B12/80</f>
        <v>0.98750000000000004</v>
      </c>
      <c r="H12" s="82">
        <f t="shared" si="0"/>
        <v>0.810126582278481</v>
      </c>
      <c r="I12" s="82">
        <f t="shared" si="1"/>
        <v>0.15189873417721519</v>
      </c>
      <c r="J12" s="82">
        <f t="shared" si="2"/>
        <v>3.7974683544303799E-2</v>
      </c>
      <c r="K12" s="82"/>
      <c r="L12" s="82"/>
      <c r="M12" s="6" t="s">
        <v>242</v>
      </c>
      <c r="N12" s="154">
        <v>78</v>
      </c>
      <c r="O12" s="155">
        <f>N12/N10</f>
        <v>0.156</v>
      </c>
      <c r="P12" s="79"/>
      <c r="R12" s="80"/>
      <c r="S12" s="93"/>
      <c r="T12" s="93"/>
      <c r="U12" s="93"/>
      <c r="V12" s="93"/>
      <c r="W12" s="93"/>
      <c r="X12" s="82"/>
      <c r="Y12" s="82"/>
      <c r="Z12" s="82"/>
      <c r="AA12" s="82"/>
    </row>
    <row r="13" spans="1:27" ht="12.75" customHeight="1" x14ac:dyDescent="0.2">
      <c r="A13" s="80" t="s">
        <v>139</v>
      </c>
      <c r="B13" s="93">
        <v>32</v>
      </c>
      <c r="C13" s="93">
        <v>29</v>
      </c>
      <c r="D13" s="93">
        <v>1</v>
      </c>
      <c r="E13" s="93">
        <v>2</v>
      </c>
      <c r="F13" s="93"/>
      <c r="G13" s="82">
        <f>B13/33</f>
        <v>0.96969696969696972</v>
      </c>
      <c r="H13" s="82">
        <f t="shared" si="0"/>
        <v>0.90625</v>
      </c>
      <c r="I13" s="82">
        <f t="shared" si="1"/>
        <v>3.125E-2</v>
      </c>
      <c r="J13" s="82">
        <f t="shared" si="2"/>
        <v>6.25E-2</v>
      </c>
      <c r="K13" s="82"/>
      <c r="L13" s="82"/>
      <c r="M13" s="6" t="s">
        <v>449</v>
      </c>
      <c r="N13" s="154">
        <v>183</v>
      </c>
      <c r="O13" s="155">
        <f>N13/N10</f>
        <v>0.36599999999999999</v>
      </c>
      <c r="R13" s="80"/>
      <c r="S13" s="93"/>
      <c r="T13" s="93"/>
      <c r="U13" s="93"/>
      <c r="V13" s="93"/>
      <c r="W13" s="93"/>
      <c r="X13" s="82"/>
      <c r="Y13" s="82"/>
      <c r="Z13" s="82"/>
      <c r="AA13" s="82"/>
    </row>
    <row r="14" spans="1:27" s="59" customFormat="1" ht="12.75" customHeight="1" x14ac:dyDescent="0.2">
      <c r="A14" s="80" t="s">
        <v>140</v>
      </c>
      <c r="B14" s="93">
        <v>63</v>
      </c>
      <c r="C14" s="93">
        <v>58</v>
      </c>
      <c r="D14" s="93">
        <v>3</v>
      </c>
      <c r="E14" s="93">
        <v>2</v>
      </c>
      <c r="F14" s="93"/>
      <c r="G14" s="82">
        <f>B14/63</f>
        <v>1</v>
      </c>
      <c r="H14" s="82">
        <f t="shared" si="0"/>
        <v>0.92063492063492058</v>
      </c>
      <c r="I14" s="82">
        <f t="shared" si="1"/>
        <v>4.7619047619047616E-2</v>
      </c>
      <c r="J14" s="82">
        <f t="shared" si="2"/>
        <v>3.1746031746031744E-2</v>
      </c>
      <c r="K14" s="82"/>
      <c r="L14" s="82"/>
      <c r="M14" s="6" t="s">
        <v>243</v>
      </c>
      <c r="N14" s="154">
        <v>31</v>
      </c>
      <c r="O14" s="155">
        <f>N14/N10</f>
        <v>6.2E-2</v>
      </c>
      <c r="P14"/>
      <c r="Q14"/>
      <c r="R14" s="80"/>
      <c r="S14" s="93"/>
      <c r="T14" s="93"/>
      <c r="U14" s="93"/>
      <c r="V14" s="93"/>
      <c r="W14" s="93"/>
      <c r="X14" s="82"/>
      <c r="Y14" s="82"/>
      <c r="Z14" s="82"/>
      <c r="AA14" s="82"/>
    </row>
    <row r="15" spans="1:27" s="59" customFormat="1" ht="12.75" customHeight="1" x14ac:dyDescent="0.2">
      <c r="A15" s="80" t="s">
        <v>141</v>
      </c>
      <c r="B15" s="93">
        <v>66</v>
      </c>
      <c r="C15" s="93">
        <v>49</v>
      </c>
      <c r="D15" s="93">
        <v>12</v>
      </c>
      <c r="E15" s="93">
        <v>5</v>
      </c>
      <c r="F15" s="94"/>
      <c r="G15" s="82">
        <f>B15/68</f>
        <v>0.97058823529411764</v>
      </c>
      <c r="H15" s="82">
        <f t="shared" si="0"/>
        <v>0.74242424242424243</v>
      </c>
      <c r="I15" s="82">
        <f t="shared" si="1"/>
        <v>0.18181818181818182</v>
      </c>
      <c r="J15" s="82">
        <f t="shared" si="2"/>
        <v>7.575757575757576E-2</v>
      </c>
      <c r="K15" s="82"/>
      <c r="L15" s="82"/>
      <c r="M15" s="6"/>
      <c r="N15" s="154"/>
      <c r="O15" s="155"/>
      <c r="P15"/>
      <c r="Q15"/>
      <c r="R15" s="80"/>
      <c r="S15" s="93"/>
      <c r="T15" s="93"/>
      <c r="U15" s="93"/>
      <c r="V15" s="93"/>
      <c r="W15" s="94"/>
      <c r="X15" s="82"/>
      <c r="Y15" s="82"/>
      <c r="Z15" s="82"/>
      <c r="AA15" s="82"/>
    </row>
    <row r="16" spans="1:27" s="59" customFormat="1" ht="12.75" customHeight="1" x14ac:dyDescent="0.2">
      <c r="A16" s="80" t="s">
        <v>142</v>
      </c>
      <c r="B16" s="93">
        <v>71</v>
      </c>
      <c r="C16" s="93">
        <v>65</v>
      </c>
      <c r="D16" s="93">
        <v>5</v>
      </c>
      <c r="E16" s="93">
        <v>1</v>
      </c>
      <c r="F16" s="94"/>
      <c r="G16" s="82">
        <f>B16/72</f>
        <v>0.98611111111111116</v>
      </c>
      <c r="H16" s="82">
        <f t="shared" si="0"/>
        <v>0.91549295774647887</v>
      </c>
      <c r="I16" s="82">
        <f t="shared" si="1"/>
        <v>7.0422535211267609E-2</v>
      </c>
      <c r="J16" s="82">
        <f t="shared" si="2"/>
        <v>1.4084507042253521E-2</v>
      </c>
      <c r="K16" s="82"/>
      <c r="L16" s="82"/>
      <c r="M16" s="6"/>
      <c r="N16" s="154"/>
      <c r="O16" s="155"/>
      <c r="P16"/>
      <c r="Q16"/>
      <c r="R16" s="80"/>
      <c r="S16" s="93"/>
      <c r="T16" s="93"/>
      <c r="U16" s="93"/>
      <c r="V16" s="93"/>
      <c r="W16" s="94"/>
      <c r="X16" s="82"/>
      <c r="Y16" s="82"/>
      <c r="Z16" s="82"/>
      <c r="AA16" s="82"/>
    </row>
    <row r="17" spans="1:27" s="59" customFormat="1" ht="12.75" customHeight="1" x14ac:dyDescent="0.2">
      <c r="A17" s="80" t="s">
        <v>143</v>
      </c>
      <c r="B17" s="93">
        <v>3</v>
      </c>
      <c r="C17" s="93">
        <v>2</v>
      </c>
      <c r="D17" s="93">
        <v>1</v>
      </c>
      <c r="E17" s="93">
        <v>0</v>
      </c>
      <c r="F17" s="94"/>
      <c r="G17" s="82">
        <f>B17/3</f>
        <v>1</v>
      </c>
      <c r="H17" s="82">
        <f t="shared" si="0"/>
        <v>0.66666666666666663</v>
      </c>
      <c r="I17" s="82">
        <f t="shared" si="1"/>
        <v>0.33333333333333331</v>
      </c>
      <c r="J17" s="82">
        <f t="shared" si="2"/>
        <v>0</v>
      </c>
      <c r="K17" s="82"/>
      <c r="L17" s="82"/>
      <c r="M17" s="6" t="s">
        <v>350</v>
      </c>
      <c r="N17" s="82" t="s">
        <v>348</v>
      </c>
      <c r="O17" s="82" t="s">
        <v>349</v>
      </c>
      <c r="P17"/>
      <c r="Q17"/>
      <c r="R17" s="80"/>
      <c r="S17" s="93"/>
      <c r="T17" s="93"/>
      <c r="U17" s="93"/>
      <c r="V17" s="93"/>
      <c r="W17" s="94"/>
      <c r="X17" s="82"/>
      <c r="Y17" s="82"/>
      <c r="Z17" s="82"/>
      <c r="AA17" s="82"/>
    </row>
    <row r="18" spans="1:27" ht="12.75" customHeight="1" x14ac:dyDescent="0.2">
      <c r="A18" s="80" t="s">
        <v>144</v>
      </c>
      <c r="B18" s="93">
        <v>29</v>
      </c>
      <c r="C18" s="93">
        <v>21</v>
      </c>
      <c r="D18" s="93">
        <v>5</v>
      </c>
      <c r="E18" s="93">
        <v>3</v>
      </c>
      <c r="F18" s="94"/>
      <c r="G18" s="82">
        <f>B18/29</f>
        <v>1</v>
      </c>
      <c r="H18" s="82">
        <f t="shared" si="0"/>
        <v>0.72413793103448276</v>
      </c>
      <c r="I18" s="82">
        <f t="shared" si="1"/>
        <v>0.17241379310344829</v>
      </c>
      <c r="J18" s="82">
        <f t="shared" si="2"/>
        <v>0.10344827586206896</v>
      </c>
      <c r="K18" s="82"/>
      <c r="L18" s="82"/>
      <c r="M18" s="6" t="s">
        <v>351</v>
      </c>
      <c r="N18" s="82" t="s">
        <v>346</v>
      </c>
      <c r="O18" s="82" t="s">
        <v>347</v>
      </c>
      <c r="R18" s="80"/>
      <c r="S18" s="93"/>
      <c r="T18" s="93"/>
      <c r="U18" s="93"/>
      <c r="V18" s="93"/>
      <c r="W18" s="94"/>
      <c r="X18" s="82"/>
      <c r="Y18" s="82"/>
      <c r="Z18" s="82"/>
      <c r="AA18" s="82"/>
    </row>
    <row r="19" spans="1:27" ht="12.75" customHeight="1" x14ac:dyDescent="0.2">
      <c r="A19" s="80" t="s">
        <v>333</v>
      </c>
      <c r="B19" s="93">
        <v>32</v>
      </c>
      <c r="C19" s="93">
        <v>21</v>
      </c>
      <c r="D19" s="93">
        <v>7</v>
      </c>
      <c r="E19" s="93">
        <v>4</v>
      </c>
      <c r="F19" s="94"/>
      <c r="G19" s="82">
        <f>B19/33</f>
        <v>0.96969696969696972</v>
      </c>
      <c r="H19" s="82">
        <f t="shared" si="0"/>
        <v>0.65625</v>
      </c>
      <c r="I19" s="82">
        <f t="shared" si="1"/>
        <v>0.21875</v>
      </c>
      <c r="J19" s="82">
        <f t="shared" si="2"/>
        <v>0.125</v>
      </c>
      <c r="K19" s="82"/>
      <c r="L19" s="82"/>
      <c r="M19" s="80" t="s">
        <v>404</v>
      </c>
      <c r="N19" s="193">
        <f>O14</f>
        <v>6.2E-2</v>
      </c>
      <c r="O19" s="82">
        <f>O12</f>
        <v>0.156</v>
      </c>
      <c r="R19" s="80"/>
      <c r="S19" s="93"/>
      <c r="T19" s="93"/>
      <c r="U19" s="93"/>
      <c r="V19" s="93"/>
      <c r="W19" s="94"/>
      <c r="X19" s="82"/>
      <c r="Y19" s="82"/>
      <c r="Z19" s="82"/>
      <c r="AA19" s="82"/>
    </row>
    <row r="20" spans="1:27" ht="12.75" customHeight="1" x14ac:dyDescent="0.2">
      <c r="A20" s="80" t="s">
        <v>25</v>
      </c>
      <c r="B20" s="94">
        <v>499</v>
      </c>
      <c r="C20" s="93">
        <v>399</v>
      </c>
      <c r="D20" s="93">
        <v>74</v>
      </c>
      <c r="E20" s="94">
        <v>26</v>
      </c>
      <c r="F20" s="79"/>
      <c r="G20" s="82">
        <f>B20/505</f>
        <v>0.98811881188118811</v>
      </c>
      <c r="H20" s="82">
        <f>C20/B20</f>
        <v>0.79959919839679361</v>
      </c>
      <c r="I20" s="82">
        <f t="shared" si="1"/>
        <v>0.14829659318637275</v>
      </c>
      <c r="J20" s="82">
        <f t="shared" si="2"/>
        <v>5.2104208416833664E-2</v>
      </c>
      <c r="K20" s="82"/>
      <c r="L20" s="82"/>
      <c r="M20" s="80" t="s">
        <v>403</v>
      </c>
      <c r="N20" s="82">
        <v>7.0140280561122245E-2</v>
      </c>
      <c r="O20" s="82">
        <v>0.13627254509018036</v>
      </c>
      <c r="R20" s="80"/>
      <c r="S20" s="94"/>
      <c r="T20" s="93"/>
      <c r="U20" s="93"/>
      <c r="V20" s="94"/>
      <c r="W20" s="79"/>
      <c r="X20" s="82"/>
      <c r="Y20" s="82"/>
      <c r="Z20" s="82"/>
      <c r="AA20" s="82"/>
    </row>
    <row r="21" spans="1:27" ht="12.75" customHeight="1" x14ac:dyDescent="0.2">
      <c r="A21" s="80"/>
      <c r="B21" s="94"/>
      <c r="C21" s="93"/>
      <c r="D21" s="93"/>
      <c r="E21" s="94"/>
      <c r="F21" s="79"/>
      <c r="G21" s="82"/>
      <c r="H21" s="82"/>
      <c r="I21" s="82"/>
      <c r="J21" s="82"/>
      <c r="K21" s="82"/>
      <c r="L21" s="82"/>
      <c r="M21" s="80" t="s">
        <v>411</v>
      </c>
      <c r="N21" s="193">
        <v>6.8273092369477914E-2</v>
      </c>
      <c r="O21" s="82">
        <v>0.15060240963855423</v>
      </c>
      <c r="S21" s="59"/>
    </row>
    <row r="22" spans="1:27" ht="12.75" customHeight="1" x14ac:dyDescent="0.2">
      <c r="A22" s="80"/>
      <c r="B22" s="94"/>
      <c r="C22" s="93"/>
      <c r="D22" s="93"/>
      <c r="E22" s="94"/>
      <c r="F22" s="79"/>
      <c r="G22" s="82"/>
      <c r="H22" s="82"/>
      <c r="I22" s="82"/>
      <c r="J22" s="82"/>
      <c r="K22" s="82"/>
      <c r="L22" s="82"/>
      <c r="M22" s="80" t="s">
        <v>399</v>
      </c>
      <c r="N22" s="193">
        <v>8.617234468937876E-2</v>
      </c>
      <c r="O22" s="82">
        <v>0.14228456913827656</v>
      </c>
      <c r="S22" s="59"/>
    </row>
    <row r="23" spans="1:27" ht="12.75" customHeight="1" x14ac:dyDescent="0.2">
      <c r="A23" s="80" t="s">
        <v>375</v>
      </c>
      <c r="B23" s="79" t="s">
        <v>149</v>
      </c>
      <c r="C23" s="79"/>
      <c r="D23" s="79"/>
      <c r="E23" s="79"/>
      <c r="F23" s="93"/>
      <c r="G23" s="79" t="s">
        <v>156</v>
      </c>
      <c r="H23" s="79"/>
      <c r="I23" s="79"/>
      <c r="J23" s="79"/>
      <c r="K23" s="82"/>
      <c r="L23" s="82"/>
      <c r="M23" s="80" t="s">
        <v>387</v>
      </c>
      <c r="N23" s="193">
        <v>0.1</v>
      </c>
      <c r="O23" s="82">
        <v>0.14000000000000001</v>
      </c>
      <c r="S23" s="59"/>
    </row>
    <row r="24" spans="1:27" ht="12.75" customHeight="1" x14ac:dyDescent="0.2">
      <c r="A24" s="80"/>
      <c r="B24" s="81" t="s">
        <v>117</v>
      </c>
      <c r="C24" s="81" t="s">
        <v>118</v>
      </c>
      <c r="D24" s="81" t="s">
        <v>119</v>
      </c>
      <c r="E24" s="81" t="s">
        <v>120</v>
      </c>
      <c r="F24" s="93"/>
      <c r="G24" s="81" t="s">
        <v>117</v>
      </c>
      <c r="H24" s="81" t="s">
        <v>118</v>
      </c>
      <c r="I24" s="81" t="s">
        <v>119</v>
      </c>
      <c r="J24" s="81" t="s">
        <v>120</v>
      </c>
      <c r="K24" s="193"/>
      <c r="L24" s="82"/>
      <c r="M24" s="80" t="s">
        <v>378</v>
      </c>
      <c r="N24" s="193">
        <v>0.12</v>
      </c>
      <c r="O24" s="82">
        <v>0.14799999999999999</v>
      </c>
      <c r="S24" s="59"/>
    </row>
    <row r="25" spans="1:27" ht="12.75" customHeight="1" x14ac:dyDescent="0.2">
      <c r="A25" s="80" t="s">
        <v>404</v>
      </c>
      <c r="B25" s="94">
        <f>B20</f>
        <v>499</v>
      </c>
      <c r="C25" s="94">
        <f>C20</f>
        <v>399</v>
      </c>
      <c r="D25" s="94">
        <f>D20</f>
        <v>74</v>
      </c>
      <c r="E25" s="94">
        <f>E20</f>
        <v>26</v>
      </c>
      <c r="F25" s="94"/>
      <c r="G25" s="187">
        <f>G20</f>
        <v>0.98811881188118811</v>
      </c>
      <c r="H25" s="187">
        <f>H20</f>
        <v>0.79959919839679361</v>
      </c>
      <c r="I25" s="187">
        <f>I20</f>
        <v>0.14829659318637275</v>
      </c>
      <c r="J25" s="187">
        <f>J20</f>
        <v>5.2104208416833664E-2</v>
      </c>
      <c r="K25" s="193"/>
      <c r="L25" s="82"/>
      <c r="M25" s="80" t="s">
        <v>306</v>
      </c>
      <c r="N25" s="193">
        <v>0.10483870967741936</v>
      </c>
      <c r="O25" s="82">
        <v>0.19354838709677419</v>
      </c>
      <c r="R25" s="6"/>
      <c r="S25" s="6"/>
      <c r="T25" s="6"/>
    </row>
    <row r="26" spans="1:27" ht="12.75" customHeight="1" x14ac:dyDescent="0.2">
      <c r="A26" s="80" t="s">
        <v>403</v>
      </c>
      <c r="B26" s="94">
        <v>500</v>
      </c>
      <c r="C26" s="94">
        <v>385</v>
      </c>
      <c r="D26" s="94">
        <v>86</v>
      </c>
      <c r="E26" s="94">
        <v>29</v>
      </c>
      <c r="F26" s="94"/>
      <c r="G26" s="187">
        <v>0.99009900990099009</v>
      </c>
      <c r="H26" s="187">
        <v>0.77</v>
      </c>
      <c r="I26" s="187">
        <v>0.17199999999999999</v>
      </c>
      <c r="J26" s="187">
        <v>5.8000000000000003E-2</v>
      </c>
      <c r="K26" s="193"/>
      <c r="L26" s="82"/>
      <c r="M26" s="80" t="s">
        <v>305</v>
      </c>
      <c r="N26" s="193">
        <v>9.9391480730223122E-2</v>
      </c>
      <c r="O26" s="82">
        <v>0.23732251521298176</v>
      </c>
      <c r="R26" s="6"/>
      <c r="S26" s="154"/>
      <c r="T26" s="155"/>
    </row>
    <row r="27" spans="1:27" ht="12.75" customHeight="1" x14ac:dyDescent="0.2">
      <c r="A27" s="80" t="s">
        <v>411</v>
      </c>
      <c r="B27" s="94">
        <v>500</v>
      </c>
      <c r="C27" s="94">
        <v>375</v>
      </c>
      <c r="D27" s="94">
        <v>82</v>
      </c>
      <c r="E27" s="94">
        <v>43</v>
      </c>
      <c r="F27" s="94"/>
      <c r="G27" s="187">
        <v>0.99009900990099009</v>
      </c>
      <c r="H27" s="187">
        <v>0.75</v>
      </c>
      <c r="I27" s="187">
        <v>0.16400000000000001</v>
      </c>
      <c r="J27" s="187">
        <v>8.5999999999999993E-2</v>
      </c>
      <c r="K27" s="193"/>
      <c r="L27" s="82"/>
      <c r="M27" s="80" t="s">
        <v>304</v>
      </c>
      <c r="N27" s="193">
        <v>0.10483870967741936</v>
      </c>
      <c r="O27" s="82">
        <v>0.2661290322580645</v>
      </c>
      <c r="R27" s="6"/>
      <c r="S27" s="6"/>
      <c r="T27" s="6"/>
    </row>
    <row r="28" spans="1:27" ht="12.75" customHeight="1" x14ac:dyDescent="0.2">
      <c r="A28" s="80" t="s">
        <v>399</v>
      </c>
      <c r="B28" s="94">
        <v>503</v>
      </c>
      <c r="C28" s="94">
        <v>365</v>
      </c>
      <c r="D28" s="94">
        <v>96</v>
      </c>
      <c r="E28" s="94">
        <v>42</v>
      </c>
      <c r="F28" s="94"/>
      <c r="G28" s="187">
        <v>0.99603960396039604</v>
      </c>
      <c r="H28" s="187">
        <v>0.72564612326043743</v>
      </c>
      <c r="I28" s="187">
        <v>0.19085487077534791</v>
      </c>
      <c r="J28" s="187">
        <v>8.3499005964214709E-2</v>
      </c>
      <c r="K28" s="193"/>
      <c r="L28" s="82"/>
      <c r="M28" s="80" t="s">
        <v>303</v>
      </c>
      <c r="N28" s="193">
        <v>0.1006036217303823</v>
      </c>
      <c r="O28" s="82">
        <v>0.28169014084507044</v>
      </c>
      <c r="R28" s="6"/>
      <c r="S28" s="83"/>
      <c r="T28" s="156"/>
    </row>
    <row r="29" spans="1:27" ht="12.75" customHeight="1" x14ac:dyDescent="0.2">
      <c r="A29" s="80" t="s">
        <v>387</v>
      </c>
      <c r="B29" s="94">
        <v>503</v>
      </c>
      <c r="C29" s="94">
        <v>353</v>
      </c>
      <c r="D29" s="94">
        <v>101</v>
      </c>
      <c r="E29" s="94">
        <v>49</v>
      </c>
      <c r="F29" s="94"/>
      <c r="G29" s="187">
        <v>0.99603960396039604</v>
      </c>
      <c r="H29" s="187">
        <v>0.70178926441351885</v>
      </c>
      <c r="I29" s="187">
        <v>0.20079522862823063</v>
      </c>
      <c r="J29" s="187">
        <v>9.7415506958250492E-2</v>
      </c>
      <c r="K29" s="193"/>
      <c r="L29" s="82"/>
      <c r="M29" s="80" t="s">
        <v>293</v>
      </c>
      <c r="N29" s="193">
        <v>9.4758064516129031E-2</v>
      </c>
      <c r="O29" s="82">
        <v>0.25806451612903225</v>
      </c>
      <c r="R29" s="6"/>
      <c r="S29" s="154"/>
      <c r="T29" s="155"/>
    </row>
    <row r="30" spans="1:27" ht="12.75" customHeight="1" x14ac:dyDescent="0.2">
      <c r="A30" s="80" t="s">
        <v>378</v>
      </c>
      <c r="B30" s="94">
        <v>503</v>
      </c>
      <c r="C30" s="94">
        <v>372</v>
      </c>
      <c r="D30" s="94">
        <v>95</v>
      </c>
      <c r="E30" s="94">
        <v>36</v>
      </c>
      <c r="F30" s="94"/>
      <c r="G30" s="187">
        <v>0.99603960396039604</v>
      </c>
      <c r="H30" s="187">
        <v>0.73956262425447317</v>
      </c>
      <c r="I30" s="187">
        <v>0.18886679920477137</v>
      </c>
      <c r="J30" s="187">
        <v>7.1570576540755465E-2</v>
      </c>
      <c r="K30" s="193"/>
      <c r="L30" s="82"/>
      <c r="M30" s="80" t="s">
        <v>281</v>
      </c>
      <c r="N30" s="193">
        <v>9.6385542168674704E-2</v>
      </c>
      <c r="O30" s="82">
        <v>0.22690763052208834</v>
      </c>
      <c r="R30" s="6"/>
      <c r="S30" s="154"/>
      <c r="T30" s="155"/>
      <c r="U30" s="79"/>
    </row>
    <row r="31" spans="1:27" ht="12.75" customHeight="1" x14ac:dyDescent="0.2">
      <c r="A31" s="80" t="s">
        <v>306</v>
      </c>
      <c r="B31" s="94">
        <v>501</v>
      </c>
      <c r="C31" s="94">
        <v>337</v>
      </c>
      <c r="D31" s="94">
        <v>110</v>
      </c>
      <c r="E31" s="94">
        <v>54</v>
      </c>
      <c r="F31" s="94"/>
      <c r="G31" s="187">
        <v>0.99207920792079207</v>
      </c>
      <c r="H31" s="187">
        <v>0.67265469061876249</v>
      </c>
      <c r="I31" s="187">
        <v>0.21956087824351297</v>
      </c>
      <c r="J31" s="187">
        <v>0.10778443113772455</v>
      </c>
      <c r="K31" s="193"/>
      <c r="L31" s="82"/>
      <c r="M31" s="80" t="s">
        <v>273</v>
      </c>
      <c r="N31" s="193">
        <v>9.036144578313253E-2</v>
      </c>
      <c r="O31" s="82">
        <v>0.21084337349397592</v>
      </c>
      <c r="R31" s="6"/>
      <c r="S31" s="154"/>
      <c r="T31" s="155"/>
    </row>
    <row r="32" spans="1:27" ht="12.75" customHeight="1" x14ac:dyDescent="0.2">
      <c r="A32" s="80" t="s">
        <v>305</v>
      </c>
      <c r="B32" s="94">
        <v>498</v>
      </c>
      <c r="C32" s="94">
        <v>351</v>
      </c>
      <c r="D32" s="94">
        <v>105</v>
      </c>
      <c r="E32" s="94">
        <v>42</v>
      </c>
      <c r="F32" s="94"/>
      <c r="G32" s="187">
        <v>0.98613861386138613</v>
      </c>
      <c r="H32" s="187">
        <v>0.70481927710843373</v>
      </c>
      <c r="I32" s="187">
        <v>0.21084337349397592</v>
      </c>
      <c r="J32" s="187">
        <v>8.4337349397590355E-2</v>
      </c>
      <c r="K32" s="193"/>
      <c r="L32" s="82"/>
      <c r="M32" s="80" t="s">
        <v>269</v>
      </c>
      <c r="N32" s="193">
        <v>7.6152304609218444E-2</v>
      </c>
      <c r="O32" s="82">
        <v>0.21042084168336672</v>
      </c>
      <c r="P32" s="93"/>
      <c r="R32" s="6"/>
      <c r="S32" s="154"/>
      <c r="T32" s="155"/>
    </row>
    <row r="33" spans="1:19" ht="12.75" customHeight="1" x14ac:dyDescent="0.2">
      <c r="A33" s="80" t="s">
        <v>304</v>
      </c>
      <c r="B33" s="94">
        <v>497</v>
      </c>
      <c r="C33" s="94">
        <v>349</v>
      </c>
      <c r="D33" s="94">
        <v>104</v>
      </c>
      <c r="E33" s="94">
        <v>44</v>
      </c>
      <c r="F33" s="94"/>
      <c r="G33" s="187">
        <v>0.98611111111111116</v>
      </c>
      <c r="H33" s="187">
        <v>0.70221327967806846</v>
      </c>
      <c r="I33" s="187">
        <v>0.20925553319919518</v>
      </c>
      <c r="J33" s="187">
        <v>8.8531187122736416E-2</v>
      </c>
      <c r="K33" s="193"/>
      <c r="L33" s="82"/>
      <c r="M33" s="6" t="s">
        <v>326</v>
      </c>
      <c r="N33" s="193">
        <v>6.0362173038229376E-2</v>
      </c>
      <c r="O33" s="82">
        <v>0.21327967806841047</v>
      </c>
      <c r="P33" s="93"/>
      <c r="S33" s="59"/>
    </row>
    <row r="34" spans="1:19" ht="12.75" customHeight="1" x14ac:dyDescent="0.2">
      <c r="A34" s="80" t="s">
        <v>303</v>
      </c>
      <c r="B34" s="94">
        <v>499</v>
      </c>
      <c r="C34" s="94">
        <v>361</v>
      </c>
      <c r="D34" s="94">
        <v>103</v>
      </c>
      <c r="E34" s="94">
        <v>35</v>
      </c>
      <c r="F34" s="94"/>
      <c r="G34" s="187">
        <v>0.99007936507936511</v>
      </c>
      <c r="H34" s="187">
        <v>0.7234468937875751</v>
      </c>
      <c r="I34" s="187">
        <v>0.20641282565130262</v>
      </c>
      <c r="J34" s="187">
        <v>7.0140280561122245E-2</v>
      </c>
      <c r="K34" s="193"/>
      <c r="L34" s="82"/>
      <c r="M34" s="93"/>
      <c r="N34" s="93"/>
      <c r="O34" s="93"/>
      <c r="P34" s="93"/>
      <c r="S34" s="59"/>
    </row>
    <row r="35" spans="1:19" ht="12.75" customHeight="1" x14ac:dyDescent="0.2">
      <c r="A35" s="80" t="s">
        <v>293</v>
      </c>
      <c r="B35" s="94">
        <v>496</v>
      </c>
      <c r="C35" s="94">
        <v>341</v>
      </c>
      <c r="D35" s="94">
        <v>107</v>
      </c>
      <c r="E35" s="94">
        <v>48</v>
      </c>
      <c r="F35" s="94"/>
      <c r="G35" s="187">
        <v>0.98804780876494025</v>
      </c>
      <c r="H35" s="187">
        <v>0.6875</v>
      </c>
      <c r="I35" s="187">
        <v>0.21572580645161291</v>
      </c>
      <c r="J35" s="187">
        <v>9.6774193548387094E-2</v>
      </c>
      <c r="K35" s="193"/>
      <c r="L35" s="82"/>
      <c r="M35" s="93"/>
      <c r="N35" s="93"/>
      <c r="O35" s="93"/>
      <c r="P35" s="93"/>
      <c r="S35" s="59"/>
    </row>
    <row r="36" spans="1:19" ht="12.75" customHeight="1" x14ac:dyDescent="0.2">
      <c r="A36" s="80" t="s">
        <v>281</v>
      </c>
      <c r="B36" s="94">
        <v>499</v>
      </c>
      <c r="C36" s="94">
        <v>339</v>
      </c>
      <c r="D36" s="94">
        <v>115</v>
      </c>
      <c r="E36" s="94">
        <v>45</v>
      </c>
      <c r="F36" s="94"/>
      <c r="G36" s="187">
        <v>0.99402390438247012</v>
      </c>
      <c r="H36" s="187">
        <v>0.67935871743486975</v>
      </c>
      <c r="I36" s="187">
        <v>0.23046092184368738</v>
      </c>
      <c r="J36" s="187">
        <v>9.0180360721442893E-2</v>
      </c>
      <c r="K36" s="193"/>
      <c r="L36" s="82"/>
      <c r="M36" s="93"/>
      <c r="N36" s="93"/>
      <c r="O36" s="93"/>
      <c r="P36" s="93"/>
      <c r="S36" s="59"/>
    </row>
    <row r="37" spans="1:19" ht="12.75" customHeight="1" x14ac:dyDescent="0.2">
      <c r="A37" s="80" t="s">
        <v>273</v>
      </c>
      <c r="B37" s="94">
        <v>496</v>
      </c>
      <c r="C37" s="94">
        <v>346</v>
      </c>
      <c r="D37" s="94">
        <v>109</v>
      </c>
      <c r="E37" s="94">
        <v>41</v>
      </c>
      <c r="F37" s="94"/>
      <c r="G37" s="187">
        <v>0.98804780876494025</v>
      </c>
      <c r="H37" s="187">
        <v>0.69758064516129037</v>
      </c>
      <c r="I37" s="187">
        <v>0.21975806451612903</v>
      </c>
      <c r="J37" s="187">
        <v>8.2661290322580641E-2</v>
      </c>
      <c r="K37" s="82"/>
      <c r="L37" s="82"/>
      <c r="M37" s="93"/>
      <c r="N37" s="93"/>
      <c r="O37" s="93"/>
      <c r="P37" s="93"/>
      <c r="S37" s="59"/>
    </row>
    <row r="38" spans="1:19" ht="12.75" customHeight="1" x14ac:dyDescent="0.2">
      <c r="A38" s="80" t="s">
        <v>269</v>
      </c>
      <c r="B38" s="94">
        <v>498</v>
      </c>
      <c r="C38" s="94">
        <v>337</v>
      </c>
      <c r="D38" s="94">
        <v>114</v>
      </c>
      <c r="E38" s="94">
        <v>47</v>
      </c>
      <c r="F38" s="94"/>
      <c r="G38" s="187">
        <v>0.99203187250996017</v>
      </c>
      <c r="H38" s="187">
        <v>0.67670682730923704</v>
      </c>
      <c r="I38" s="187">
        <v>0.2289156626506024</v>
      </c>
      <c r="J38" s="187">
        <v>9.4377510040160636E-2</v>
      </c>
      <c r="K38" s="82"/>
      <c r="L38" s="82"/>
      <c r="M38" s="93"/>
      <c r="N38" s="93"/>
      <c r="O38" s="93"/>
      <c r="P38" s="93"/>
      <c r="S38" s="59"/>
    </row>
    <row r="39" spans="1:19" ht="12.75" customHeight="1" x14ac:dyDescent="0.2">
      <c r="A39" s="80" t="s">
        <v>326</v>
      </c>
      <c r="B39" s="94">
        <v>500</v>
      </c>
      <c r="C39" s="94">
        <v>343</v>
      </c>
      <c r="D39" s="94">
        <v>105</v>
      </c>
      <c r="E39" s="94">
        <v>52</v>
      </c>
      <c r="F39" s="94"/>
      <c r="G39" s="187">
        <v>0.99601593625498008</v>
      </c>
      <c r="H39" s="187">
        <v>0.68600000000000005</v>
      </c>
      <c r="I39" s="187">
        <v>0.21</v>
      </c>
      <c r="J39" s="187">
        <v>0.104</v>
      </c>
      <c r="K39" s="82"/>
      <c r="L39" s="82"/>
      <c r="M39" s="93"/>
      <c r="N39" s="93"/>
      <c r="O39" s="93"/>
      <c r="P39" s="93"/>
      <c r="S39" s="59"/>
    </row>
    <row r="40" spans="1:19" ht="12.75" customHeight="1" x14ac:dyDescent="0.2">
      <c r="A40" s="80" t="s">
        <v>256</v>
      </c>
      <c r="B40" s="94">
        <v>499</v>
      </c>
      <c r="C40" s="94">
        <v>368</v>
      </c>
      <c r="D40" s="94">
        <v>86</v>
      </c>
      <c r="E40" s="94">
        <v>45</v>
      </c>
      <c r="F40" s="94"/>
      <c r="G40" s="187">
        <v>0.99402390438247012</v>
      </c>
      <c r="H40" s="187">
        <v>0.73747494989979956</v>
      </c>
      <c r="I40" s="187">
        <v>0.17234468937875752</v>
      </c>
      <c r="J40" s="187">
        <v>9.0180360721442893E-2</v>
      </c>
      <c r="K40" s="82"/>
      <c r="L40" s="82"/>
      <c r="M40" s="93"/>
      <c r="N40" s="93"/>
      <c r="O40" s="93"/>
      <c r="P40" s="93"/>
      <c r="S40" s="59"/>
    </row>
    <row r="41" spans="1:19" ht="12.75" customHeight="1" x14ac:dyDescent="0.2">
      <c r="A41" s="80" t="s">
        <v>257</v>
      </c>
      <c r="B41" s="94">
        <v>499</v>
      </c>
      <c r="C41" s="94">
        <v>328</v>
      </c>
      <c r="D41" s="94">
        <v>106</v>
      </c>
      <c r="E41" s="94">
        <v>65</v>
      </c>
      <c r="F41" s="94"/>
      <c r="G41" s="187">
        <v>0.99600798403193613</v>
      </c>
      <c r="H41" s="187">
        <v>0.65731462925851702</v>
      </c>
      <c r="I41" s="187">
        <v>0.21242484969939879</v>
      </c>
      <c r="J41" s="187">
        <v>0.13026052104208416</v>
      </c>
      <c r="K41" s="82"/>
      <c r="L41" s="82"/>
      <c r="M41" s="93"/>
      <c r="N41" s="93"/>
      <c r="O41" s="93"/>
      <c r="P41" s="93"/>
      <c r="S41" s="59"/>
    </row>
    <row r="42" spans="1:19" ht="12.75" customHeight="1" x14ac:dyDescent="0.2">
      <c r="A42" s="80" t="s">
        <v>264</v>
      </c>
      <c r="B42" s="94">
        <v>499</v>
      </c>
      <c r="C42" s="94">
        <v>335</v>
      </c>
      <c r="D42" s="94">
        <v>113</v>
      </c>
      <c r="E42" s="94">
        <v>51</v>
      </c>
      <c r="F42" s="94"/>
      <c r="G42" s="187">
        <v>0.998</v>
      </c>
      <c r="H42" s="187">
        <v>0.67134268537074149</v>
      </c>
      <c r="I42" s="187">
        <v>0.22645290581162325</v>
      </c>
      <c r="J42" s="187">
        <v>0.10220440881763528</v>
      </c>
      <c r="K42" s="82"/>
      <c r="L42" s="82"/>
      <c r="M42" s="93"/>
      <c r="N42" s="93"/>
      <c r="O42" s="93"/>
      <c r="P42" s="94"/>
      <c r="S42" s="59"/>
    </row>
    <row r="43" spans="1:19" ht="12.75" customHeight="1" x14ac:dyDescent="0.2">
      <c r="A43" s="80" t="s">
        <v>258</v>
      </c>
      <c r="B43" s="94">
        <v>499</v>
      </c>
      <c r="C43" s="93">
        <v>319</v>
      </c>
      <c r="D43" s="93">
        <v>126</v>
      </c>
      <c r="E43" s="94">
        <v>54</v>
      </c>
      <c r="F43" s="79"/>
      <c r="G43" s="82">
        <v>0.998</v>
      </c>
      <c r="H43" s="82">
        <v>0.63927855711422843</v>
      </c>
      <c r="I43" s="82">
        <v>0.25250501002004005</v>
      </c>
      <c r="J43" s="82">
        <v>0.10821643286573146</v>
      </c>
      <c r="K43" s="82"/>
      <c r="L43" s="82"/>
      <c r="M43" s="93"/>
      <c r="N43" s="93"/>
      <c r="O43" s="93"/>
      <c r="P43" s="94"/>
      <c r="S43" s="59"/>
    </row>
    <row r="44" spans="1:19" ht="12.75" customHeight="1" x14ac:dyDescent="0.2">
      <c r="A44" s="80" t="s">
        <v>327</v>
      </c>
      <c r="B44" s="94">
        <v>499</v>
      </c>
      <c r="C44" s="93">
        <v>330</v>
      </c>
      <c r="D44" s="93">
        <v>116</v>
      </c>
      <c r="E44" s="94">
        <v>53</v>
      </c>
      <c r="F44" s="79"/>
      <c r="G44" s="82">
        <v>0.998</v>
      </c>
      <c r="H44" s="82">
        <v>0.66132264529058116</v>
      </c>
      <c r="I44" s="82">
        <v>0.23246492985971945</v>
      </c>
      <c r="J44" s="82">
        <v>0.10621242484969939</v>
      </c>
      <c r="K44" s="82"/>
      <c r="L44" s="82"/>
      <c r="M44" s="94"/>
      <c r="N44" s="93"/>
      <c r="O44" s="93"/>
      <c r="S44" s="59"/>
    </row>
    <row r="45" spans="1:19" ht="12.75" customHeight="1" x14ac:dyDescent="0.2">
      <c r="A45" s="80" t="s">
        <v>259</v>
      </c>
      <c r="B45" s="94">
        <v>500</v>
      </c>
      <c r="C45" s="93">
        <v>327</v>
      </c>
      <c r="D45" s="93">
        <v>134</v>
      </c>
      <c r="E45" s="94">
        <v>39</v>
      </c>
      <c r="F45" s="79"/>
      <c r="G45" s="82">
        <v>1</v>
      </c>
      <c r="H45" s="82">
        <v>0.65400000000000003</v>
      </c>
      <c r="I45" s="82">
        <v>0.26800000000000002</v>
      </c>
      <c r="J45" s="82">
        <v>7.8E-2</v>
      </c>
      <c r="K45" s="82"/>
      <c r="L45" s="82"/>
      <c r="M45" s="94"/>
      <c r="N45" s="93"/>
      <c r="O45" s="93"/>
      <c r="S45" s="59"/>
    </row>
    <row r="46" spans="1:19" ht="12.75" customHeight="1" x14ac:dyDescent="0.25">
      <c r="A46" s="80" t="s">
        <v>260</v>
      </c>
      <c r="B46" s="94">
        <v>499</v>
      </c>
      <c r="C46" s="93">
        <v>329</v>
      </c>
      <c r="D46" s="93">
        <v>129</v>
      </c>
      <c r="E46" s="94">
        <v>41</v>
      </c>
      <c r="F46" s="79"/>
      <c r="G46" s="82">
        <v>0.998</v>
      </c>
      <c r="H46" s="82">
        <v>0.65931863727454909</v>
      </c>
      <c r="I46" s="82">
        <v>0.25851703406813625</v>
      </c>
      <c r="J46" s="82">
        <v>8.2164328657314628E-2</v>
      </c>
      <c r="K46" s="82"/>
      <c r="L46" s="82"/>
      <c r="M46" s="6"/>
      <c r="N46" s="6"/>
      <c r="O46" s="125"/>
      <c r="S46" s="59"/>
    </row>
    <row r="47" spans="1:19" ht="12.75" customHeight="1" x14ac:dyDescent="0.25">
      <c r="A47" s="80" t="s">
        <v>263</v>
      </c>
      <c r="B47" s="94">
        <v>500</v>
      </c>
      <c r="C47" s="93">
        <v>324</v>
      </c>
      <c r="D47" s="93">
        <v>124</v>
      </c>
      <c r="E47" s="94">
        <v>52</v>
      </c>
      <c r="F47" s="79"/>
      <c r="G47" s="82">
        <v>1</v>
      </c>
      <c r="H47" s="82">
        <v>0.64800000000000002</v>
      </c>
      <c r="I47" s="82">
        <v>0.248</v>
      </c>
      <c r="J47" s="82">
        <v>0.104</v>
      </c>
      <c r="K47" s="82"/>
      <c r="L47" s="82"/>
      <c r="M47" s="6"/>
      <c r="N47" s="6"/>
      <c r="O47" s="125"/>
      <c r="S47" s="59"/>
    </row>
    <row r="48" spans="1:19" ht="12.75" customHeight="1" x14ac:dyDescent="0.25">
      <c r="A48" s="80" t="s">
        <v>262</v>
      </c>
      <c r="B48" s="94">
        <v>493</v>
      </c>
      <c r="C48" s="93">
        <v>312</v>
      </c>
      <c r="D48" s="93">
        <v>117</v>
      </c>
      <c r="E48" s="94">
        <v>64</v>
      </c>
      <c r="F48" s="79"/>
      <c r="G48" s="82">
        <v>0.98599999999999999</v>
      </c>
      <c r="H48" s="82">
        <v>0.63286004056795131</v>
      </c>
      <c r="I48" s="82">
        <v>0.23732251521298176</v>
      </c>
      <c r="J48" s="82">
        <v>0.12981744421906694</v>
      </c>
      <c r="K48" s="82"/>
      <c r="L48" s="82"/>
      <c r="M48" s="6"/>
      <c r="N48" s="6"/>
      <c r="O48" s="125"/>
      <c r="S48" s="59"/>
    </row>
    <row r="49" spans="1:27" ht="12.75" customHeight="1" x14ac:dyDescent="0.25">
      <c r="A49" s="80" t="s">
        <v>259</v>
      </c>
      <c r="B49" s="94">
        <v>499</v>
      </c>
      <c r="C49" s="93">
        <v>322</v>
      </c>
      <c r="D49" s="93">
        <v>123</v>
      </c>
      <c r="E49" s="94">
        <v>54</v>
      </c>
      <c r="F49" s="79"/>
      <c r="G49" s="82">
        <v>0.998</v>
      </c>
      <c r="H49" s="82">
        <v>0.64529058116232463</v>
      </c>
      <c r="I49" s="82">
        <v>0.24649298597194388</v>
      </c>
      <c r="J49" s="82">
        <v>0.10821643286573146</v>
      </c>
      <c r="K49" s="82"/>
      <c r="L49" s="82"/>
      <c r="M49" s="6"/>
      <c r="N49" s="6"/>
      <c r="O49" s="125"/>
      <c r="S49" s="59"/>
    </row>
    <row r="50" spans="1:27" ht="12.75" customHeight="1" x14ac:dyDescent="0.25">
      <c r="A50" s="80" t="s">
        <v>328</v>
      </c>
      <c r="B50" s="94">
        <f>AVERAGE(B25:B49)</f>
        <v>499.12</v>
      </c>
      <c r="C50" s="94">
        <f>AVERAGE(C25:C49)</f>
        <v>345.88</v>
      </c>
      <c r="D50" s="94">
        <f>AVERAGE(D25:D49)</f>
        <v>107.2</v>
      </c>
      <c r="E50" s="94">
        <f>AVERAGE(E25:E49)</f>
        <v>46.04</v>
      </c>
      <c r="F50" s="79"/>
      <c r="G50" s="82">
        <f>AVERAGE(G25:G49)</f>
        <v>0.99340172642514857</v>
      </c>
      <c r="H50" s="82">
        <f>AVERAGE(H25:H49)</f>
        <v>0.69292321069448604</v>
      </c>
      <c r="I50" s="82">
        <f>AVERAGE(I25:I49)</f>
        <v>0.21481085911469366</v>
      </c>
      <c r="J50" s="82">
        <f>AVERAGE(J25:J49)</f>
        <v>9.2265930190820203E-2</v>
      </c>
      <c r="K50" s="79"/>
      <c r="L50" s="79"/>
      <c r="M50" s="6"/>
      <c r="N50" s="6"/>
      <c r="O50" s="125"/>
      <c r="S50" s="59"/>
    </row>
    <row r="51" spans="1:27" ht="15.75" x14ac:dyDescent="0.25">
      <c r="A51" s="80"/>
      <c r="B51" s="94"/>
      <c r="C51" s="94"/>
      <c r="D51" s="94"/>
      <c r="E51" s="94"/>
      <c r="F51" s="79"/>
      <c r="G51" s="82"/>
      <c r="H51" s="82"/>
      <c r="I51" s="82"/>
      <c r="J51" s="82"/>
      <c r="K51" s="79"/>
      <c r="L51" s="79"/>
      <c r="M51" s="6"/>
      <c r="N51" s="6"/>
      <c r="O51" s="125"/>
      <c r="S51" s="59"/>
    </row>
    <row r="52" spans="1:27" x14ac:dyDescent="0.2">
      <c r="A52" s="80"/>
      <c r="B52" s="94"/>
      <c r="C52" s="94"/>
      <c r="D52" s="94"/>
      <c r="E52" s="94"/>
      <c r="F52" s="79"/>
      <c r="G52" s="82"/>
      <c r="H52" s="82"/>
      <c r="I52" s="82"/>
      <c r="J52" s="82"/>
      <c r="K52" s="79"/>
      <c r="L52" s="79"/>
      <c r="M52" s="6"/>
      <c r="N52" s="6"/>
      <c r="O52" s="6"/>
      <c r="P52" s="79"/>
      <c r="Q52" s="79"/>
      <c r="R52" s="80"/>
      <c r="S52" s="79"/>
      <c r="T52" s="79"/>
      <c r="U52" s="79"/>
      <c r="V52" s="79"/>
      <c r="W52" s="79"/>
      <c r="X52" s="79"/>
      <c r="Y52" s="79"/>
      <c r="Z52" s="79"/>
      <c r="AA52" s="79"/>
    </row>
    <row r="53" spans="1:27" ht="12.75" customHeight="1" x14ac:dyDescent="0.2">
      <c r="A53" s="80"/>
      <c r="B53" s="94"/>
      <c r="C53" s="94"/>
      <c r="D53" s="94"/>
      <c r="E53" s="94"/>
      <c r="F53" s="79"/>
      <c r="G53" s="82"/>
      <c r="H53" s="82"/>
      <c r="I53" s="82"/>
      <c r="J53" s="82"/>
      <c r="K53" s="79"/>
      <c r="L53" s="79"/>
      <c r="M53" s="6"/>
      <c r="N53" s="6"/>
      <c r="O53" s="6"/>
      <c r="P53" s="79"/>
      <c r="Q53" s="79"/>
      <c r="R53" s="80"/>
      <c r="S53" s="79"/>
      <c r="T53" s="79"/>
      <c r="U53" s="79"/>
      <c r="V53" s="79"/>
      <c r="W53" s="79"/>
      <c r="X53" s="79"/>
      <c r="Y53" s="79"/>
      <c r="Z53" s="79"/>
      <c r="AA53" s="79"/>
    </row>
    <row r="54" spans="1:27" ht="12.75" customHeight="1" x14ac:dyDescent="0.2">
      <c r="A54" s="80" t="s">
        <v>411</v>
      </c>
      <c r="B54" s="79"/>
      <c r="C54" s="79"/>
      <c r="D54" s="79"/>
      <c r="E54" s="79"/>
      <c r="F54" s="79"/>
      <c r="G54" s="79"/>
      <c r="H54" s="79"/>
      <c r="I54" s="79"/>
      <c r="J54" s="79"/>
      <c r="K54" s="79"/>
      <c r="L54" s="79"/>
      <c r="M54" s="6"/>
      <c r="N54" s="6"/>
      <c r="O54" s="6"/>
      <c r="P54" s="79"/>
      <c r="Q54" s="79"/>
      <c r="R54" s="80"/>
      <c r="S54" s="79"/>
      <c r="T54" s="79"/>
      <c r="U54" s="79"/>
      <c r="V54" s="79"/>
      <c r="W54" s="79"/>
      <c r="X54" s="79"/>
      <c r="Y54" s="79"/>
      <c r="Z54" s="79"/>
      <c r="AA54" s="79"/>
    </row>
    <row r="55" spans="1:27" ht="12.75" customHeight="1" x14ac:dyDescent="0.2">
      <c r="A55" s="80" t="s">
        <v>433</v>
      </c>
      <c r="B55" s="79"/>
      <c r="C55" s="79"/>
      <c r="D55" s="79"/>
      <c r="E55" s="79"/>
      <c r="F55" s="79"/>
      <c r="G55" s="79"/>
      <c r="H55" s="79"/>
      <c r="I55" s="79"/>
      <c r="J55" s="79"/>
      <c r="K55" s="79"/>
      <c r="L55" s="81"/>
      <c r="M55" s="6"/>
      <c r="N55" s="6"/>
      <c r="O55" s="6"/>
      <c r="R55" s="80"/>
      <c r="S55" s="79"/>
      <c r="T55" s="79"/>
      <c r="U55" s="79"/>
      <c r="V55" s="79"/>
      <c r="W55" s="93"/>
      <c r="X55" s="79"/>
      <c r="Y55" s="79"/>
      <c r="Z55" s="79"/>
      <c r="AA55" s="79"/>
    </row>
    <row r="56" spans="1:27" ht="12.75" customHeight="1" x14ac:dyDescent="0.2">
      <c r="A56" s="80" t="s">
        <v>434</v>
      </c>
      <c r="B56" s="79"/>
      <c r="C56" s="79"/>
      <c r="D56" s="79"/>
      <c r="E56" s="79"/>
      <c r="F56" s="79"/>
      <c r="G56" s="79"/>
      <c r="H56" s="79"/>
      <c r="I56" s="79"/>
      <c r="J56" s="79"/>
      <c r="K56" s="81"/>
      <c r="L56" s="82"/>
      <c r="M56" s="6" t="s">
        <v>411</v>
      </c>
      <c r="N56" s="6"/>
      <c r="O56" s="6"/>
      <c r="R56" s="80"/>
      <c r="S56" s="81"/>
      <c r="T56" s="81"/>
      <c r="U56" s="81"/>
      <c r="V56" s="81"/>
      <c r="W56" s="93"/>
      <c r="X56" s="81"/>
      <c r="Y56" s="81"/>
      <c r="Z56" s="81"/>
      <c r="AA56" s="81"/>
    </row>
    <row r="57" spans="1:27" ht="12.75" customHeight="1" x14ac:dyDescent="0.2">
      <c r="A57" s="80"/>
      <c r="B57" s="79" t="s">
        <v>149</v>
      </c>
      <c r="C57" s="79"/>
      <c r="D57" s="79"/>
      <c r="E57" s="79"/>
      <c r="F57" s="93"/>
      <c r="G57" s="79" t="s">
        <v>156</v>
      </c>
      <c r="H57" s="79"/>
      <c r="I57" s="79"/>
      <c r="J57" s="79"/>
      <c r="K57" s="82"/>
      <c r="L57" s="82"/>
      <c r="M57" s="6" t="s">
        <v>426</v>
      </c>
      <c r="N57" s="154"/>
      <c r="O57" s="155"/>
      <c r="R57" s="80"/>
      <c r="S57" s="93"/>
      <c r="T57" s="93"/>
      <c r="U57" s="93"/>
      <c r="V57" s="93"/>
      <c r="W57" s="93"/>
      <c r="X57" s="82"/>
      <c r="Y57" s="82"/>
      <c r="Z57" s="82"/>
      <c r="AA57" s="82"/>
    </row>
    <row r="58" spans="1:27" ht="12.75" customHeight="1" x14ac:dyDescent="0.2">
      <c r="A58" s="80" t="s">
        <v>145</v>
      </c>
      <c r="B58" s="81" t="s">
        <v>117</v>
      </c>
      <c r="C58" s="81" t="s">
        <v>118</v>
      </c>
      <c r="D58" s="81" t="s">
        <v>119</v>
      </c>
      <c r="E58" s="81" t="s">
        <v>120</v>
      </c>
      <c r="F58" s="93"/>
      <c r="G58" s="81" t="s">
        <v>117</v>
      </c>
      <c r="H58" s="81" t="s">
        <v>118</v>
      </c>
      <c r="I58" s="81" t="s">
        <v>119</v>
      </c>
      <c r="J58" s="81" t="s">
        <v>120</v>
      </c>
      <c r="K58" s="82"/>
      <c r="L58" s="82"/>
      <c r="M58" s="6" t="s">
        <v>272</v>
      </c>
      <c r="N58" s="6"/>
      <c r="O58" s="6"/>
      <c r="R58" s="80"/>
      <c r="S58" s="93"/>
      <c r="T58" s="93"/>
      <c r="U58" s="93"/>
      <c r="V58" s="93"/>
      <c r="W58" s="93"/>
      <c r="X58" s="82"/>
      <c r="Y58" s="82"/>
      <c r="Z58" s="82"/>
      <c r="AA58" s="82"/>
    </row>
    <row r="59" spans="1:27" ht="12.75" customHeight="1" x14ac:dyDescent="0.2">
      <c r="A59" s="80" t="s">
        <v>135</v>
      </c>
      <c r="B59" s="93">
        <v>32</v>
      </c>
      <c r="C59" s="93">
        <v>24</v>
      </c>
      <c r="D59" s="93">
        <v>6</v>
      </c>
      <c r="E59" s="93">
        <v>2</v>
      </c>
      <c r="F59" s="93"/>
      <c r="G59" s="82">
        <v>1</v>
      </c>
      <c r="H59" s="82">
        <v>0.75</v>
      </c>
      <c r="I59" s="82">
        <v>0.1875</v>
      </c>
      <c r="J59" s="82">
        <v>6.25E-2</v>
      </c>
      <c r="K59" s="82"/>
      <c r="L59" s="82"/>
      <c r="M59" s="6" t="s">
        <v>216</v>
      </c>
      <c r="N59" s="154">
        <v>498</v>
      </c>
      <c r="O59" s="156" t="s">
        <v>217</v>
      </c>
      <c r="R59" s="80"/>
      <c r="S59" s="93"/>
      <c r="T59" s="93"/>
      <c r="U59" s="93"/>
      <c r="V59" s="93"/>
      <c r="W59" s="93"/>
      <c r="X59" s="82"/>
      <c r="Y59" s="82"/>
      <c r="Z59" s="82"/>
      <c r="AA59" s="82"/>
    </row>
    <row r="60" spans="1:27" ht="12.75" customHeight="1" x14ac:dyDescent="0.2">
      <c r="A60" s="80" t="s">
        <v>136</v>
      </c>
      <c r="B60" s="93">
        <v>25</v>
      </c>
      <c r="C60" s="93">
        <v>20</v>
      </c>
      <c r="D60" s="93">
        <v>1</v>
      </c>
      <c r="E60" s="93">
        <v>4</v>
      </c>
      <c r="F60" s="93"/>
      <c r="G60" s="82">
        <v>1</v>
      </c>
      <c r="H60" s="82">
        <v>0.8</v>
      </c>
      <c r="I60" s="82">
        <v>0.04</v>
      </c>
      <c r="J60" s="82">
        <v>0.16</v>
      </c>
      <c r="K60" s="82"/>
      <c r="L60" s="82"/>
      <c r="M60" s="6" t="s">
        <v>428</v>
      </c>
      <c r="N60" s="154">
        <v>305</v>
      </c>
      <c r="O60" s="155">
        <v>0.6124497991967871</v>
      </c>
      <c r="P60" s="79"/>
      <c r="R60" s="80"/>
      <c r="S60" s="93"/>
      <c r="T60" s="93"/>
      <c r="U60" s="93"/>
      <c r="V60" s="93"/>
      <c r="W60" s="93"/>
      <c r="X60" s="82"/>
      <c r="Y60" s="82"/>
      <c r="Z60" s="82"/>
      <c r="AA60" s="82"/>
    </row>
    <row r="61" spans="1:27" ht="12.75" customHeight="1" x14ac:dyDescent="0.2">
      <c r="A61" s="80" t="s">
        <v>137</v>
      </c>
      <c r="B61" s="93">
        <v>69</v>
      </c>
      <c r="C61" s="93">
        <v>53</v>
      </c>
      <c r="D61" s="93">
        <v>10</v>
      </c>
      <c r="E61" s="93">
        <v>6</v>
      </c>
      <c r="F61" s="93"/>
      <c r="G61" s="82">
        <v>1</v>
      </c>
      <c r="H61" s="82">
        <v>0.76811594202898548</v>
      </c>
      <c r="I61" s="82">
        <v>0.14492753623188406</v>
      </c>
      <c r="J61" s="82">
        <v>8.6956521739130432E-2</v>
      </c>
      <c r="K61" s="82"/>
      <c r="L61" s="82"/>
      <c r="M61" s="6" t="s">
        <v>242</v>
      </c>
      <c r="N61" s="154">
        <v>75</v>
      </c>
      <c r="O61" s="155">
        <v>0.15060240963855423</v>
      </c>
      <c r="R61" s="80"/>
      <c r="S61" s="93"/>
      <c r="T61" s="93"/>
      <c r="U61" s="93"/>
      <c r="V61" s="93"/>
      <c r="W61" s="93"/>
      <c r="X61" s="82"/>
      <c r="Y61" s="82"/>
      <c r="Z61" s="82"/>
      <c r="AA61" s="82"/>
    </row>
    <row r="62" spans="1:27" s="59" customFormat="1" ht="12.75" customHeight="1" x14ac:dyDescent="0.2">
      <c r="A62" s="80" t="s">
        <v>138</v>
      </c>
      <c r="B62" s="93">
        <v>82</v>
      </c>
      <c r="C62" s="93">
        <v>58</v>
      </c>
      <c r="D62" s="93">
        <v>15</v>
      </c>
      <c r="E62" s="93">
        <v>9</v>
      </c>
      <c r="F62" s="93"/>
      <c r="G62" s="82">
        <v>0.97619047619047616</v>
      </c>
      <c r="H62" s="82">
        <v>0.70731707317073167</v>
      </c>
      <c r="I62" s="82">
        <v>0.18292682926829268</v>
      </c>
      <c r="J62" s="82">
        <v>0.10975609756097561</v>
      </c>
      <c r="K62" s="82"/>
      <c r="L62" s="82"/>
      <c r="M62" s="6" t="s">
        <v>429</v>
      </c>
      <c r="N62" s="154">
        <v>184</v>
      </c>
      <c r="O62" s="155">
        <v>0.36947791164658633</v>
      </c>
      <c r="P62"/>
      <c r="Q62"/>
      <c r="R62" s="80"/>
      <c r="S62" s="93"/>
      <c r="T62" s="93"/>
      <c r="U62" s="93"/>
      <c r="V62" s="93"/>
      <c r="W62" s="93"/>
      <c r="X62" s="82"/>
      <c r="Y62" s="82"/>
      <c r="Z62" s="82"/>
      <c r="AA62" s="82"/>
    </row>
    <row r="63" spans="1:27" s="59" customFormat="1" ht="12.75" customHeight="1" x14ac:dyDescent="0.2">
      <c r="A63" s="80" t="s">
        <v>139</v>
      </c>
      <c r="B63" s="93">
        <v>33</v>
      </c>
      <c r="C63" s="93">
        <v>23</v>
      </c>
      <c r="D63" s="93">
        <v>5</v>
      </c>
      <c r="E63" s="93">
        <v>5</v>
      </c>
      <c r="F63" s="93"/>
      <c r="G63" s="82">
        <v>0.97058823529411764</v>
      </c>
      <c r="H63" s="82">
        <v>0.69696969696969702</v>
      </c>
      <c r="I63" s="82">
        <v>0.15151515151515152</v>
      </c>
      <c r="J63" s="82">
        <v>0.15151515151515152</v>
      </c>
      <c r="K63" s="82"/>
      <c r="L63" s="82"/>
      <c r="M63" s="6" t="s">
        <v>243</v>
      </c>
      <c r="N63" s="154">
        <v>34</v>
      </c>
      <c r="O63" s="155">
        <v>6.8273092369477914E-2</v>
      </c>
      <c r="P63"/>
      <c r="Q63"/>
      <c r="R63" s="80"/>
      <c r="S63" s="93"/>
      <c r="T63" s="93"/>
      <c r="U63" s="93"/>
      <c r="V63" s="93"/>
      <c r="W63" s="94"/>
      <c r="X63" s="82"/>
      <c r="Y63" s="82"/>
      <c r="Z63" s="82"/>
      <c r="AA63" s="82"/>
    </row>
    <row r="64" spans="1:27" s="59" customFormat="1" ht="12.75" customHeight="1" x14ac:dyDescent="0.2">
      <c r="A64" s="80" t="s">
        <v>140</v>
      </c>
      <c r="B64" s="93">
        <v>61</v>
      </c>
      <c r="C64" s="93">
        <v>51</v>
      </c>
      <c r="D64" s="93">
        <v>5</v>
      </c>
      <c r="E64" s="93">
        <v>5</v>
      </c>
      <c r="F64" s="93"/>
      <c r="G64" s="82">
        <v>0.9838709677419355</v>
      </c>
      <c r="H64" s="82">
        <v>0.83606557377049184</v>
      </c>
      <c r="I64" s="82">
        <v>8.1967213114754092E-2</v>
      </c>
      <c r="J64" s="82">
        <v>8.1967213114754092E-2</v>
      </c>
      <c r="K64" s="82"/>
      <c r="L64" s="82"/>
      <c r="M64" s="6"/>
      <c r="N64" s="154"/>
      <c r="O64" s="155"/>
      <c r="P64"/>
      <c r="Q64"/>
      <c r="R64" s="80"/>
      <c r="S64" s="93"/>
      <c r="T64" s="93"/>
      <c r="U64" s="93"/>
      <c r="V64" s="93"/>
      <c r="W64" s="94"/>
      <c r="X64" s="82"/>
      <c r="Y64" s="82"/>
      <c r="Z64" s="82"/>
      <c r="AA64" s="82"/>
    </row>
    <row r="65" spans="1:27" s="59" customFormat="1" ht="12.75" customHeight="1" x14ac:dyDescent="0.2">
      <c r="A65" s="80" t="s">
        <v>141</v>
      </c>
      <c r="B65" s="93">
        <v>67</v>
      </c>
      <c r="C65" s="93">
        <v>53</v>
      </c>
      <c r="D65" s="93">
        <v>10</v>
      </c>
      <c r="E65" s="93">
        <v>4</v>
      </c>
      <c r="F65" s="94"/>
      <c r="G65" s="82">
        <v>1</v>
      </c>
      <c r="H65" s="82">
        <v>0.79104477611940294</v>
      </c>
      <c r="I65" s="82">
        <v>0.14925373134328357</v>
      </c>
      <c r="J65" s="82">
        <v>5.9701492537313432E-2</v>
      </c>
      <c r="K65" s="82"/>
      <c r="L65" s="82"/>
      <c r="M65" s="6"/>
      <c r="N65" s="154"/>
      <c r="O65" s="155"/>
      <c r="P65"/>
      <c r="Q65"/>
      <c r="R65" s="80"/>
      <c r="S65" s="93"/>
      <c r="T65" s="93"/>
      <c r="U65" s="93"/>
      <c r="V65" s="93"/>
      <c r="W65" s="94"/>
      <c r="X65" s="82"/>
      <c r="Y65" s="82"/>
      <c r="Z65" s="82"/>
      <c r="AA65" s="82"/>
    </row>
    <row r="66" spans="1:27" ht="12.75" customHeight="1" x14ac:dyDescent="0.2">
      <c r="A66" s="80" t="s">
        <v>142</v>
      </c>
      <c r="B66" s="93">
        <v>67</v>
      </c>
      <c r="C66" s="93">
        <v>58</v>
      </c>
      <c r="D66" s="93">
        <v>6</v>
      </c>
      <c r="E66" s="93">
        <v>3</v>
      </c>
      <c r="F66" s="94"/>
      <c r="G66" s="82">
        <v>0.98529411764705888</v>
      </c>
      <c r="H66" s="82">
        <v>0.86567164179104472</v>
      </c>
      <c r="I66" s="82">
        <v>8.9552238805970144E-2</v>
      </c>
      <c r="J66" s="82">
        <v>4.4776119402985072E-2</v>
      </c>
      <c r="K66" s="82"/>
      <c r="L66" s="82"/>
      <c r="M66" s="6"/>
      <c r="N66" s="82"/>
      <c r="O66" s="82"/>
      <c r="R66" s="80"/>
      <c r="S66" s="93"/>
      <c r="T66" s="93"/>
      <c r="U66" s="93"/>
      <c r="V66" s="93"/>
      <c r="W66" s="94"/>
      <c r="X66" s="82"/>
      <c r="Y66" s="82"/>
      <c r="Z66" s="82"/>
      <c r="AA66" s="82"/>
    </row>
    <row r="67" spans="1:27" ht="12.75" customHeight="1" x14ac:dyDescent="0.2">
      <c r="A67" s="80" t="s">
        <v>143</v>
      </c>
      <c r="B67" s="93">
        <v>3</v>
      </c>
      <c r="C67" s="93">
        <v>1</v>
      </c>
      <c r="D67" s="93">
        <v>2</v>
      </c>
      <c r="E67" s="93">
        <v>0</v>
      </c>
      <c r="F67" s="94"/>
      <c r="G67" s="82">
        <v>1</v>
      </c>
      <c r="H67" s="82">
        <v>0.33333333333333331</v>
      </c>
      <c r="I67" s="82">
        <v>0.66666666666666663</v>
      </c>
      <c r="J67" s="82">
        <v>0</v>
      </c>
      <c r="K67" s="82"/>
      <c r="L67" s="82"/>
      <c r="M67" s="6"/>
      <c r="N67" s="82"/>
      <c r="O67" s="82"/>
      <c r="R67" s="80"/>
      <c r="S67" s="93"/>
      <c r="T67" s="93"/>
      <c r="U67" s="93"/>
      <c r="V67" s="93"/>
      <c r="W67" s="94"/>
      <c r="X67" s="82"/>
      <c r="Y67" s="82"/>
      <c r="Z67" s="82"/>
      <c r="AA67" s="82"/>
    </row>
    <row r="68" spans="1:27" ht="12.75" customHeight="1" x14ac:dyDescent="0.2">
      <c r="A68" s="80" t="s">
        <v>144</v>
      </c>
      <c r="B68" s="93">
        <v>28</v>
      </c>
      <c r="C68" s="93">
        <v>20</v>
      </c>
      <c r="D68" s="93">
        <v>6</v>
      </c>
      <c r="E68" s="93">
        <v>2</v>
      </c>
      <c r="F68" s="94"/>
      <c r="G68" s="82">
        <v>1</v>
      </c>
      <c r="H68" s="82">
        <v>0.7142857142857143</v>
      </c>
      <c r="I68" s="82">
        <v>0.21428571428571427</v>
      </c>
      <c r="J68" s="82">
        <v>7.1428571428571425E-2</v>
      </c>
      <c r="K68" s="82"/>
      <c r="L68" s="82"/>
      <c r="M68" s="80"/>
      <c r="N68" s="193"/>
      <c r="O68" s="82"/>
      <c r="R68" s="80"/>
      <c r="S68" s="94"/>
      <c r="T68" s="93"/>
      <c r="U68" s="93"/>
      <c r="V68" s="94"/>
      <c r="W68" s="79"/>
      <c r="X68" s="82"/>
      <c r="Y68" s="82"/>
      <c r="Z68" s="82"/>
      <c r="AA68" s="82"/>
    </row>
    <row r="69" spans="1:27" ht="12.75" customHeight="1" x14ac:dyDescent="0.2">
      <c r="A69" s="80" t="s">
        <v>333</v>
      </c>
      <c r="B69" s="93">
        <v>33</v>
      </c>
      <c r="C69" s="93">
        <v>14</v>
      </c>
      <c r="D69" s="93">
        <v>16</v>
      </c>
      <c r="E69" s="93">
        <v>3</v>
      </c>
      <c r="F69" s="94"/>
      <c r="G69" s="82">
        <v>1</v>
      </c>
      <c r="H69" s="82">
        <v>0.42424242424242425</v>
      </c>
      <c r="I69" s="82">
        <v>0.48484848484848486</v>
      </c>
      <c r="J69" s="82">
        <v>9.0909090909090912E-2</v>
      </c>
      <c r="K69" s="79"/>
      <c r="L69" s="79"/>
      <c r="M69" s="80"/>
      <c r="N69" s="193"/>
      <c r="O69" s="82"/>
      <c r="P69" s="79"/>
      <c r="Q69" s="79"/>
      <c r="R69" s="79"/>
    </row>
    <row r="70" spans="1:27" ht="12.75" customHeight="1" x14ac:dyDescent="0.2">
      <c r="A70" s="80" t="s">
        <v>25</v>
      </c>
      <c r="B70" s="94">
        <v>500</v>
      </c>
      <c r="C70" s="93">
        <v>375</v>
      </c>
      <c r="D70" s="93">
        <v>82</v>
      </c>
      <c r="E70" s="94">
        <v>43</v>
      </c>
      <c r="F70" s="79"/>
      <c r="G70" s="82">
        <v>0.99009900990099009</v>
      </c>
      <c r="H70" s="82">
        <v>0.75</v>
      </c>
      <c r="I70" s="82">
        <v>0.16400000000000001</v>
      </c>
      <c r="J70" s="82">
        <v>8.5999999999999993E-2</v>
      </c>
      <c r="K70" s="79"/>
      <c r="L70" s="79"/>
      <c r="M70" s="6"/>
      <c r="N70" s="6"/>
      <c r="O70" s="6"/>
      <c r="P70" s="79"/>
      <c r="Q70" s="79"/>
      <c r="R70" s="79"/>
    </row>
    <row r="71" spans="1:27" ht="12.75" customHeight="1" x14ac:dyDescent="0.2">
      <c r="A71" s="80" t="s">
        <v>399</v>
      </c>
      <c r="B71" s="79"/>
      <c r="C71" s="79"/>
      <c r="D71" s="79"/>
      <c r="E71" s="79"/>
      <c r="F71" s="79"/>
      <c r="G71" s="79"/>
      <c r="H71" s="79"/>
      <c r="I71" s="79"/>
      <c r="J71" s="79"/>
      <c r="K71" s="79"/>
      <c r="L71" s="81"/>
      <c r="M71" s="6"/>
      <c r="N71" s="6"/>
      <c r="O71" s="6"/>
      <c r="P71" s="79"/>
      <c r="Q71" s="79"/>
      <c r="R71" s="79"/>
    </row>
    <row r="72" spans="1:27" ht="12.75" customHeight="1" x14ac:dyDescent="0.2">
      <c r="A72" s="80" t="s">
        <v>395</v>
      </c>
      <c r="B72" s="79"/>
      <c r="C72" s="79"/>
      <c r="D72" s="79"/>
      <c r="E72" s="79"/>
      <c r="F72" s="79"/>
      <c r="G72" s="79"/>
      <c r="H72" s="79"/>
      <c r="I72" s="79"/>
      <c r="J72" s="79"/>
      <c r="K72" s="81"/>
      <c r="L72" s="82"/>
      <c r="M72" s="6" t="s">
        <v>399</v>
      </c>
      <c r="N72" s="6"/>
      <c r="O72" s="6"/>
    </row>
    <row r="73" spans="1:27" ht="12.75" customHeight="1" x14ac:dyDescent="0.2">
      <c r="A73" s="80" t="s">
        <v>407</v>
      </c>
      <c r="B73" s="79"/>
      <c r="C73" s="79"/>
      <c r="D73" s="79"/>
      <c r="E73" s="79"/>
      <c r="F73" s="79"/>
      <c r="G73" s="79"/>
      <c r="H73" s="79"/>
      <c r="I73" s="79"/>
      <c r="J73" s="79"/>
      <c r="K73" s="82"/>
      <c r="L73" s="82"/>
      <c r="M73" s="6" t="s">
        <v>402</v>
      </c>
      <c r="N73" s="154"/>
      <c r="O73" s="155"/>
    </row>
    <row r="74" spans="1:27" ht="12.75" customHeight="1" x14ac:dyDescent="0.2">
      <c r="A74" s="80"/>
      <c r="B74" s="79" t="s">
        <v>149</v>
      </c>
      <c r="C74" s="79"/>
      <c r="D74" s="79"/>
      <c r="E74" s="79"/>
      <c r="F74" s="93"/>
      <c r="G74" s="79" t="s">
        <v>156</v>
      </c>
      <c r="H74" s="79"/>
      <c r="I74" s="79"/>
      <c r="J74" s="79"/>
      <c r="K74" s="82"/>
      <c r="L74" s="82"/>
      <c r="M74" s="6" t="s">
        <v>272</v>
      </c>
      <c r="N74" s="6"/>
      <c r="O74" s="6"/>
    </row>
    <row r="75" spans="1:27" ht="12.75" customHeight="1" x14ac:dyDescent="0.2">
      <c r="A75" s="80" t="s">
        <v>145</v>
      </c>
      <c r="B75" s="81" t="s">
        <v>117</v>
      </c>
      <c r="C75" s="81" t="s">
        <v>118</v>
      </c>
      <c r="D75" s="81" t="s">
        <v>119</v>
      </c>
      <c r="E75" s="81" t="s">
        <v>120</v>
      </c>
      <c r="F75" s="93"/>
      <c r="G75" s="81" t="s">
        <v>117</v>
      </c>
      <c r="H75" s="81" t="s">
        <v>118</v>
      </c>
      <c r="I75" s="81" t="s">
        <v>119</v>
      </c>
      <c r="J75" s="81" t="s">
        <v>120</v>
      </c>
      <c r="K75" s="82"/>
      <c r="L75" s="82"/>
      <c r="M75" s="6" t="s">
        <v>216</v>
      </c>
      <c r="N75" s="83">
        <v>499</v>
      </c>
      <c r="O75" s="156" t="s">
        <v>217</v>
      </c>
    </row>
    <row r="76" spans="1:27" ht="12.75" customHeight="1" x14ac:dyDescent="0.2">
      <c r="A76" s="80" t="s">
        <v>135</v>
      </c>
      <c r="B76" s="93">
        <v>32</v>
      </c>
      <c r="C76" s="93">
        <v>23</v>
      </c>
      <c r="D76" s="93">
        <v>8</v>
      </c>
      <c r="E76" s="93">
        <v>1</v>
      </c>
      <c r="F76" s="93"/>
      <c r="G76" s="82">
        <f>B76/32</f>
        <v>1</v>
      </c>
      <c r="H76" s="82">
        <f>C76/B76</f>
        <v>0.71875</v>
      </c>
      <c r="I76" s="82">
        <f>D76/B76</f>
        <v>0.25</v>
      </c>
      <c r="J76" s="82">
        <f>E76/B76</f>
        <v>3.125E-2</v>
      </c>
      <c r="K76" s="82"/>
      <c r="L76" s="82"/>
      <c r="M76" s="6" t="s">
        <v>400</v>
      </c>
      <c r="N76" s="154">
        <v>291</v>
      </c>
      <c r="O76" s="155">
        <f>N76/N75</f>
        <v>0.58316633266533069</v>
      </c>
    </row>
    <row r="77" spans="1:27" ht="12.75" customHeight="1" x14ac:dyDescent="0.2">
      <c r="A77" s="80" t="s">
        <v>136</v>
      </c>
      <c r="B77" s="93">
        <v>25</v>
      </c>
      <c r="C77" s="93">
        <v>18</v>
      </c>
      <c r="D77" s="93">
        <v>4</v>
      </c>
      <c r="E77" s="93">
        <v>3</v>
      </c>
      <c r="F77" s="93"/>
      <c r="G77" s="82">
        <f>B77/25</f>
        <v>1</v>
      </c>
      <c r="H77" s="82">
        <f t="shared" ref="H77:H86" si="3">C77/B77</f>
        <v>0.72</v>
      </c>
      <c r="I77" s="82">
        <f t="shared" ref="I77:I87" si="4">D77/B77</f>
        <v>0.16</v>
      </c>
      <c r="J77" s="82">
        <f t="shared" ref="J77:J87" si="5">E77/B77</f>
        <v>0.12</v>
      </c>
      <c r="K77" s="82"/>
      <c r="L77" s="82"/>
      <c r="M77" s="6" t="s">
        <v>242</v>
      </c>
      <c r="N77" s="154">
        <v>71</v>
      </c>
      <c r="O77" s="155">
        <f>N77/N75</f>
        <v>0.14228456913827656</v>
      </c>
      <c r="P77" s="89"/>
    </row>
    <row r="78" spans="1:27" s="59" customFormat="1" ht="12.75" customHeight="1" x14ac:dyDescent="0.2">
      <c r="A78" s="80" t="s">
        <v>137</v>
      </c>
      <c r="B78" s="93">
        <v>68</v>
      </c>
      <c r="C78" s="93">
        <v>51</v>
      </c>
      <c r="D78" s="93">
        <v>9</v>
      </c>
      <c r="E78" s="93">
        <v>8</v>
      </c>
      <c r="F78" s="93"/>
      <c r="G78" s="82">
        <f>B78/68</f>
        <v>1</v>
      </c>
      <c r="H78" s="82">
        <f t="shared" si="3"/>
        <v>0.75</v>
      </c>
      <c r="I78" s="82">
        <f t="shared" si="4"/>
        <v>0.13235294117647059</v>
      </c>
      <c r="J78" s="82">
        <f t="shared" si="5"/>
        <v>0.11764705882352941</v>
      </c>
      <c r="K78" s="82"/>
      <c r="L78" s="82"/>
      <c r="M78" s="6" t="s">
        <v>401</v>
      </c>
      <c r="N78" s="154">
        <v>201</v>
      </c>
      <c r="O78" s="155">
        <f>N78/N75</f>
        <v>0.4028056112224449</v>
      </c>
      <c r="P78"/>
      <c r="Q78"/>
      <c r="R78"/>
      <c r="S78"/>
    </row>
    <row r="79" spans="1:27" s="59" customFormat="1" ht="12.75" customHeight="1" x14ac:dyDescent="0.2">
      <c r="A79" s="80" t="s">
        <v>138</v>
      </c>
      <c r="B79" s="93">
        <v>82</v>
      </c>
      <c r="C79" s="93">
        <v>57</v>
      </c>
      <c r="D79" s="93">
        <v>17</v>
      </c>
      <c r="E79" s="93">
        <v>8</v>
      </c>
      <c r="F79" s="93"/>
      <c r="G79" s="82">
        <f>B79/83</f>
        <v>0.98795180722891562</v>
      </c>
      <c r="H79" s="82">
        <f t="shared" si="3"/>
        <v>0.69512195121951215</v>
      </c>
      <c r="I79" s="82">
        <f t="shared" si="4"/>
        <v>0.2073170731707317</v>
      </c>
      <c r="J79" s="82">
        <f t="shared" si="5"/>
        <v>9.7560975609756101E-2</v>
      </c>
      <c r="K79" s="82"/>
      <c r="L79" s="82"/>
      <c r="M79" s="6" t="s">
        <v>243</v>
      </c>
      <c r="N79" s="154">
        <v>43</v>
      </c>
      <c r="O79" s="155">
        <f>N79/N75</f>
        <v>8.617234468937876E-2</v>
      </c>
      <c r="P79"/>
      <c r="Q79"/>
      <c r="R79"/>
      <c r="S79"/>
    </row>
    <row r="80" spans="1:27" s="59" customFormat="1" ht="12.75" customHeight="1" x14ac:dyDescent="0.2">
      <c r="A80" s="80" t="s">
        <v>139</v>
      </c>
      <c r="B80" s="93">
        <v>34</v>
      </c>
      <c r="C80" s="93">
        <v>26</v>
      </c>
      <c r="D80" s="93">
        <v>6</v>
      </c>
      <c r="E80" s="93">
        <v>2</v>
      </c>
      <c r="F80" s="93"/>
      <c r="G80" s="82">
        <f>B80/34</f>
        <v>1</v>
      </c>
      <c r="H80" s="82">
        <f t="shared" si="3"/>
        <v>0.76470588235294112</v>
      </c>
      <c r="I80" s="82">
        <f t="shared" si="4"/>
        <v>0.17647058823529413</v>
      </c>
      <c r="J80" s="82">
        <f t="shared" si="5"/>
        <v>5.8823529411764705E-2</v>
      </c>
      <c r="K80" s="82"/>
      <c r="L80" s="82"/>
      <c r="M80" s="6"/>
      <c r="N80" s="154"/>
      <c r="O80" s="155"/>
      <c r="P80"/>
      <c r="Q80"/>
      <c r="R80"/>
      <c r="S80"/>
    </row>
    <row r="81" spans="1:19" s="59" customFormat="1" ht="12.75" customHeight="1" x14ac:dyDescent="0.2">
      <c r="A81" s="80" t="s">
        <v>140</v>
      </c>
      <c r="B81" s="93">
        <v>62</v>
      </c>
      <c r="C81" s="93">
        <v>45</v>
      </c>
      <c r="D81" s="93">
        <v>11</v>
      </c>
      <c r="E81" s="93">
        <v>6</v>
      </c>
      <c r="F81" s="93"/>
      <c r="G81" s="82">
        <f>B81/62</f>
        <v>1</v>
      </c>
      <c r="H81" s="82">
        <f t="shared" si="3"/>
        <v>0.72580645161290325</v>
      </c>
      <c r="I81" s="82">
        <f t="shared" si="4"/>
        <v>0.17741935483870969</v>
      </c>
      <c r="J81" s="82">
        <f t="shared" si="5"/>
        <v>9.6774193548387094E-2</v>
      </c>
      <c r="K81" s="82"/>
      <c r="L81" s="82"/>
      <c r="M81" s="6"/>
      <c r="N81" s="154"/>
      <c r="O81" s="155"/>
      <c r="P81"/>
      <c r="Q81"/>
      <c r="R81"/>
      <c r="S81"/>
    </row>
    <row r="82" spans="1:19" ht="12.75" customHeight="1" x14ac:dyDescent="0.2">
      <c r="A82" s="80" t="s">
        <v>141</v>
      </c>
      <c r="B82" s="93">
        <v>67</v>
      </c>
      <c r="C82" s="93">
        <v>51</v>
      </c>
      <c r="D82" s="93">
        <v>12</v>
      </c>
      <c r="E82" s="93">
        <v>4</v>
      </c>
      <c r="F82" s="94"/>
      <c r="G82" s="82">
        <f>B82/67</f>
        <v>1</v>
      </c>
      <c r="H82" s="82">
        <f t="shared" si="3"/>
        <v>0.76119402985074625</v>
      </c>
      <c r="I82" s="82">
        <f t="shared" si="4"/>
        <v>0.17910447761194029</v>
      </c>
      <c r="J82" s="82">
        <f t="shared" si="5"/>
        <v>5.9701492537313432E-2</v>
      </c>
      <c r="K82" s="82"/>
      <c r="L82" s="82"/>
      <c r="M82" s="6"/>
      <c r="N82" s="82"/>
      <c r="O82" s="82"/>
    </row>
    <row r="83" spans="1:19" ht="12.75" customHeight="1" x14ac:dyDescent="0.2">
      <c r="A83" s="80" t="s">
        <v>142</v>
      </c>
      <c r="B83" s="93">
        <v>68</v>
      </c>
      <c r="C83" s="93">
        <v>61</v>
      </c>
      <c r="D83" s="93">
        <v>3</v>
      </c>
      <c r="E83" s="93">
        <v>4</v>
      </c>
      <c r="F83" s="94"/>
      <c r="G83" s="82">
        <f>B83/69</f>
        <v>0.98550724637681164</v>
      </c>
      <c r="H83" s="82">
        <f t="shared" si="3"/>
        <v>0.8970588235294118</v>
      </c>
      <c r="I83" s="82">
        <f t="shared" si="4"/>
        <v>4.4117647058823532E-2</v>
      </c>
      <c r="J83" s="82">
        <f t="shared" si="5"/>
        <v>5.8823529411764705E-2</v>
      </c>
      <c r="K83" s="82"/>
      <c r="L83" s="82"/>
      <c r="M83" s="6"/>
      <c r="N83" s="82"/>
      <c r="O83" s="82"/>
      <c r="S83" s="59"/>
    </row>
    <row r="84" spans="1:19" ht="12.75" customHeight="1" x14ac:dyDescent="0.2">
      <c r="A84" s="80" t="s">
        <v>143</v>
      </c>
      <c r="B84" s="93">
        <v>4</v>
      </c>
      <c r="C84" s="93">
        <v>2</v>
      </c>
      <c r="D84" s="93">
        <v>1</v>
      </c>
      <c r="E84" s="93">
        <v>1</v>
      </c>
      <c r="F84" s="94"/>
      <c r="G84" s="82">
        <f>B84/4</f>
        <v>1</v>
      </c>
      <c r="H84" s="82">
        <f t="shared" si="3"/>
        <v>0.5</v>
      </c>
      <c r="I84" s="82">
        <f t="shared" si="4"/>
        <v>0.25</v>
      </c>
      <c r="J84" s="82">
        <f t="shared" si="5"/>
        <v>0.25</v>
      </c>
      <c r="K84" s="82"/>
      <c r="L84" s="82"/>
      <c r="M84" s="80"/>
      <c r="N84" s="193"/>
      <c r="O84" s="82"/>
      <c r="S84" s="59"/>
    </row>
    <row r="85" spans="1:19" x14ac:dyDescent="0.2">
      <c r="A85" s="80" t="s">
        <v>144</v>
      </c>
      <c r="B85" s="93">
        <v>28</v>
      </c>
      <c r="C85" s="93">
        <v>14</v>
      </c>
      <c r="D85" s="93">
        <v>12</v>
      </c>
      <c r="E85" s="93">
        <v>2</v>
      </c>
      <c r="F85" s="94"/>
      <c r="G85" s="82">
        <f>B85/28</f>
        <v>1</v>
      </c>
      <c r="H85" s="82">
        <f t="shared" si="3"/>
        <v>0.5</v>
      </c>
      <c r="I85" s="82">
        <f t="shared" si="4"/>
        <v>0.42857142857142855</v>
      </c>
      <c r="J85" s="82">
        <f t="shared" si="5"/>
        <v>7.1428571428571425E-2</v>
      </c>
      <c r="K85" s="82"/>
      <c r="L85" s="82"/>
      <c r="M85" s="80"/>
      <c r="N85" s="193"/>
      <c r="O85" s="82"/>
      <c r="S85" s="59"/>
    </row>
    <row r="86" spans="1:19" ht="12.75" customHeight="1" x14ac:dyDescent="0.2">
      <c r="A86" s="80" t="s">
        <v>333</v>
      </c>
      <c r="B86" s="93">
        <v>33</v>
      </c>
      <c r="C86" s="93">
        <v>17</v>
      </c>
      <c r="D86" s="93">
        <v>13</v>
      </c>
      <c r="E86" s="93">
        <v>3</v>
      </c>
      <c r="F86" s="94"/>
      <c r="G86" s="82">
        <f>B86/33</f>
        <v>1</v>
      </c>
      <c r="H86" s="82">
        <f t="shared" si="3"/>
        <v>0.51515151515151514</v>
      </c>
      <c r="I86" s="82">
        <f t="shared" si="4"/>
        <v>0.39393939393939392</v>
      </c>
      <c r="J86" s="82">
        <f t="shared" si="5"/>
        <v>9.0909090909090912E-2</v>
      </c>
      <c r="K86" s="82"/>
      <c r="L86" s="82"/>
      <c r="M86" s="80"/>
      <c r="N86" s="193"/>
      <c r="O86" s="82"/>
      <c r="P86" s="79"/>
      <c r="Q86" s="79"/>
      <c r="R86" s="79"/>
    </row>
    <row r="87" spans="1:19" ht="12.75" customHeight="1" x14ac:dyDescent="0.2">
      <c r="A87" s="80" t="s">
        <v>25</v>
      </c>
      <c r="B87" s="94">
        <v>503</v>
      </c>
      <c r="C87" s="93">
        <v>365</v>
      </c>
      <c r="D87" s="93">
        <v>96</v>
      </c>
      <c r="E87" s="94">
        <v>42</v>
      </c>
      <c r="F87" s="79"/>
      <c r="G87" s="82">
        <f>B87/505</f>
        <v>0.99603960396039604</v>
      </c>
      <c r="H87" s="82">
        <f>C87/B87</f>
        <v>0.72564612326043743</v>
      </c>
      <c r="I87" s="82">
        <f t="shared" si="4"/>
        <v>0.19085487077534791</v>
      </c>
      <c r="J87" s="82">
        <f t="shared" si="5"/>
        <v>8.3499005964214709E-2</v>
      </c>
      <c r="K87" s="82"/>
      <c r="L87" s="82"/>
      <c r="M87" s="80"/>
      <c r="N87" s="193"/>
      <c r="O87" s="82"/>
      <c r="P87" s="79"/>
      <c r="Q87" s="79"/>
      <c r="R87" s="79"/>
    </row>
    <row r="88" spans="1:19" ht="12.75" customHeight="1" x14ac:dyDescent="0.2">
      <c r="A88" s="80"/>
      <c r="B88" s="94"/>
      <c r="C88" s="93"/>
      <c r="D88" s="93"/>
      <c r="E88" s="94"/>
      <c r="F88" s="79"/>
      <c r="G88" s="82"/>
      <c r="H88" s="82"/>
      <c r="I88" s="82"/>
      <c r="J88" s="82"/>
      <c r="K88" s="79"/>
      <c r="L88" s="79"/>
      <c r="M88" s="80"/>
      <c r="N88" s="193"/>
      <c r="O88" s="82"/>
      <c r="P88" s="79"/>
      <c r="Q88" s="79"/>
      <c r="R88" s="79"/>
    </row>
    <row r="89" spans="1:19" ht="12.75" customHeight="1" x14ac:dyDescent="0.2">
      <c r="A89" s="80"/>
      <c r="B89" s="94"/>
      <c r="C89" s="93"/>
      <c r="D89" s="93"/>
      <c r="E89" s="94"/>
      <c r="F89" s="79"/>
      <c r="G89" s="82"/>
      <c r="H89" s="82"/>
      <c r="I89" s="82"/>
      <c r="J89" s="82"/>
      <c r="K89" s="79"/>
      <c r="L89" s="79"/>
      <c r="M89" s="6"/>
      <c r="N89" s="6"/>
      <c r="O89" s="6"/>
    </row>
    <row r="90" spans="1:19" ht="12.75" customHeight="1" x14ac:dyDescent="0.2">
      <c r="A90" s="80"/>
      <c r="B90" s="94"/>
      <c r="C90" s="93"/>
      <c r="D90" s="93"/>
      <c r="E90" s="94"/>
      <c r="F90" s="79"/>
      <c r="G90" s="82"/>
      <c r="H90" s="82"/>
      <c r="I90" s="82"/>
      <c r="J90" s="82"/>
      <c r="K90" s="79"/>
      <c r="L90" s="81"/>
      <c r="M90" s="6"/>
      <c r="N90" s="6"/>
      <c r="O90" s="6"/>
    </row>
    <row r="91" spans="1:19" ht="12.75" customHeight="1" x14ac:dyDescent="0.2">
      <c r="A91" s="80" t="s">
        <v>387</v>
      </c>
      <c r="B91" s="79"/>
      <c r="C91" s="79"/>
      <c r="D91" s="79"/>
      <c r="E91" s="79"/>
      <c r="F91" s="79"/>
      <c r="G91" s="79"/>
      <c r="H91" s="79"/>
      <c r="I91" s="79"/>
      <c r="J91" s="79"/>
      <c r="K91" s="81"/>
      <c r="L91" s="82"/>
      <c r="M91" s="6"/>
      <c r="N91" s="6"/>
      <c r="O91" s="6"/>
    </row>
    <row r="92" spans="1:19" ht="12.75" customHeight="1" x14ac:dyDescent="0.2">
      <c r="A92" s="80" t="s">
        <v>395</v>
      </c>
      <c r="B92" s="79"/>
      <c r="C92" s="79"/>
      <c r="D92" s="79"/>
      <c r="E92" s="79"/>
      <c r="F92" s="79"/>
      <c r="G92" s="79"/>
      <c r="H92" s="79"/>
      <c r="I92" s="79"/>
      <c r="J92" s="79"/>
      <c r="K92" s="82"/>
      <c r="L92" s="82"/>
      <c r="M92" s="6" t="s">
        <v>387</v>
      </c>
      <c r="N92" s="6"/>
      <c r="O92" s="6"/>
    </row>
    <row r="93" spans="1:19" ht="12.75" customHeight="1" x14ac:dyDescent="0.2">
      <c r="A93" s="80" t="s">
        <v>398</v>
      </c>
      <c r="B93" s="79"/>
      <c r="C93" s="79"/>
      <c r="D93" s="79"/>
      <c r="E93" s="79"/>
      <c r="F93" s="79"/>
      <c r="G93" s="79"/>
      <c r="H93" s="79"/>
      <c r="I93" s="79"/>
      <c r="J93" s="79"/>
      <c r="K93" s="82"/>
      <c r="L93" s="82"/>
      <c r="M93" s="6" t="s">
        <v>396</v>
      </c>
      <c r="N93" s="154"/>
      <c r="O93" s="155"/>
    </row>
    <row r="94" spans="1:19" ht="12.75" customHeight="1" x14ac:dyDescent="0.2">
      <c r="A94" s="80"/>
      <c r="B94" s="79" t="s">
        <v>149</v>
      </c>
      <c r="C94" s="79"/>
      <c r="D94" s="79"/>
      <c r="E94" s="79"/>
      <c r="F94" s="93"/>
      <c r="G94" s="79" t="s">
        <v>156</v>
      </c>
      <c r="H94" s="79"/>
      <c r="I94" s="79"/>
      <c r="J94" s="79"/>
      <c r="K94" s="82"/>
      <c r="L94" s="82"/>
      <c r="M94" s="6" t="s">
        <v>272</v>
      </c>
      <c r="N94" s="6"/>
      <c r="O94" s="6"/>
      <c r="P94" s="89"/>
    </row>
    <row r="95" spans="1:19" s="59" customFormat="1" ht="12.75" customHeight="1" x14ac:dyDescent="0.2">
      <c r="A95" s="80" t="s">
        <v>145</v>
      </c>
      <c r="B95" s="81" t="s">
        <v>117</v>
      </c>
      <c r="C95" s="81" t="s">
        <v>118</v>
      </c>
      <c r="D95" s="81" t="s">
        <v>119</v>
      </c>
      <c r="E95" s="81" t="s">
        <v>120</v>
      </c>
      <c r="F95" s="93"/>
      <c r="G95" s="81" t="s">
        <v>117</v>
      </c>
      <c r="H95" s="81" t="s">
        <v>118</v>
      </c>
      <c r="I95" s="81" t="s">
        <v>119</v>
      </c>
      <c r="J95" s="81" t="s">
        <v>120</v>
      </c>
      <c r="K95" s="82"/>
      <c r="L95" s="82"/>
      <c r="M95" s="6" t="s">
        <v>216</v>
      </c>
      <c r="N95" s="83">
        <v>500</v>
      </c>
      <c r="O95" s="156" t="s">
        <v>217</v>
      </c>
      <c r="P95"/>
      <c r="Q95"/>
      <c r="R95"/>
      <c r="S95"/>
    </row>
    <row r="96" spans="1:19" s="59" customFormat="1" ht="12.75" customHeight="1" x14ac:dyDescent="0.2">
      <c r="A96" s="80" t="s">
        <v>135</v>
      </c>
      <c r="B96" s="93">
        <v>34</v>
      </c>
      <c r="C96" s="93">
        <v>20</v>
      </c>
      <c r="D96" s="93">
        <v>12</v>
      </c>
      <c r="E96" s="93">
        <v>2</v>
      </c>
      <c r="F96" s="93"/>
      <c r="G96" s="82">
        <f>B96/34</f>
        <v>1</v>
      </c>
      <c r="H96" s="82">
        <f>C96/B96</f>
        <v>0.58823529411764708</v>
      </c>
      <c r="I96" s="82">
        <f>D96/B96</f>
        <v>0.35294117647058826</v>
      </c>
      <c r="J96" s="82">
        <f>E96/B96</f>
        <v>5.8823529411764705E-2</v>
      </c>
      <c r="K96" s="82"/>
      <c r="L96" s="82"/>
      <c r="M96" s="6" t="s">
        <v>389</v>
      </c>
      <c r="N96" s="154">
        <v>300</v>
      </c>
      <c r="O96" s="155">
        <f>N96/N95</f>
        <v>0.6</v>
      </c>
      <c r="P96"/>
      <c r="Q96"/>
      <c r="R96"/>
      <c r="S96"/>
    </row>
    <row r="97" spans="1:19" s="59" customFormat="1" ht="12.75" customHeight="1" x14ac:dyDescent="0.2">
      <c r="A97" s="80" t="s">
        <v>136</v>
      </c>
      <c r="B97" s="93">
        <v>25</v>
      </c>
      <c r="C97" s="93">
        <v>14</v>
      </c>
      <c r="D97" s="93">
        <v>7</v>
      </c>
      <c r="E97" s="93">
        <v>4</v>
      </c>
      <c r="F97" s="93"/>
      <c r="G97" s="82">
        <f>B97/25</f>
        <v>1</v>
      </c>
      <c r="H97" s="82">
        <f t="shared" ref="H97:H106" si="6">C97/B97</f>
        <v>0.56000000000000005</v>
      </c>
      <c r="I97" s="82">
        <f t="shared" ref="I97:I107" si="7">D97/B97</f>
        <v>0.28000000000000003</v>
      </c>
      <c r="J97" s="82">
        <f t="shared" ref="J97:J107" si="8">E97/B97</f>
        <v>0.16</v>
      </c>
      <c r="K97" s="82"/>
      <c r="L97" s="82"/>
      <c r="M97" s="6" t="s">
        <v>242</v>
      </c>
      <c r="N97" s="154">
        <v>70</v>
      </c>
      <c r="O97" s="155">
        <f>N97/N95</f>
        <v>0.14000000000000001</v>
      </c>
      <c r="P97"/>
      <c r="Q97"/>
      <c r="R97"/>
      <c r="S97"/>
    </row>
    <row r="98" spans="1:19" s="59" customFormat="1" ht="12.75" customHeight="1" x14ac:dyDescent="0.2">
      <c r="A98" s="80" t="s">
        <v>137</v>
      </c>
      <c r="B98" s="93">
        <v>66</v>
      </c>
      <c r="C98" s="93">
        <v>46</v>
      </c>
      <c r="D98" s="93">
        <v>14</v>
      </c>
      <c r="E98" s="93">
        <v>6</v>
      </c>
      <c r="F98" s="93"/>
      <c r="G98" s="82">
        <f>B98/67</f>
        <v>0.9850746268656716</v>
      </c>
      <c r="H98" s="82">
        <f t="shared" si="6"/>
        <v>0.69696969696969702</v>
      </c>
      <c r="I98" s="82">
        <f t="shared" si="7"/>
        <v>0.21212121212121213</v>
      </c>
      <c r="J98" s="82">
        <f t="shared" si="8"/>
        <v>9.0909090909090912E-2</v>
      </c>
      <c r="K98" s="82"/>
      <c r="L98" s="82"/>
      <c r="M98" s="6" t="s">
        <v>388</v>
      </c>
      <c r="N98" s="154">
        <v>195</v>
      </c>
      <c r="O98" s="155">
        <f>N98/N95</f>
        <v>0.39</v>
      </c>
      <c r="P98"/>
      <c r="Q98"/>
      <c r="R98"/>
      <c r="S98"/>
    </row>
    <row r="99" spans="1:19" ht="12.75" customHeight="1" x14ac:dyDescent="0.2">
      <c r="A99" s="80" t="s">
        <v>138</v>
      </c>
      <c r="B99" s="93">
        <v>84</v>
      </c>
      <c r="C99" s="93">
        <v>56</v>
      </c>
      <c r="D99" s="93">
        <v>21</v>
      </c>
      <c r="E99" s="93">
        <v>7</v>
      </c>
      <c r="F99" s="93"/>
      <c r="G99" s="82">
        <f>B99/85</f>
        <v>0.9882352941176471</v>
      </c>
      <c r="H99" s="82">
        <f t="shared" si="6"/>
        <v>0.66666666666666663</v>
      </c>
      <c r="I99" s="82">
        <f t="shared" si="7"/>
        <v>0.25</v>
      </c>
      <c r="J99" s="82">
        <f t="shared" si="8"/>
        <v>8.3333333333333329E-2</v>
      </c>
      <c r="K99" s="82"/>
      <c r="L99" s="82"/>
      <c r="M99" s="6" t="s">
        <v>243</v>
      </c>
      <c r="N99" s="154">
        <v>50</v>
      </c>
      <c r="O99" s="155">
        <f>N99/N95</f>
        <v>0.1</v>
      </c>
    </row>
    <row r="100" spans="1:19" ht="12.75" customHeight="1" x14ac:dyDescent="0.2">
      <c r="A100" s="80" t="s">
        <v>139</v>
      </c>
      <c r="B100" s="93">
        <v>36</v>
      </c>
      <c r="C100" s="93">
        <v>23</v>
      </c>
      <c r="D100" s="93">
        <v>8</v>
      </c>
      <c r="E100" s="93">
        <v>5</v>
      </c>
      <c r="F100" s="93"/>
      <c r="G100" s="82">
        <f>B100/36</f>
        <v>1</v>
      </c>
      <c r="H100" s="82">
        <f t="shared" si="6"/>
        <v>0.63888888888888884</v>
      </c>
      <c r="I100" s="82">
        <f t="shared" si="7"/>
        <v>0.22222222222222221</v>
      </c>
      <c r="J100" s="82">
        <f t="shared" si="8"/>
        <v>0.1388888888888889</v>
      </c>
      <c r="K100" s="82"/>
      <c r="L100" s="82"/>
      <c r="M100" s="6"/>
      <c r="N100" s="154"/>
      <c r="O100" s="155"/>
      <c r="S100" s="59"/>
    </row>
    <row r="101" spans="1:19" ht="12.75" customHeight="1" x14ac:dyDescent="0.2">
      <c r="A101" s="80" t="s">
        <v>140</v>
      </c>
      <c r="B101" s="93">
        <v>61</v>
      </c>
      <c r="C101" s="93">
        <v>50</v>
      </c>
      <c r="D101" s="93">
        <v>6</v>
      </c>
      <c r="E101" s="93">
        <v>5</v>
      </c>
      <c r="F101" s="93"/>
      <c r="G101" s="82">
        <f>B101/61</f>
        <v>1</v>
      </c>
      <c r="H101" s="82">
        <f t="shared" si="6"/>
        <v>0.81967213114754101</v>
      </c>
      <c r="I101" s="82">
        <f t="shared" si="7"/>
        <v>9.8360655737704916E-2</v>
      </c>
      <c r="J101" s="82">
        <f t="shared" si="8"/>
        <v>8.1967213114754092E-2</v>
      </c>
      <c r="K101" s="82"/>
      <c r="L101" s="82"/>
      <c r="M101" s="6"/>
      <c r="N101" s="154"/>
      <c r="O101" s="155"/>
      <c r="S101" s="59"/>
    </row>
    <row r="102" spans="1:19" ht="12.75" customHeight="1" x14ac:dyDescent="0.2">
      <c r="A102" s="80" t="s">
        <v>141</v>
      </c>
      <c r="B102" s="93">
        <v>66</v>
      </c>
      <c r="C102" s="93">
        <v>49</v>
      </c>
      <c r="D102" s="93">
        <v>11</v>
      </c>
      <c r="E102" s="93">
        <v>6</v>
      </c>
      <c r="F102" s="94"/>
      <c r="G102" s="82">
        <f>B102/66</f>
        <v>1</v>
      </c>
      <c r="H102" s="82">
        <f t="shared" si="6"/>
        <v>0.74242424242424243</v>
      </c>
      <c r="I102" s="82">
        <f t="shared" si="7"/>
        <v>0.16666666666666666</v>
      </c>
      <c r="J102" s="82">
        <f t="shared" si="8"/>
        <v>9.0909090909090912E-2</v>
      </c>
      <c r="K102" s="82"/>
      <c r="L102" s="82"/>
      <c r="M102" s="6"/>
      <c r="N102" s="82"/>
      <c r="O102" s="82"/>
      <c r="S102" s="59"/>
    </row>
    <row r="103" spans="1:19" ht="12.75" customHeight="1" x14ac:dyDescent="0.2">
      <c r="A103" s="80" t="s">
        <v>142</v>
      </c>
      <c r="B103" s="93">
        <v>68</v>
      </c>
      <c r="C103" s="93">
        <v>58</v>
      </c>
      <c r="D103" s="93">
        <v>4</v>
      </c>
      <c r="E103" s="93">
        <v>6</v>
      </c>
      <c r="F103" s="94"/>
      <c r="G103" s="82">
        <f>B103/68</f>
        <v>1</v>
      </c>
      <c r="H103" s="82">
        <f t="shared" si="6"/>
        <v>0.8529411764705882</v>
      </c>
      <c r="I103" s="82">
        <f t="shared" si="7"/>
        <v>5.8823529411764705E-2</v>
      </c>
      <c r="J103" s="82">
        <f t="shared" si="8"/>
        <v>8.8235294117647065E-2</v>
      </c>
      <c r="K103" s="82"/>
      <c r="L103" s="82"/>
      <c r="M103" s="6"/>
      <c r="N103" s="82"/>
      <c r="O103" s="82"/>
      <c r="S103" s="59"/>
    </row>
    <row r="104" spans="1:19" ht="12.75" customHeight="1" x14ac:dyDescent="0.2">
      <c r="A104" s="80" t="s">
        <v>143</v>
      </c>
      <c r="B104" s="93">
        <v>4</v>
      </c>
      <c r="C104" s="93">
        <v>2</v>
      </c>
      <c r="D104" s="93">
        <v>1</v>
      </c>
      <c r="E104" s="93">
        <v>1</v>
      </c>
      <c r="F104" s="94"/>
      <c r="G104" s="82">
        <f>B104/4</f>
        <v>1</v>
      </c>
      <c r="H104" s="82">
        <f t="shared" si="6"/>
        <v>0.5</v>
      </c>
      <c r="I104" s="82">
        <f t="shared" si="7"/>
        <v>0.25</v>
      </c>
      <c r="J104" s="82">
        <f t="shared" si="8"/>
        <v>0.25</v>
      </c>
      <c r="K104" s="82"/>
      <c r="L104" s="82"/>
      <c r="M104" s="80"/>
      <c r="N104" s="193"/>
      <c r="O104" s="82"/>
      <c r="S104" s="59"/>
    </row>
    <row r="105" spans="1:19" x14ac:dyDescent="0.2">
      <c r="A105" s="80" t="s">
        <v>144</v>
      </c>
      <c r="B105" s="93">
        <v>28</v>
      </c>
      <c r="C105" s="93">
        <v>20</v>
      </c>
      <c r="D105" s="93">
        <v>5</v>
      </c>
      <c r="E105" s="93">
        <v>3</v>
      </c>
      <c r="F105" s="94"/>
      <c r="G105" s="82">
        <f>B105/28</f>
        <v>1</v>
      </c>
      <c r="H105" s="82">
        <f t="shared" si="6"/>
        <v>0.7142857142857143</v>
      </c>
      <c r="I105" s="82">
        <f t="shared" si="7"/>
        <v>0.17857142857142858</v>
      </c>
      <c r="J105" s="82">
        <f t="shared" si="8"/>
        <v>0.10714285714285714</v>
      </c>
      <c r="K105" s="82"/>
      <c r="L105" s="82"/>
      <c r="M105" s="80"/>
      <c r="N105" s="193"/>
      <c r="O105" s="82"/>
      <c r="S105" s="59"/>
    </row>
    <row r="106" spans="1:19" ht="12.75" customHeight="1" x14ac:dyDescent="0.25">
      <c r="A106" s="80" t="s">
        <v>333</v>
      </c>
      <c r="B106" s="93">
        <v>31</v>
      </c>
      <c r="C106" s="93">
        <v>15</v>
      </c>
      <c r="D106" s="93">
        <v>12</v>
      </c>
      <c r="E106" s="93">
        <v>4</v>
      </c>
      <c r="F106" s="94"/>
      <c r="G106" s="82">
        <f>B106/31</f>
        <v>1</v>
      </c>
      <c r="H106" s="82">
        <f t="shared" si="6"/>
        <v>0.4838709677419355</v>
      </c>
      <c r="I106" s="82">
        <f t="shared" si="7"/>
        <v>0.38709677419354838</v>
      </c>
      <c r="J106" s="82">
        <f t="shared" si="8"/>
        <v>0.12903225806451613</v>
      </c>
      <c r="K106" s="79"/>
      <c r="L106" s="79"/>
      <c r="M106" s="6"/>
      <c r="N106" s="6"/>
      <c r="O106" s="125"/>
      <c r="P106" s="79"/>
      <c r="Q106" s="79"/>
      <c r="R106" s="79"/>
    </row>
    <row r="107" spans="1:19" ht="12.75" customHeight="1" x14ac:dyDescent="0.25">
      <c r="A107" s="80" t="s">
        <v>25</v>
      </c>
      <c r="B107" s="94">
        <v>503</v>
      </c>
      <c r="C107" s="93">
        <v>353</v>
      </c>
      <c r="D107" s="93">
        <v>101</v>
      </c>
      <c r="E107" s="94">
        <v>49</v>
      </c>
      <c r="F107" s="79"/>
      <c r="G107" s="82">
        <f>B107/505</f>
        <v>0.99603960396039604</v>
      </c>
      <c r="H107" s="82">
        <f>C107/B107</f>
        <v>0.70178926441351885</v>
      </c>
      <c r="I107" s="82">
        <f t="shared" si="7"/>
        <v>0.20079522862823063</v>
      </c>
      <c r="J107" s="82">
        <f t="shared" si="8"/>
        <v>9.7415506958250492E-2</v>
      </c>
      <c r="K107" s="79"/>
      <c r="L107" s="79"/>
      <c r="M107" s="6"/>
      <c r="N107" s="6"/>
      <c r="O107" s="125"/>
      <c r="P107" s="79"/>
      <c r="Q107" s="79"/>
      <c r="R107" s="79"/>
    </row>
    <row r="108" spans="1:19" ht="12.75" customHeight="1" x14ac:dyDescent="0.2">
      <c r="A108" s="80"/>
      <c r="B108" s="94"/>
      <c r="C108" s="94"/>
      <c r="D108" s="94"/>
      <c r="E108" s="94"/>
      <c r="F108" s="79"/>
      <c r="G108" s="82"/>
      <c r="H108" s="82"/>
      <c r="I108" s="82"/>
      <c r="J108" s="82"/>
      <c r="K108" s="79"/>
      <c r="L108" s="79"/>
      <c r="M108" s="6"/>
      <c r="N108" s="6"/>
      <c r="O108" s="6"/>
      <c r="P108" s="79"/>
      <c r="Q108" s="79"/>
      <c r="R108" s="79"/>
    </row>
    <row r="109" spans="1:19" ht="12.75" customHeight="1" x14ac:dyDescent="0.2">
      <c r="A109" s="80"/>
      <c r="B109" s="94"/>
      <c r="C109" s="94"/>
      <c r="D109" s="94"/>
      <c r="E109" s="94"/>
      <c r="F109" s="79"/>
      <c r="G109" s="82"/>
      <c r="H109" s="82"/>
      <c r="I109" s="82"/>
      <c r="J109" s="82"/>
      <c r="K109" s="79"/>
      <c r="L109" s="81"/>
      <c r="M109" s="6"/>
      <c r="N109" s="6"/>
      <c r="O109" s="6"/>
      <c r="P109" s="79"/>
      <c r="Q109" s="79"/>
      <c r="R109" s="79"/>
    </row>
    <row r="110" spans="1:19" ht="12.75" customHeight="1" x14ac:dyDescent="0.2">
      <c r="A110" s="80"/>
      <c r="B110" s="94"/>
      <c r="C110" s="94"/>
      <c r="D110" s="94"/>
      <c r="E110" s="94"/>
      <c r="F110" s="79"/>
      <c r="G110" s="82"/>
      <c r="H110" s="82"/>
      <c r="I110" s="82"/>
      <c r="J110" s="82"/>
      <c r="K110" s="81"/>
      <c r="L110" s="82"/>
      <c r="M110" s="6"/>
      <c r="N110" s="6"/>
      <c r="O110" s="6"/>
    </row>
    <row r="111" spans="1:19" ht="12.75" customHeight="1" x14ac:dyDescent="0.2">
      <c r="A111" s="80" t="s">
        <v>383</v>
      </c>
      <c r="B111" s="79"/>
      <c r="C111" s="79"/>
      <c r="D111" s="79"/>
      <c r="E111" s="79"/>
      <c r="F111" s="79"/>
      <c r="G111" s="79"/>
      <c r="H111" s="79"/>
      <c r="I111" s="79"/>
      <c r="J111" s="79"/>
      <c r="K111" s="82"/>
      <c r="L111" s="82"/>
      <c r="M111" s="6" t="s">
        <v>378</v>
      </c>
      <c r="N111" s="6"/>
      <c r="O111" s="6"/>
    </row>
    <row r="112" spans="1:19" ht="12.75" customHeight="1" x14ac:dyDescent="0.2">
      <c r="A112" s="80" t="s">
        <v>384</v>
      </c>
      <c r="B112" s="79"/>
      <c r="C112" s="79"/>
      <c r="D112" s="79"/>
      <c r="E112" s="79"/>
      <c r="F112" s="79"/>
      <c r="G112" s="79"/>
      <c r="H112" s="79"/>
      <c r="I112" s="79"/>
      <c r="J112" s="79"/>
      <c r="K112" s="82"/>
      <c r="L112" s="82"/>
      <c r="M112" s="6" t="s">
        <v>379</v>
      </c>
      <c r="N112" s="154"/>
      <c r="O112" s="155"/>
      <c r="P112" s="89"/>
    </row>
    <row r="113" spans="1:19" ht="12.75" customHeight="1" x14ac:dyDescent="0.2">
      <c r="A113" s="80" t="s">
        <v>392</v>
      </c>
      <c r="B113" s="79"/>
      <c r="C113" s="79"/>
      <c r="D113" s="79"/>
      <c r="E113" s="79"/>
      <c r="F113" s="79"/>
      <c r="G113" s="79"/>
      <c r="H113" s="79"/>
      <c r="I113" s="79"/>
      <c r="J113" s="79"/>
      <c r="K113" s="82"/>
      <c r="L113" s="82"/>
      <c r="M113" s="6" t="s">
        <v>272</v>
      </c>
      <c r="N113" s="6"/>
      <c r="O113" s="6"/>
    </row>
    <row r="114" spans="1:19" ht="12.75" customHeight="1" x14ac:dyDescent="0.2">
      <c r="A114" s="80"/>
      <c r="B114" s="79" t="s">
        <v>149</v>
      </c>
      <c r="C114" s="79"/>
      <c r="D114" s="79"/>
      <c r="E114" s="79"/>
      <c r="F114" s="93"/>
      <c r="G114" s="79" t="s">
        <v>156</v>
      </c>
      <c r="H114" s="79"/>
      <c r="I114" s="79"/>
      <c r="J114" s="79"/>
      <c r="K114" s="82"/>
      <c r="L114" s="82"/>
      <c r="M114" s="6" t="s">
        <v>216</v>
      </c>
      <c r="N114" s="83">
        <v>500</v>
      </c>
      <c r="O114" s="156" t="s">
        <v>217</v>
      </c>
    </row>
    <row r="115" spans="1:19" ht="12.75" customHeight="1" x14ac:dyDescent="0.2">
      <c r="A115" s="80" t="s">
        <v>145</v>
      </c>
      <c r="B115" s="81" t="s">
        <v>117</v>
      </c>
      <c r="C115" s="81" t="s">
        <v>118</v>
      </c>
      <c r="D115" s="81" t="s">
        <v>119</v>
      </c>
      <c r="E115" s="81" t="s">
        <v>120</v>
      </c>
      <c r="F115" s="93"/>
      <c r="G115" s="81" t="s">
        <v>117</v>
      </c>
      <c r="H115" s="81" t="s">
        <v>118</v>
      </c>
      <c r="I115" s="81" t="s">
        <v>119</v>
      </c>
      <c r="J115" s="81" t="s">
        <v>120</v>
      </c>
      <c r="K115" s="82"/>
      <c r="L115" s="82"/>
      <c r="M115" s="6" t="s">
        <v>390</v>
      </c>
      <c r="N115" s="154">
        <v>288</v>
      </c>
      <c r="O115" s="155">
        <v>0.57599999999999996</v>
      </c>
    </row>
    <row r="116" spans="1:19" s="89" customFormat="1" ht="12.75" customHeight="1" x14ac:dyDescent="0.2">
      <c r="A116" s="80" t="s">
        <v>135</v>
      </c>
      <c r="B116" s="93">
        <v>35</v>
      </c>
      <c r="C116" s="93">
        <v>21</v>
      </c>
      <c r="D116" s="93">
        <v>11</v>
      </c>
      <c r="E116" s="93">
        <v>3</v>
      </c>
      <c r="F116" s="93"/>
      <c r="G116" s="82">
        <v>1</v>
      </c>
      <c r="H116" s="82">
        <v>0.6</v>
      </c>
      <c r="I116" s="82">
        <v>0.31428571428571428</v>
      </c>
      <c r="J116" s="82">
        <v>8.5714285714285715E-2</v>
      </c>
      <c r="K116" s="82"/>
      <c r="L116" s="82"/>
      <c r="M116" s="6" t="s">
        <v>242</v>
      </c>
      <c r="N116" s="154">
        <v>74</v>
      </c>
      <c r="O116" s="155">
        <v>0.14799999999999999</v>
      </c>
      <c r="P116"/>
      <c r="Q116"/>
      <c r="R116"/>
      <c r="S116"/>
    </row>
    <row r="117" spans="1:19" s="89" customFormat="1" ht="12.75" customHeight="1" x14ac:dyDescent="0.2">
      <c r="A117" s="80" t="s">
        <v>136</v>
      </c>
      <c r="B117" s="93">
        <v>25</v>
      </c>
      <c r="C117" s="93">
        <v>19</v>
      </c>
      <c r="D117" s="93">
        <v>3</v>
      </c>
      <c r="E117" s="93">
        <v>3</v>
      </c>
      <c r="F117" s="93"/>
      <c r="G117" s="82">
        <v>1</v>
      </c>
      <c r="H117" s="82">
        <v>0.76</v>
      </c>
      <c r="I117" s="82">
        <v>0.12</v>
      </c>
      <c r="J117" s="82">
        <v>0.12</v>
      </c>
      <c r="K117" s="82"/>
      <c r="L117" s="82"/>
      <c r="M117" s="6" t="s">
        <v>380</v>
      </c>
      <c r="N117" s="154">
        <v>206</v>
      </c>
      <c r="O117" s="155">
        <v>0.41199999999999998</v>
      </c>
      <c r="P117"/>
      <c r="Q117"/>
      <c r="R117"/>
      <c r="S117"/>
    </row>
    <row r="118" spans="1:19" s="89" customFormat="1" ht="12.75" customHeight="1" x14ac:dyDescent="0.2">
      <c r="A118" s="80" t="s">
        <v>137</v>
      </c>
      <c r="B118" s="93">
        <v>68</v>
      </c>
      <c r="C118" s="93">
        <v>52</v>
      </c>
      <c r="D118" s="93">
        <v>11</v>
      </c>
      <c r="E118" s="93">
        <v>5</v>
      </c>
      <c r="F118" s="93"/>
      <c r="G118" s="82">
        <v>1</v>
      </c>
      <c r="H118" s="82">
        <v>0.76470588235294112</v>
      </c>
      <c r="I118" s="82">
        <v>0.16176470588235295</v>
      </c>
      <c r="J118" s="82">
        <v>7.3529411764705885E-2</v>
      </c>
      <c r="K118" s="82"/>
      <c r="L118" s="82"/>
      <c r="M118" s="6" t="s">
        <v>243</v>
      </c>
      <c r="N118" s="154">
        <v>60</v>
      </c>
      <c r="O118" s="155">
        <v>0.12</v>
      </c>
      <c r="P118"/>
      <c r="Q118"/>
      <c r="R118"/>
      <c r="S118"/>
    </row>
    <row r="119" spans="1:19" s="89" customFormat="1" ht="12.75" customHeight="1" x14ac:dyDescent="0.2">
      <c r="A119" s="80" t="s">
        <v>138</v>
      </c>
      <c r="B119" s="93">
        <v>83</v>
      </c>
      <c r="C119" s="93">
        <v>60</v>
      </c>
      <c r="D119" s="93">
        <v>17</v>
      </c>
      <c r="E119" s="93">
        <v>6</v>
      </c>
      <c r="F119" s="93"/>
      <c r="G119" s="82">
        <v>0.97647058823529409</v>
      </c>
      <c r="H119" s="82">
        <v>0.72289156626506024</v>
      </c>
      <c r="I119" s="82">
        <v>0.20481927710843373</v>
      </c>
      <c r="J119" s="82">
        <v>7.2289156626506021E-2</v>
      </c>
      <c r="K119" s="82"/>
      <c r="L119" s="82"/>
      <c r="M119" s="6"/>
      <c r="N119" s="154"/>
      <c r="O119" s="155"/>
      <c r="P119"/>
      <c r="Q119"/>
      <c r="R119"/>
      <c r="S119"/>
    </row>
    <row r="120" spans="1:19" ht="12.75" customHeight="1" x14ac:dyDescent="0.2">
      <c r="A120" s="80" t="s">
        <v>139</v>
      </c>
      <c r="B120" s="93">
        <v>37</v>
      </c>
      <c r="C120" s="93">
        <v>21</v>
      </c>
      <c r="D120" s="93">
        <v>14</v>
      </c>
      <c r="E120" s="93">
        <v>2</v>
      </c>
      <c r="F120" s="93"/>
      <c r="G120" s="82">
        <v>1</v>
      </c>
      <c r="H120" s="82">
        <v>0.56756756756756754</v>
      </c>
      <c r="I120" s="82">
        <v>0.3783783783783784</v>
      </c>
      <c r="J120" s="82">
        <v>5.4054054054054057E-2</v>
      </c>
      <c r="K120" s="82"/>
      <c r="L120" s="82"/>
      <c r="M120" s="6"/>
      <c r="N120" s="154"/>
      <c r="O120" s="155"/>
    </row>
    <row r="121" spans="1:19" ht="12.75" customHeight="1" x14ac:dyDescent="0.2">
      <c r="A121" s="80" t="s">
        <v>140</v>
      </c>
      <c r="B121" s="93">
        <v>60</v>
      </c>
      <c r="C121" s="93">
        <v>51</v>
      </c>
      <c r="D121" s="93">
        <v>6</v>
      </c>
      <c r="E121" s="93">
        <v>3</v>
      </c>
      <c r="F121" s="93"/>
      <c r="G121" s="82">
        <v>1</v>
      </c>
      <c r="H121" s="82">
        <v>0.85</v>
      </c>
      <c r="I121" s="82">
        <v>0.1</v>
      </c>
      <c r="J121" s="82">
        <v>0.05</v>
      </c>
      <c r="K121" s="82"/>
      <c r="L121" s="82"/>
      <c r="M121" s="6"/>
      <c r="N121" s="82"/>
      <c r="O121" s="82"/>
      <c r="S121" s="89"/>
    </row>
    <row r="122" spans="1:19" ht="12.75" customHeight="1" x14ac:dyDescent="0.2">
      <c r="A122" s="80" t="s">
        <v>141</v>
      </c>
      <c r="B122" s="93">
        <v>65</v>
      </c>
      <c r="C122" s="93">
        <v>54</v>
      </c>
      <c r="D122" s="93">
        <v>9</v>
      </c>
      <c r="E122" s="93">
        <v>2</v>
      </c>
      <c r="F122" s="94"/>
      <c r="G122" s="82">
        <v>1</v>
      </c>
      <c r="H122" s="82">
        <v>0.83076923076923082</v>
      </c>
      <c r="I122" s="82">
        <v>0.13846153846153847</v>
      </c>
      <c r="J122" s="82">
        <v>3.0769230769230771E-2</v>
      </c>
      <c r="K122" s="82"/>
      <c r="L122" s="82"/>
      <c r="M122" s="6"/>
      <c r="N122" s="82"/>
      <c r="O122" s="82"/>
      <c r="S122" s="89"/>
    </row>
    <row r="123" spans="1:19" ht="12.75" customHeight="1" x14ac:dyDescent="0.2">
      <c r="A123" s="80" t="s">
        <v>142</v>
      </c>
      <c r="B123" s="93">
        <v>67</v>
      </c>
      <c r="C123" s="93">
        <v>58</v>
      </c>
      <c r="D123" s="93">
        <v>3</v>
      </c>
      <c r="E123" s="93">
        <v>6</v>
      </c>
      <c r="F123" s="94"/>
      <c r="G123" s="82">
        <v>1</v>
      </c>
      <c r="H123" s="82">
        <v>0.86567164179104472</v>
      </c>
      <c r="I123" s="82">
        <v>4.4776119402985072E-2</v>
      </c>
      <c r="J123" s="82">
        <v>8.9552238805970144E-2</v>
      </c>
      <c r="K123" s="82"/>
      <c r="L123" s="82"/>
      <c r="M123" s="80"/>
      <c r="N123" s="193"/>
      <c r="O123" s="82"/>
      <c r="S123" s="89"/>
    </row>
    <row r="124" spans="1:19" ht="12.75" customHeight="1" x14ac:dyDescent="0.2">
      <c r="A124" s="80" t="s">
        <v>143</v>
      </c>
      <c r="B124" s="93">
        <v>4</v>
      </c>
      <c r="C124" s="93">
        <v>0</v>
      </c>
      <c r="D124" s="93">
        <v>2</v>
      </c>
      <c r="E124" s="93">
        <v>2</v>
      </c>
      <c r="F124" s="94"/>
      <c r="G124" s="82">
        <v>1</v>
      </c>
      <c r="H124" s="82">
        <v>0</v>
      </c>
      <c r="I124" s="82">
        <v>0.5</v>
      </c>
      <c r="J124" s="82">
        <v>0.5</v>
      </c>
      <c r="K124" s="82"/>
      <c r="L124" s="82"/>
      <c r="M124" s="80"/>
      <c r="N124" s="193"/>
      <c r="O124" s="82"/>
      <c r="P124" s="79"/>
      <c r="S124" s="89"/>
    </row>
    <row r="125" spans="1:19" ht="12.75" customHeight="1" x14ac:dyDescent="0.2">
      <c r="A125" s="80" t="s">
        <v>144</v>
      </c>
      <c r="B125" s="93">
        <v>28</v>
      </c>
      <c r="C125" s="93">
        <v>21</v>
      </c>
      <c r="D125" s="93">
        <v>4</v>
      </c>
      <c r="E125" s="93">
        <v>3</v>
      </c>
      <c r="F125" s="94"/>
      <c r="G125" s="82">
        <v>1</v>
      </c>
      <c r="H125" s="82">
        <v>0.75</v>
      </c>
      <c r="I125" s="82">
        <v>0.14285714285714285</v>
      </c>
      <c r="J125" s="82">
        <v>0.10714285714285714</v>
      </c>
      <c r="K125" s="79"/>
      <c r="L125" s="79"/>
      <c r="M125" s="80"/>
      <c r="N125" s="193"/>
      <c r="O125" s="82"/>
      <c r="P125" s="79"/>
      <c r="S125" s="89"/>
    </row>
    <row r="126" spans="1:19" x14ac:dyDescent="0.2">
      <c r="A126" s="80" t="s">
        <v>333</v>
      </c>
      <c r="B126" s="93">
        <v>31</v>
      </c>
      <c r="C126" s="93">
        <v>15</v>
      </c>
      <c r="D126" s="93">
        <v>15</v>
      </c>
      <c r="E126" s="93">
        <v>1</v>
      </c>
      <c r="F126" s="94"/>
      <c r="G126" s="82">
        <v>1</v>
      </c>
      <c r="H126" s="82">
        <v>0.4838709677419355</v>
      </c>
      <c r="I126" s="82">
        <v>0.4838709677419355</v>
      </c>
      <c r="J126" s="82">
        <v>3.2258064516129031E-2</v>
      </c>
      <c r="K126" s="79"/>
      <c r="L126" s="79"/>
      <c r="M126" s="80"/>
      <c r="N126" s="193"/>
      <c r="O126" s="82"/>
      <c r="P126" s="79"/>
      <c r="S126" s="59"/>
    </row>
    <row r="127" spans="1:19" ht="12.75" customHeight="1" x14ac:dyDescent="0.2">
      <c r="A127" s="80" t="s">
        <v>25</v>
      </c>
      <c r="B127" s="94">
        <v>503</v>
      </c>
      <c r="C127" s="93">
        <v>372</v>
      </c>
      <c r="D127" s="93">
        <v>95</v>
      </c>
      <c r="E127" s="94">
        <v>36</v>
      </c>
      <c r="F127" s="79"/>
      <c r="G127" s="82">
        <v>0.99603960396039604</v>
      </c>
      <c r="H127" s="82">
        <v>0.73956262425447317</v>
      </c>
      <c r="I127" s="82">
        <v>0.18886679920477137</v>
      </c>
      <c r="J127" s="82">
        <v>7.1570576540755465E-2</v>
      </c>
      <c r="K127" s="79"/>
      <c r="L127" s="79"/>
      <c r="M127" s="6"/>
      <c r="N127" s="6"/>
      <c r="O127" s="6"/>
      <c r="P127" s="79"/>
      <c r="Q127" s="79"/>
      <c r="R127" s="79"/>
    </row>
    <row r="128" spans="1:19" ht="12.75" customHeight="1" x14ac:dyDescent="0.2">
      <c r="A128" s="80"/>
      <c r="B128" s="94"/>
      <c r="C128" s="93"/>
      <c r="D128" s="93"/>
      <c r="E128" s="94"/>
      <c r="F128" s="79"/>
      <c r="G128" s="82"/>
      <c r="H128" s="82"/>
      <c r="I128" s="82"/>
      <c r="J128" s="82"/>
      <c r="K128" s="79"/>
      <c r="L128" s="81"/>
      <c r="M128" s="6"/>
      <c r="N128" s="6"/>
      <c r="O128" s="6"/>
      <c r="Q128" s="79"/>
      <c r="R128" s="79"/>
    </row>
    <row r="129" spans="1:19" ht="12.75" customHeight="1" x14ac:dyDescent="0.2">
      <c r="A129" s="80"/>
      <c r="B129" s="94"/>
      <c r="C129" s="93"/>
      <c r="D129" s="93"/>
      <c r="E129" s="94"/>
      <c r="F129" s="79"/>
      <c r="G129" s="82"/>
      <c r="H129" s="82"/>
      <c r="I129" s="82"/>
      <c r="J129" s="82"/>
      <c r="K129" s="81"/>
      <c r="L129" s="82"/>
      <c r="M129" s="6"/>
      <c r="N129" s="6"/>
      <c r="O129" s="6"/>
      <c r="Q129" s="79"/>
      <c r="R129" s="79"/>
    </row>
    <row r="130" spans="1:19" ht="12.75" customHeight="1" x14ac:dyDescent="0.2">
      <c r="A130" s="80"/>
      <c r="B130" s="94"/>
      <c r="C130" s="94"/>
      <c r="D130" s="94"/>
      <c r="E130" s="94"/>
      <c r="F130" s="79"/>
      <c r="G130" s="82"/>
      <c r="H130" s="82"/>
      <c r="I130" s="82"/>
      <c r="J130" s="82"/>
      <c r="K130" s="82"/>
      <c r="L130" s="82"/>
      <c r="M130" s="6" t="s">
        <v>306</v>
      </c>
      <c r="N130" s="6"/>
      <c r="O130" s="6"/>
      <c r="Q130" s="79"/>
      <c r="R130" s="79"/>
    </row>
    <row r="131" spans="1:19" ht="12.75" customHeight="1" x14ac:dyDescent="0.2">
      <c r="A131" s="80" t="s">
        <v>364</v>
      </c>
      <c r="B131" s="79"/>
      <c r="C131" s="79"/>
      <c r="D131" s="79"/>
      <c r="E131" s="79"/>
      <c r="F131" s="79"/>
      <c r="G131" s="79"/>
      <c r="H131" s="79"/>
      <c r="I131" s="79"/>
      <c r="J131" s="79"/>
      <c r="K131" s="82"/>
      <c r="L131" s="82"/>
      <c r="M131" s="6" t="s">
        <v>363</v>
      </c>
      <c r="N131" s="154"/>
      <c r="O131" s="155"/>
    </row>
    <row r="132" spans="1:19" ht="12.75" customHeight="1" x14ac:dyDescent="0.2">
      <c r="A132" s="80" t="s">
        <v>377</v>
      </c>
      <c r="B132" s="79"/>
      <c r="C132" s="79"/>
      <c r="D132" s="79"/>
      <c r="E132" s="79"/>
      <c r="F132" s="79"/>
      <c r="G132" s="79"/>
      <c r="H132" s="79"/>
      <c r="I132" s="79"/>
      <c r="J132" s="79"/>
      <c r="K132" s="82"/>
      <c r="L132" s="82"/>
      <c r="M132" s="6" t="s">
        <v>272</v>
      </c>
      <c r="N132" s="6"/>
      <c r="O132" s="6"/>
    </row>
    <row r="133" spans="1:19" ht="12.75" customHeight="1" x14ac:dyDescent="0.2">
      <c r="A133" s="80" t="s">
        <v>393</v>
      </c>
      <c r="B133" s="79"/>
      <c r="C133" s="79"/>
      <c r="D133" s="79"/>
      <c r="E133" s="79"/>
      <c r="F133" s="79"/>
      <c r="G133" s="79"/>
      <c r="H133" s="79"/>
      <c r="I133" s="79"/>
      <c r="J133" s="79"/>
      <c r="K133" s="82"/>
      <c r="L133" s="82"/>
      <c r="M133" s="6" t="s">
        <v>216</v>
      </c>
      <c r="N133" s="83">
        <v>496</v>
      </c>
      <c r="O133" s="156" t="s">
        <v>217</v>
      </c>
      <c r="P133" s="89"/>
    </row>
    <row r="134" spans="1:19" ht="12.75" customHeight="1" x14ac:dyDescent="0.2">
      <c r="A134" s="80" t="s">
        <v>368</v>
      </c>
      <c r="B134" s="79" t="s">
        <v>149</v>
      </c>
      <c r="C134" s="79"/>
      <c r="D134" s="79"/>
      <c r="E134" s="79"/>
      <c r="F134" s="93"/>
      <c r="G134" s="79" t="s">
        <v>156</v>
      </c>
      <c r="H134" s="79"/>
      <c r="I134" s="79"/>
      <c r="J134" s="79"/>
      <c r="K134" s="82"/>
      <c r="L134" s="82"/>
      <c r="M134" s="6" t="s">
        <v>366</v>
      </c>
      <c r="N134" s="154">
        <v>314</v>
      </c>
      <c r="O134" s="155">
        <v>0.63306451612903225</v>
      </c>
    </row>
    <row r="135" spans="1:19" ht="12.75" customHeight="1" x14ac:dyDescent="0.2">
      <c r="A135" s="80" t="s">
        <v>145</v>
      </c>
      <c r="B135" s="81" t="s">
        <v>117</v>
      </c>
      <c r="C135" s="81" t="s">
        <v>118</v>
      </c>
      <c r="D135" s="81" t="s">
        <v>119</v>
      </c>
      <c r="E135" s="81" t="s">
        <v>120</v>
      </c>
      <c r="F135" s="93"/>
      <c r="G135" s="81" t="s">
        <v>117</v>
      </c>
      <c r="H135" s="81" t="s">
        <v>118</v>
      </c>
      <c r="I135" s="81" t="s">
        <v>119</v>
      </c>
      <c r="J135" s="81" t="s">
        <v>120</v>
      </c>
      <c r="K135" s="82"/>
      <c r="L135" s="82"/>
      <c r="M135" s="6" t="s">
        <v>242</v>
      </c>
      <c r="N135" s="154">
        <v>96</v>
      </c>
      <c r="O135" s="155">
        <v>0.19354838709677419</v>
      </c>
    </row>
    <row r="136" spans="1:19" ht="12.75" customHeight="1" x14ac:dyDescent="0.2">
      <c r="A136" s="80" t="s">
        <v>135</v>
      </c>
      <c r="B136" s="93">
        <v>36</v>
      </c>
      <c r="C136" s="93">
        <v>19</v>
      </c>
      <c r="D136" s="93">
        <v>11</v>
      </c>
      <c r="E136" s="93">
        <v>6</v>
      </c>
      <c r="F136" s="93"/>
      <c r="G136" s="82">
        <v>1</v>
      </c>
      <c r="H136" s="82">
        <v>0.52777777777777779</v>
      </c>
      <c r="I136" s="82">
        <v>0.30555555555555558</v>
      </c>
      <c r="J136" s="82">
        <v>0.16666666666666666</v>
      </c>
      <c r="K136" s="82"/>
      <c r="L136" s="82"/>
      <c r="M136" s="6" t="s">
        <v>367</v>
      </c>
      <c r="N136" s="154">
        <v>179</v>
      </c>
      <c r="O136" s="155">
        <v>0.36088709677419356</v>
      </c>
    </row>
    <row r="137" spans="1:19" s="59" customFormat="1" ht="12.75" customHeight="1" x14ac:dyDescent="0.2">
      <c r="A137" s="80" t="s">
        <v>136</v>
      </c>
      <c r="B137" s="93">
        <v>25</v>
      </c>
      <c r="C137" s="93">
        <v>15</v>
      </c>
      <c r="D137" s="93">
        <v>7</v>
      </c>
      <c r="E137" s="93">
        <v>3</v>
      </c>
      <c r="F137" s="93"/>
      <c r="G137" s="82">
        <v>1</v>
      </c>
      <c r="H137" s="82">
        <v>0.6</v>
      </c>
      <c r="I137" s="82">
        <v>0.28000000000000003</v>
      </c>
      <c r="J137" s="82">
        <v>0.12</v>
      </c>
      <c r="K137" s="82"/>
      <c r="L137" s="82"/>
      <c r="M137" s="6" t="s">
        <v>243</v>
      </c>
      <c r="N137" s="154">
        <v>52</v>
      </c>
      <c r="O137" s="155">
        <v>0.10483870967741936</v>
      </c>
      <c r="P137"/>
      <c r="Q137"/>
      <c r="R137"/>
      <c r="S137"/>
    </row>
    <row r="138" spans="1:19" s="59" customFormat="1" ht="12.75" customHeight="1" x14ac:dyDescent="0.2">
      <c r="A138" s="80" t="s">
        <v>137</v>
      </c>
      <c r="B138" s="93">
        <v>68</v>
      </c>
      <c r="C138" s="93">
        <v>41</v>
      </c>
      <c r="D138" s="93">
        <v>19</v>
      </c>
      <c r="E138" s="93">
        <v>8</v>
      </c>
      <c r="F138" s="93"/>
      <c r="G138" s="82">
        <v>0.98550724637681164</v>
      </c>
      <c r="H138" s="82">
        <v>0.6029411764705882</v>
      </c>
      <c r="I138" s="82">
        <v>0.27941176470588236</v>
      </c>
      <c r="J138" s="82">
        <v>0.11764705882352941</v>
      </c>
      <c r="K138" s="82"/>
      <c r="L138" s="82"/>
      <c r="M138" s="6"/>
      <c r="N138" s="154"/>
      <c r="O138" s="155"/>
      <c r="P138"/>
      <c r="Q138"/>
      <c r="R138"/>
      <c r="S138"/>
    </row>
    <row r="139" spans="1:19" s="59" customFormat="1" ht="12.75" customHeight="1" x14ac:dyDescent="0.2">
      <c r="A139" s="80" t="s">
        <v>138</v>
      </c>
      <c r="B139" s="93">
        <v>84</v>
      </c>
      <c r="C139" s="93">
        <v>61</v>
      </c>
      <c r="D139" s="93">
        <v>16</v>
      </c>
      <c r="E139" s="93">
        <v>7</v>
      </c>
      <c r="F139" s="93"/>
      <c r="G139" s="82">
        <v>0.97674418604651159</v>
      </c>
      <c r="H139" s="82">
        <v>0.72619047619047616</v>
      </c>
      <c r="I139" s="82">
        <v>0.19047619047619047</v>
      </c>
      <c r="J139" s="82">
        <v>8.3333333333333329E-2</v>
      </c>
      <c r="K139" s="82"/>
      <c r="L139" s="82"/>
      <c r="M139" s="6"/>
      <c r="N139" s="154"/>
      <c r="O139" s="155"/>
      <c r="P139"/>
      <c r="Q139"/>
      <c r="R139"/>
      <c r="S139"/>
    </row>
    <row r="140" spans="1:19" s="59" customFormat="1" ht="12.75" customHeight="1" x14ac:dyDescent="0.2">
      <c r="A140" s="80" t="s">
        <v>139</v>
      </c>
      <c r="B140" s="93">
        <v>37</v>
      </c>
      <c r="C140" s="93">
        <v>21</v>
      </c>
      <c r="D140" s="93">
        <v>12</v>
      </c>
      <c r="E140" s="93">
        <v>4</v>
      </c>
      <c r="F140" s="93"/>
      <c r="G140" s="82">
        <v>1</v>
      </c>
      <c r="H140" s="82">
        <v>0.56756756756756754</v>
      </c>
      <c r="I140" s="82">
        <v>0.32432432432432434</v>
      </c>
      <c r="J140" s="82">
        <v>0.10810810810810811</v>
      </c>
      <c r="K140" s="82"/>
      <c r="L140" s="82"/>
      <c r="M140" s="6"/>
      <c r="N140" s="82"/>
      <c r="O140" s="82"/>
      <c r="P140"/>
      <c r="Q140"/>
      <c r="R140"/>
      <c r="S140"/>
    </row>
    <row r="141" spans="1:19" ht="12.75" customHeight="1" x14ac:dyDescent="0.2">
      <c r="A141" s="80" t="s">
        <v>140</v>
      </c>
      <c r="B141" s="93">
        <v>59</v>
      </c>
      <c r="C141" s="93">
        <v>45</v>
      </c>
      <c r="D141" s="93">
        <v>8</v>
      </c>
      <c r="E141" s="93">
        <v>6</v>
      </c>
      <c r="F141" s="93"/>
      <c r="G141" s="82">
        <v>0.98333333333333328</v>
      </c>
      <c r="H141" s="82">
        <v>0.76271186440677963</v>
      </c>
      <c r="I141" s="82">
        <v>0.13559322033898305</v>
      </c>
      <c r="J141" s="82">
        <v>0.10169491525423729</v>
      </c>
      <c r="K141" s="82"/>
      <c r="L141" s="82"/>
      <c r="M141" s="6"/>
      <c r="N141" s="82"/>
      <c r="O141" s="82"/>
    </row>
    <row r="142" spans="1:19" ht="12.75" customHeight="1" x14ac:dyDescent="0.2">
      <c r="A142" s="80" t="s">
        <v>141</v>
      </c>
      <c r="B142" s="93">
        <v>63</v>
      </c>
      <c r="C142" s="93">
        <v>50</v>
      </c>
      <c r="D142" s="93">
        <v>9</v>
      </c>
      <c r="E142" s="93">
        <v>4</v>
      </c>
      <c r="F142" s="94"/>
      <c r="G142" s="82">
        <v>1</v>
      </c>
      <c r="H142" s="82">
        <v>0.79365079365079361</v>
      </c>
      <c r="I142" s="82">
        <v>0.14285714285714285</v>
      </c>
      <c r="J142" s="82">
        <v>6.3492063492063489E-2</v>
      </c>
      <c r="K142" s="82"/>
      <c r="L142" s="82"/>
      <c r="M142" s="80"/>
      <c r="N142" s="193"/>
      <c r="O142" s="82"/>
      <c r="P142" s="59"/>
      <c r="S142" s="59"/>
    </row>
    <row r="143" spans="1:19" ht="12.75" customHeight="1" x14ac:dyDescent="0.2">
      <c r="A143" s="80" t="s">
        <v>142</v>
      </c>
      <c r="B143" s="93">
        <v>67</v>
      </c>
      <c r="C143" s="93">
        <v>56</v>
      </c>
      <c r="D143" s="93">
        <v>3</v>
      </c>
      <c r="E143" s="93">
        <v>8</v>
      </c>
      <c r="F143" s="94"/>
      <c r="G143" s="82">
        <v>1</v>
      </c>
      <c r="H143" s="82">
        <v>0.83582089552238803</v>
      </c>
      <c r="I143" s="82">
        <v>4.4776119402985072E-2</v>
      </c>
      <c r="J143" s="82">
        <v>0.11940298507462686</v>
      </c>
      <c r="K143" s="82"/>
      <c r="L143" s="82"/>
      <c r="M143" s="80"/>
      <c r="N143" s="193"/>
      <c r="O143" s="82"/>
      <c r="P143" s="59"/>
      <c r="S143" s="59"/>
    </row>
    <row r="144" spans="1:19" ht="12.75" customHeight="1" x14ac:dyDescent="0.2">
      <c r="A144" s="80" t="s">
        <v>143</v>
      </c>
      <c r="B144" s="93">
        <v>5</v>
      </c>
      <c r="C144" s="93">
        <v>1</v>
      </c>
      <c r="D144" s="93">
        <v>3</v>
      </c>
      <c r="E144" s="93">
        <v>1</v>
      </c>
      <c r="F144" s="94"/>
      <c r="G144" s="82">
        <v>1</v>
      </c>
      <c r="H144" s="82">
        <v>0.2</v>
      </c>
      <c r="I144" s="82">
        <v>0.6</v>
      </c>
      <c r="J144" s="82">
        <v>0.2</v>
      </c>
      <c r="K144" s="82"/>
      <c r="L144" s="82"/>
      <c r="M144" s="80"/>
      <c r="N144" s="193"/>
      <c r="O144" s="82"/>
      <c r="P144" s="79"/>
      <c r="S144" s="59"/>
    </row>
    <row r="145" spans="1:19" ht="12.75" customHeight="1" x14ac:dyDescent="0.2">
      <c r="A145" s="80" t="s">
        <v>144</v>
      </c>
      <c r="B145" s="93">
        <v>28</v>
      </c>
      <c r="C145" s="93">
        <v>10</v>
      </c>
      <c r="D145" s="93">
        <v>12</v>
      </c>
      <c r="E145" s="93">
        <v>6</v>
      </c>
      <c r="F145" s="94"/>
      <c r="G145" s="82">
        <v>1</v>
      </c>
      <c r="H145" s="82">
        <v>0.35714285714285715</v>
      </c>
      <c r="I145" s="82">
        <v>0.42857142857142855</v>
      </c>
      <c r="J145" s="82">
        <v>0.21428571428571427</v>
      </c>
      <c r="K145" s="79"/>
      <c r="L145" s="79"/>
      <c r="M145" s="80"/>
      <c r="N145" s="193"/>
      <c r="O145" s="82"/>
      <c r="P145" s="79"/>
      <c r="Q145" s="59"/>
      <c r="R145" s="59"/>
      <c r="S145" s="59"/>
    </row>
    <row r="146" spans="1:19" x14ac:dyDescent="0.2">
      <c r="A146" s="80" t="s">
        <v>333</v>
      </c>
      <c r="B146" s="93">
        <v>29</v>
      </c>
      <c r="C146" s="93">
        <v>18</v>
      </c>
      <c r="D146" s="93">
        <v>10</v>
      </c>
      <c r="E146" s="93">
        <v>1</v>
      </c>
      <c r="F146" s="94"/>
      <c r="G146" s="82">
        <v>1</v>
      </c>
      <c r="H146" s="82">
        <v>0.62068965517241381</v>
      </c>
      <c r="I146" s="82">
        <v>0.34482758620689657</v>
      </c>
      <c r="J146" s="82">
        <v>3.4482758620689655E-2</v>
      </c>
      <c r="K146" s="79"/>
      <c r="L146" s="79"/>
      <c r="M146" s="80"/>
      <c r="N146" s="193"/>
      <c r="O146" s="82"/>
      <c r="P146" s="79"/>
      <c r="Q146" s="59"/>
      <c r="R146" s="59"/>
    </row>
    <row r="147" spans="1:19" ht="12.75" customHeight="1" x14ac:dyDescent="0.25">
      <c r="A147" s="80" t="s">
        <v>25</v>
      </c>
      <c r="B147" s="94">
        <v>501</v>
      </c>
      <c r="C147" s="93">
        <v>337</v>
      </c>
      <c r="D147" s="93">
        <v>110</v>
      </c>
      <c r="E147" s="94">
        <v>54</v>
      </c>
      <c r="F147" s="79"/>
      <c r="G147" s="82">
        <v>0.99207920792079207</v>
      </c>
      <c r="H147" s="82">
        <v>0.67265469061876249</v>
      </c>
      <c r="I147" s="82">
        <v>0.21956087824351297</v>
      </c>
      <c r="J147" s="82">
        <v>0.10778443113772455</v>
      </c>
      <c r="K147" s="79"/>
      <c r="L147" s="79"/>
      <c r="M147" s="6"/>
      <c r="N147" s="6"/>
      <c r="O147" s="125"/>
      <c r="P147" s="79"/>
      <c r="Q147" s="79"/>
      <c r="R147" s="79"/>
    </row>
    <row r="148" spans="1:19" ht="12.75" customHeight="1" x14ac:dyDescent="0.25">
      <c r="A148" s="80"/>
      <c r="B148" s="94"/>
      <c r="C148" s="93"/>
      <c r="D148" s="93"/>
      <c r="E148" s="94"/>
      <c r="F148" s="79"/>
      <c r="G148" s="82"/>
      <c r="H148" s="82"/>
      <c r="I148" s="82"/>
      <c r="J148" s="82"/>
      <c r="K148" s="79"/>
      <c r="L148" s="79"/>
      <c r="M148" s="6"/>
      <c r="N148" s="6"/>
      <c r="O148" s="125"/>
      <c r="Q148" s="79"/>
      <c r="R148" s="79"/>
    </row>
    <row r="149" spans="1:19" ht="12.75" customHeight="1" x14ac:dyDescent="0.25">
      <c r="A149" s="80"/>
      <c r="B149" s="94"/>
      <c r="C149" s="93"/>
      <c r="D149" s="93"/>
      <c r="E149" s="94"/>
      <c r="F149" s="79"/>
      <c r="G149" s="82"/>
      <c r="H149" s="82"/>
      <c r="I149" s="82"/>
      <c r="J149" s="82"/>
      <c r="K149" s="79"/>
      <c r="L149" s="81"/>
      <c r="M149" s="6"/>
      <c r="N149" s="6"/>
      <c r="O149" s="125"/>
      <c r="Q149" s="79"/>
      <c r="R149" s="79"/>
    </row>
    <row r="150" spans="1:19" ht="12.75" customHeight="1" x14ac:dyDescent="0.2">
      <c r="A150" s="80"/>
      <c r="B150" s="94"/>
      <c r="C150" s="93"/>
      <c r="D150" s="93"/>
      <c r="E150" s="94"/>
      <c r="F150" s="79"/>
      <c r="G150" s="82"/>
      <c r="H150" s="82"/>
      <c r="I150" s="82"/>
      <c r="J150" s="82"/>
      <c r="K150" s="81"/>
      <c r="L150" s="82"/>
      <c r="M150" s="157"/>
      <c r="N150" s="157"/>
      <c r="O150" s="157"/>
      <c r="Q150" s="79"/>
      <c r="R150" s="79"/>
    </row>
    <row r="151" spans="1:19" ht="12.75" customHeight="1" x14ac:dyDescent="0.2">
      <c r="A151" s="80" t="s">
        <v>341</v>
      </c>
      <c r="B151" s="79"/>
      <c r="C151" s="79"/>
      <c r="D151" s="79"/>
      <c r="E151" s="79"/>
      <c r="F151" s="79"/>
      <c r="G151" s="79"/>
      <c r="H151" s="79"/>
      <c r="I151" s="79"/>
      <c r="J151" s="79"/>
      <c r="K151" s="82"/>
      <c r="L151" s="82"/>
      <c r="M151" s="157" t="s">
        <v>305</v>
      </c>
      <c r="N151" s="157"/>
      <c r="O151" s="157"/>
    </row>
    <row r="152" spans="1:19" ht="12.75" customHeight="1" x14ac:dyDescent="0.2">
      <c r="A152" s="80" t="s">
        <v>354</v>
      </c>
      <c r="B152" s="79"/>
      <c r="C152" s="79"/>
      <c r="D152" s="79"/>
      <c r="E152" s="79"/>
      <c r="F152" s="79"/>
      <c r="G152" s="79"/>
      <c r="H152" s="79"/>
      <c r="I152" s="79"/>
      <c r="J152" s="79"/>
      <c r="K152" s="82"/>
      <c r="L152" s="82"/>
      <c r="M152" s="157" t="s">
        <v>345</v>
      </c>
      <c r="N152" s="194"/>
      <c r="O152" s="195"/>
    </row>
    <row r="153" spans="1:19" ht="12.75" customHeight="1" x14ac:dyDescent="0.2">
      <c r="A153" s="80" t="s">
        <v>300</v>
      </c>
      <c r="B153" s="79"/>
      <c r="C153" s="79"/>
      <c r="D153" s="79"/>
      <c r="E153" s="79"/>
      <c r="F153" s="79"/>
      <c r="G153" s="79"/>
      <c r="H153" s="79"/>
      <c r="I153" s="79"/>
      <c r="J153" s="79"/>
      <c r="K153" s="82"/>
      <c r="L153" s="82"/>
      <c r="M153" s="157" t="s">
        <v>272</v>
      </c>
      <c r="N153" s="157"/>
      <c r="O153" s="157"/>
      <c r="P153" s="89" t="s">
        <v>309</v>
      </c>
    </row>
    <row r="154" spans="1:19" ht="12.75" customHeight="1" x14ac:dyDescent="0.2">
      <c r="A154" s="80" t="s">
        <v>353</v>
      </c>
      <c r="B154" s="79"/>
      <c r="C154" s="79"/>
      <c r="D154" s="79"/>
      <c r="E154" s="79"/>
      <c r="F154" s="79"/>
      <c r="G154" s="79"/>
      <c r="H154" s="79"/>
      <c r="I154" s="79"/>
      <c r="J154" s="79"/>
      <c r="K154" s="82"/>
      <c r="L154" s="82"/>
      <c r="M154" s="157" t="s">
        <v>216</v>
      </c>
      <c r="N154" s="172">
        <v>493</v>
      </c>
      <c r="O154" s="196" t="s">
        <v>217</v>
      </c>
    </row>
    <row r="155" spans="1:19" ht="12.75" customHeight="1" x14ac:dyDescent="0.2">
      <c r="A155" s="80" t="s">
        <v>344</v>
      </c>
      <c r="B155" s="79" t="s">
        <v>149</v>
      </c>
      <c r="C155" s="79"/>
      <c r="D155" s="79"/>
      <c r="E155" s="79"/>
      <c r="F155" s="93"/>
      <c r="G155" s="79" t="s">
        <v>156</v>
      </c>
      <c r="H155" s="79"/>
      <c r="I155" s="79"/>
      <c r="J155" s="79"/>
      <c r="K155" s="82"/>
      <c r="L155" s="82"/>
      <c r="M155" s="157" t="s">
        <v>342</v>
      </c>
      <c r="N155" s="194">
        <v>317</v>
      </c>
      <c r="O155" s="195">
        <v>0.64300202839756593</v>
      </c>
    </row>
    <row r="156" spans="1:19" ht="12.75" customHeight="1" x14ac:dyDescent="0.2">
      <c r="A156" s="80" t="s">
        <v>145</v>
      </c>
      <c r="B156" s="81" t="s">
        <v>117</v>
      </c>
      <c r="C156" s="81" t="s">
        <v>118</v>
      </c>
      <c r="D156" s="81" t="s">
        <v>119</v>
      </c>
      <c r="E156" s="81" t="s">
        <v>120</v>
      </c>
      <c r="F156" s="93"/>
      <c r="G156" s="81" t="s">
        <v>117</v>
      </c>
      <c r="H156" s="81" t="s">
        <v>118</v>
      </c>
      <c r="I156" s="81" t="s">
        <v>119</v>
      </c>
      <c r="J156" s="81" t="s">
        <v>120</v>
      </c>
      <c r="K156" s="82"/>
      <c r="L156" s="82"/>
      <c r="M156" s="157" t="s">
        <v>242</v>
      </c>
      <c r="N156" s="194">
        <v>117</v>
      </c>
      <c r="O156" s="195">
        <v>0.23732251521298176</v>
      </c>
    </row>
    <row r="157" spans="1:19" s="59" customFormat="1" ht="12.75" customHeight="1" x14ac:dyDescent="0.2">
      <c r="A157" s="80" t="s">
        <v>135</v>
      </c>
      <c r="B157" s="93">
        <v>37</v>
      </c>
      <c r="C157" s="93">
        <v>26</v>
      </c>
      <c r="D157" s="93">
        <v>8</v>
      </c>
      <c r="E157" s="93">
        <v>3</v>
      </c>
      <c r="F157" s="93"/>
      <c r="G157" s="82">
        <v>1.0277777777777777</v>
      </c>
      <c r="H157" s="82">
        <v>0.70270270270270274</v>
      </c>
      <c r="I157" s="82">
        <v>0.21621621621621623</v>
      </c>
      <c r="J157" s="82">
        <v>8.1081081081081086E-2</v>
      </c>
      <c r="K157" s="82"/>
      <c r="L157" s="82"/>
      <c r="M157" s="157" t="s">
        <v>343</v>
      </c>
      <c r="N157" s="194">
        <v>172</v>
      </c>
      <c r="O157" s="195">
        <v>0.34888438133874239</v>
      </c>
      <c r="P157"/>
      <c r="Q157"/>
      <c r="R157"/>
      <c r="S157"/>
    </row>
    <row r="158" spans="1:19" s="59" customFormat="1" ht="12.75" customHeight="1" x14ac:dyDescent="0.2">
      <c r="A158" s="80" t="s">
        <v>136</v>
      </c>
      <c r="B158" s="93">
        <v>26</v>
      </c>
      <c r="C158" s="93">
        <v>15</v>
      </c>
      <c r="D158" s="93">
        <v>9</v>
      </c>
      <c r="E158" s="93">
        <v>2</v>
      </c>
      <c r="F158" s="93"/>
      <c r="G158" s="82">
        <v>0.96296296296296291</v>
      </c>
      <c r="H158" s="82">
        <v>0.57692307692307687</v>
      </c>
      <c r="I158" s="82">
        <v>0.34615384615384615</v>
      </c>
      <c r="J158" s="82">
        <v>7.6923076923076927E-2</v>
      </c>
      <c r="K158" s="82"/>
      <c r="L158" s="82"/>
      <c r="M158" s="157" t="s">
        <v>243</v>
      </c>
      <c r="N158" s="194">
        <v>49</v>
      </c>
      <c r="O158" s="195">
        <v>9.9391480730223122E-2</v>
      </c>
      <c r="P158"/>
      <c r="Q158"/>
      <c r="R158"/>
      <c r="S158"/>
    </row>
    <row r="159" spans="1:19" s="59" customFormat="1" ht="12.75" customHeight="1" x14ac:dyDescent="0.2">
      <c r="A159" s="80" t="s">
        <v>137</v>
      </c>
      <c r="B159" s="93">
        <v>67</v>
      </c>
      <c r="C159" s="93">
        <v>47</v>
      </c>
      <c r="D159" s="93">
        <v>15</v>
      </c>
      <c r="E159" s="93">
        <v>5</v>
      </c>
      <c r="F159" s="93"/>
      <c r="G159" s="82">
        <v>1</v>
      </c>
      <c r="H159" s="82">
        <v>0.70149253731343286</v>
      </c>
      <c r="I159" s="82">
        <v>0.22388059701492538</v>
      </c>
      <c r="J159" s="82">
        <v>7.4626865671641784E-2</v>
      </c>
      <c r="K159" s="82"/>
      <c r="L159" s="82"/>
      <c r="M159" s="157"/>
      <c r="N159" s="194"/>
      <c r="O159" s="195"/>
      <c r="P159"/>
      <c r="Q159"/>
      <c r="R159"/>
      <c r="S159"/>
    </row>
    <row r="160" spans="1:19" s="59" customFormat="1" ht="12.75" customHeight="1" x14ac:dyDescent="0.2">
      <c r="A160" s="80" t="s">
        <v>138</v>
      </c>
      <c r="B160" s="93">
        <v>83</v>
      </c>
      <c r="C160" s="93">
        <v>52</v>
      </c>
      <c r="D160" s="93">
        <v>22</v>
      </c>
      <c r="E160" s="93">
        <v>9</v>
      </c>
      <c r="F160" s="93"/>
      <c r="G160" s="82">
        <v>0.95402298850574707</v>
      </c>
      <c r="H160" s="82">
        <v>0.62650602409638556</v>
      </c>
      <c r="I160" s="82">
        <v>0.26506024096385544</v>
      </c>
      <c r="J160" s="82">
        <v>0.10843373493975904</v>
      </c>
      <c r="K160" s="82"/>
      <c r="L160" s="82"/>
      <c r="M160" s="157"/>
      <c r="N160" s="194"/>
      <c r="O160" s="195"/>
      <c r="P160"/>
      <c r="Q160"/>
      <c r="R160"/>
      <c r="S160"/>
    </row>
    <row r="161" spans="1:19" ht="12.75" customHeight="1" x14ac:dyDescent="0.2">
      <c r="A161" s="80" t="s">
        <v>139</v>
      </c>
      <c r="B161" s="93">
        <v>35</v>
      </c>
      <c r="C161" s="93">
        <v>25</v>
      </c>
      <c r="D161" s="93">
        <v>5</v>
      </c>
      <c r="E161" s="93">
        <v>5</v>
      </c>
      <c r="F161" s="93"/>
      <c r="G161" s="82">
        <v>0.94594594594594594</v>
      </c>
      <c r="H161" s="82">
        <v>0.7142857142857143</v>
      </c>
      <c r="I161" s="82">
        <v>0.14285714285714285</v>
      </c>
      <c r="J161" s="82">
        <v>0.14285714285714285</v>
      </c>
      <c r="K161" s="82"/>
      <c r="L161" s="82"/>
      <c r="M161" s="157"/>
      <c r="N161" s="194"/>
      <c r="O161" s="195"/>
    </row>
    <row r="162" spans="1:19" ht="12.75" customHeight="1" x14ac:dyDescent="0.2">
      <c r="A162" s="80" t="s">
        <v>140</v>
      </c>
      <c r="B162" s="93">
        <v>59</v>
      </c>
      <c r="C162" s="93">
        <v>41</v>
      </c>
      <c r="D162" s="93">
        <v>15</v>
      </c>
      <c r="E162" s="93">
        <v>3</v>
      </c>
      <c r="F162" s="93"/>
      <c r="G162" s="82">
        <v>1</v>
      </c>
      <c r="H162" s="82">
        <v>0.69491525423728817</v>
      </c>
      <c r="I162" s="82">
        <v>0.25423728813559321</v>
      </c>
      <c r="J162" s="82">
        <v>5.0847457627118647E-2</v>
      </c>
      <c r="K162" s="82"/>
      <c r="L162" s="82"/>
      <c r="M162" s="157"/>
      <c r="N162" s="194"/>
      <c r="O162" s="195"/>
      <c r="P162" s="59"/>
      <c r="S162" s="59"/>
    </row>
    <row r="163" spans="1:19" ht="12.75" customHeight="1" x14ac:dyDescent="0.2">
      <c r="A163" s="80" t="s">
        <v>141</v>
      </c>
      <c r="B163" s="93">
        <v>64</v>
      </c>
      <c r="C163" s="93">
        <v>54</v>
      </c>
      <c r="D163" s="93">
        <v>6</v>
      </c>
      <c r="E163" s="93">
        <v>4</v>
      </c>
      <c r="F163" s="94"/>
      <c r="G163" s="82">
        <v>1</v>
      </c>
      <c r="H163" s="82">
        <v>0.84375</v>
      </c>
      <c r="I163" s="82">
        <v>9.375E-2</v>
      </c>
      <c r="J163" s="82">
        <v>6.25E-2</v>
      </c>
      <c r="K163" s="82"/>
      <c r="L163" s="82"/>
      <c r="M163" s="157"/>
      <c r="N163" s="194"/>
      <c r="O163" s="195"/>
      <c r="P163" s="59"/>
      <c r="S163" s="59"/>
    </row>
    <row r="164" spans="1:19" ht="12.75" customHeight="1" x14ac:dyDescent="0.25">
      <c r="A164" s="80" t="s">
        <v>142</v>
      </c>
      <c r="B164" s="93">
        <v>66</v>
      </c>
      <c r="C164" s="93">
        <v>58</v>
      </c>
      <c r="D164" s="93">
        <v>4</v>
      </c>
      <c r="E164" s="93">
        <v>4</v>
      </c>
      <c r="F164" s="94"/>
      <c r="G164" s="82">
        <v>0.9850746268656716</v>
      </c>
      <c r="H164" s="82">
        <v>0.87878787878787878</v>
      </c>
      <c r="I164" s="82">
        <v>6.0606060606060608E-2</v>
      </c>
      <c r="J164" s="82">
        <v>6.0606060606060608E-2</v>
      </c>
      <c r="K164" s="82"/>
      <c r="L164" s="82"/>
      <c r="M164" s="157"/>
      <c r="N164" s="157"/>
      <c r="O164" s="197"/>
      <c r="P164" s="79"/>
      <c r="S164" s="59"/>
    </row>
    <row r="165" spans="1:19" ht="12.75" customHeight="1" x14ac:dyDescent="0.25">
      <c r="A165" s="80" t="s">
        <v>143</v>
      </c>
      <c r="B165" s="93">
        <v>5</v>
      </c>
      <c r="C165" s="93">
        <v>2</v>
      </c>
      <c r="D165" s="93">
        <v>1</v>
      </c>
      <c r="E165" s="93">
        <v>2</v>
      </c>
      <c r="F165" s="94"/>
      <c r="G165" s="82">
        <v>1</v>
      </c>
      <c r="H165" s="82">
        <v>0.4</v>
      </c>
      <c r="I165" s="82">
        <v>0.2</v>
      </c>
      <c r="J165" s="82">
        <v>0.4</v>
      </c>
      <c r="K165" s="82"/>
      <c r="L165" s="82"/>
      <c r="M165" s="157"/>
      <c r="N165" s="157"/>
      <c r="O165" s="197"/>
      <c r="P165" s="79"/>
      <c r="Q165" s="59"/>
      <c r="R165" s="59"/>
      <c r="S165" s="59"/>
    </row>
    <row r="166" spans="1:19" ht="12.75" customHeight="1" x14ac:dyDescent="0.25">
      <c r="A166" s="80" t="s">
        <v>144</v>
      </c>
      <c r="B166" s="93">
        <v>28</v>
      </c>
      <c r="C166" s="93">
        <v>21</v>
      </c>
      <c r="D166" s="93">
        <v>6</v>
      </c>
      <c r="E166" s="93">
        <v>1</v>
      </c>
      <c r="F166" s="94"/>
      <c r="G166" s="82">
        <v>1</v>
      </c>
      <c r="H166" s="82">
        <v>0.75</v>
      </c>
      <c r="I166" s="82">
        <v>0.21428571428571427</v>
      </c>
      <c r="J166" s="82">
        <v>3.5714285714285712E-2</v>
      </c>
      <c r="K166" s="79"/>
      <c r="L166" s="79"/>
      <c r="M166" s="157"/>
      <c r="N166" s="157"/>
      <c r="O166" s="197"/>
      <c r="P166" s="79"/>
      <c r="Q166" s="59"/>
      <c r="R166" s="59"/>
    </row>
    <row r="167" spans="1:19" ht="12.75" customHeight="1" x14ac:dyDescent="0.25">
      <c r="A167" s="80" t="s">
        <v>333</v>
      </c>
      <c r="B167" s="93">
        <v>28</v>
      </c>
      <c r="C167" s="93">
        <v>10</v>
      </c>
      <c r="D167" s="93">
        <v>14</v>
      </c>
      <c r="E167" s="93">
        <v>4</v>
      </c>
      <c r="F167" s="94"/>
      <c r="G167" s="82">
        <v>1</v>
      </c>
      <c r="H167" s="82">
        <v>0.35714285714285715</v>
      </c>
      <c r="I167" s="82">
        <v>0.5</v>
      </c>
      <c r="J167" s="82">
        <v>0.14285714285714285</v>
      </c>
      <c r="K167" s="79"/>
      <c r="L167" s="79"/>
      <c r="M167" s="6"/>
      <c r="N167" s="6"/>
      <c r="O167" s="125"/>
      <c r="Q167" s="79"/>
      <c r="R167" s="79"/>
    </row>
    <row r="168" spans="1:19" ht="12.75" customHeight="1" x14ac:dyDescent="0.25">
      <c r="A168" s="80" t="s">
        <v>25</v>
      </c>
      <c r="B168" s="94">
        <v>498</v>
      </c>
      <c r="C168" s="93">
        <v>351</v>
      </c>
      <c r="D168" s="93">
        <v>105</v>
      </c>
      <c r="E168" s="94">
        <v>42</v>
      </c>
      <c r="F168" s="79"/>
      <c r="G168" s="82">
        <v>0.98613861386138613</v>
      </c>
      <c r="H168" s="82">
        <v>0.70481927710843373</v>
      </c>
      <c r="I168" s="82">
        <v>0.21084337349397592</v>
      </c>
      <c r="J168" s="82">
        <v>8.4337349397590355E-2</v>
      </c>
      <c r="K168" s="79"/>
      <c r="L168" s="79"/>
      <c r="M168" s="6"/>
      <c r="N168" s="6"/>
      <c r="O168" s="125"/>
      <c r="Q168" s="79"/>
      <c r="R168" s="79"/>
    </row>
    <row r="169" spans="1:19" ht="12.75" customHeight="1" x14ac:dyDescent="0.2">
      <c r="A169" s="80"/>
      <c r="B169" s="94"/>
      <c r="C169" s="93"/>
      <c r="D169" s="93"/>
      <c r="E169" s="94"/>
      <c r="F169" s="79"/>
      <c r="G169" s="82"/>
      <c r="H169" s="82"/>
      <c r="I169" s="82"/>
      <c r="J169" s="82"/>
      <c r="K169" s="79"/>
      <c r="L169" s="79"/>
      <c r="M169" s="6"/>
      <c r="N169" s="6"/>
      <c r="O169" s="6"/>
      <c r="Q169" s="79"/>
      <c r="R169" s="79"/>
    </row>
    <row r="170" spans="1:19" ht="12.75" customHeight="1" x14ac:dyDescent="0.2">
      <c r="A170" s="80"/>
      <c r="B170" s="94"/>
      <c r="C170" s="93"/>
      <c r="D170" s="93"/>
      <c r="E170" s="94"/>
      <c r="F170" s="79"/>
      <c r="G170" s="82"/>
      <c r="H170" s="82"/>
      <c r="I170" s="82"/>
      <c r="J170" s="82"/>
      <c r="K170" s="79"/>
      <c r="L170" s="81"/>
      <c r="M170" s="6"/>
      <c r="N170" s="6"/>
      <c r="O170" s="6"/>
    </row>
    <row r="171" spans="1:19" ht="12.75" customHeight="1" x14ac:dyDescent="0.2">
      <c r="A171" s="80"/>
      <c r="B171" s="94"/>
      <c r="C171" s="94"/>
      <c r="D171" s="94"/>
      <c r="E171" s="94"/>
      <c r="F171" s="79"/>
      <c r="G171" s="82"/>
      <c r="H171" s="82"/>
      <c r="I171" s="82"/>
      <c r="J171" s="82"/>
      <c r="K171" s="81"/>
      <c r="L171" s="82"/>
      <c r="M171" s="6"/>
      <c r="N171" s="6"/>
      <c r="O171" s="6"/>
    </row>
    <row r="172" spans="1:19" ht="12.75" customHeight="1" x14ac:dyDescent="0.2">
      <c r="A172" s="80" t="s">
        <v>332</v>
      </c>
      <c r="B172" s="79"/>
      <c r="C172" s="79"/>
      <c r="D172" s="79"/>
      <c r="E172" s="79"/>
      <c r="F172" s="79"/>
      <c r="G172" s="79"/>
      <c r="H172" s="79"/>
      <c r="I172" s="79"/>
      <c r="J172" s="79"/>
      <c r="K172" s="82"/>
      <c r="L172" s="82"/>
      <c r="M172" s="6"/>
      <c r="N172" s="6"/>
      <c r="O172" s="6"/>
      <c r="P172" s="79" t="s">
        <v>310</v>
      </c>
    </row>
    <row r="173" spans="1:19" ht="12.75" customHeight="1" x14ac:dyDescent="0.2">
      <c r="A173" s="80" t="s">
        <v>316</v>
      </c>
      <c r="B173" s="79"/>
      <c r="C173" s="79"/>
      <c r="D173" s="79"/>
      <c r="E173" s="79"/>
      <c r="F173" s="79"/>
      <c r="G173" s="79"/>
      <c r="H173" s="79"/>
      <c r="I173" s="79"/>
      <c r="J173" s="79"/>
      <c r="K173" s="82"/>
      <c r="L173" s="82"/>
      <c r="M173" s="6" t="s">
        <v>304</v>
      </c>
      <c r="N173" s="6"/>
      <c r="O173" s="6"/>
    </row>
    <row r="174" spans="1:19" ht="12.75" customHeight="1" x14ac:dyDescent="0.2">
      <c r="A174" s="80" t="s">
        <v>330</v>
      </c>
      <c r="B174" s="79"/>
      <c r="C174" s="79"/>
      <c r="D174" s="79"/>
      <c r="E174" s="79"/>
      <c r="F174" s="79"/>
      <c r="G174" s="79"/>
      <c r="H174" s="79"/>
      <c r="I174" s="79"/>
      <c r="J174" s="79"/>
      <c r="K174" s="82"/>
      <c r="L174" s="82"/>
      <c r="M174" s="6" t="s">
        <v>317</v>
      </c>
      <c r="N174" s="154"/>
      <c r="O174" s="155"/>
    </row>
    <row r="175" spans="1:19" ht="12.75" customHeight="1" x14ac:dyDescent="0.2">
      <c r="A175" s="80" t="s">
        <v>331</v>
      </c>
      <c r="B175" s="79"/>
      <c r="C175" s="79"/>
      <c r="D175" s="79"/>
      <c r="E175" s="79"/>
      <c r="F175" s="79"/>
      <c r="G175" s="79"/>
      <c r="H175" s="79"/>
      <c r="I175" s="79"/>
      <c r="J175" s="79"/>
      <c r="K175" s="82"/>
      <c r="L175" s="82"/>
      <c r="M175" s="6" t="s">
        <v>272</v>
      </c>
      <c r="N175" s="6"/>
      <c r="O175" s="6"/>
    </row>
    <row r="176" spans="1:19" s="59" customFormat="1" ht="12.75" customHeight="1" x14ac:dyDescent="0.2">
      <c r="A176" s="80" t="s">
        <v>318</v>
      </c>
      <c r="B176" s="79" t="s">
        <v>149</v>
      </c>
      <c r="C176" s="79"/>
      <c r="D176" s="79"/>
      <c r="E176" s="79"/>
      <c r="F176" s="93"/>
      <c r="G176" s="79" t="s">
        <v>156</v>
      </c>
      <c r="H176" s="79"/>
      <c r="I176" s="79"/>
      <c r="J176" s="79"/>
      <c r="K176" s="82"/>
      <c r="L176" s="82"/>
      <c r="M176" s="6" t="s">
        <v>216</v>
      </c>
      <c r="N176" s="83">
        <v>496</v>
      </c>
      <c r="O176" s="156" t="s">
        <v>217</v>
      </c>
      <c r="P176"/>
      <c r="Q176"/>
      <c r="R176"/>
      <c r="S176"/>
    </row>
    <row r="177" spans="1:19" s="59" customFormat="1" ht="12.75" customHeight="1" x14ac:dyDescent="0.2">
      <c r="A177" s="80" t="s">
        <v>145</v>
      </c>
      <c r="B177" s="81" t="s">
        <v>117</v>
      </c>
      <c r="C177" s="81" t="s">
        <v>118</v>
      </c>
      <c r="D177" s="81" t="s">
        <v>119</v>
      </c>
      <c r="E177" s="81" t="s">
        <v>120</v>
      </c>
      <c r="F177" s="93"/>
      <c r="G177" s="81" t="s">
        <v>117</v>
      </c>
      <c r="H177" s="81" t="s">
        <v>118</v>
      </c>
      <c r="I177" s="81" t="s">
        <v>119</v>
      </c>
      <c r="J177" s="81" t="s">
        <v>120</v>
      </c>
      <c r="K177" s="82"/>
      <c r="L177" s="82"/>
      <c r="M177" s="6" t="s">
        <v>324</v>
      </c>
      <c r="N177" s="154">
        <v>335</v>
      </c>
      <c r="O177" s="155">
        <v>0.67540322580645162</v>
      </c>
      <c r="P177"/>
      <c r="Q177"/>
      <c r="R177"/>
      <c r="S177"/>
    </row>
    <row r="178" spans="1:19" s="59" customFormat="1" ht="12.75" customHeight="1" x14ac:dyDescent="0.2">
      <c r="A178" s="80" t="s">
        <v>135</v>
      </c>
      <c r="B178" s="93">
        <v>37</v>
      </c>
      <c r="C178" s="93">
        <v>25</v>
      </c>
      <c r="D178" s="93">
        <v>11</v>
      </c>
      <c r="E178" s="93">
        <v>1</v>
      </c>
      <c r="F178" s="93"/>
      <c r="G178" s="82">
        <v>1</v>
      </c>
      <c r="H178" s="82">
        <v>0.67567567567567566</v>
      </c>
      <c r="I178" s="82">
        <v>0.29729729729729731</v>
      </c>
      <c r="J178" s="82">
        <v>2.7027027027027029E-2</v>
      </c>
      <c r="K178" s="82"/>
      <c r="L178" s="82"/>
      <c r="M178" s="6" t="s">
        <v>242</v>
      </c>
      <c r="N178" s="154">
        <v>132</v>
      </c>
      <c r="O178" s="155">
        <v>0.2661290322580645</v>
      </c>
      <c r="P178"/>
      <c r="Q178"/>
      <c r="R178"/>
      <c r="S178"/>
    </row>
    <row r="179" spans="1:19" s="59" customFormat="1" ht="12.75" customHeight="1" x14ac:dyDescent="0.2">
      <c r="A179" s="80" t="s">
        <v>136</v>
      </c>
      <c r="B179" s="93">
        <v>26</v>
      </c>
      <c r="C179" s="93">
        <v>15</v>
      </c>
      <c r="D179" s="93">
        <v>9</v>
      </c>
      <c r="E179" s="93">
        <v>2</v>
      </c>
      <c r="F179" s="93"/>
      <c r="G179" s="82">
        <v>0.96296296296296291</v>
      </c>
      <c r="H179" s="82">
        <v>0.57692307692307687</v>
      </c>
      <c r="I179" s="82">
        <v>0.34615384615384615</v>
      </c>
      <c r="J179" s="82">
        <v>7.6923076923076927E-2</v>
      </c>
      <c r="K179" s="82"/>
      <c r="L179" s="82"/>
      <c r="M179" s="6" t="s">
        <v>325</v>
      </c>
      <c r="N179" s="154">
        <v>156</v>
      </c>
      <c r="O179" s="155">
        <v>0.31451612903225806</v>
      </c>
      <c r="P179"/>
      <c r="Q179"/>
      <c r="R179"/>
      <c r="S179"/>
    </row>
    <row r="180" spans="1:19" ht="12.75" customHeight="1" x14ac:dyDescent="0.2">
      <c r="A180" s="80" t="s">
        <v>137</v>
      </c>
      <c r="B180" s="93">
        <v>68</v>
      </c>
      <c r="C180" s="93">
        <v>48</v>
      </c>
      <c r="D180" s="93">
        <v>12</v>
      </c>
      <c r="E180" s="93">
        <v>8</v>
      </c>
      <c r="F180" s="93"/>
      <c r="G180" s="82">
        <v>1</v>
      </c>
      <c r="H180" s="82">
        <v>0.70588235294117652</v>
      </c>
      <c r="I180" s="82">
        <v>0.17647058823529413</v>
      </c>
      <c r="J180" s="82">
        <v>0.11764705882352941</v>
      </c>
      <c r="K180" s="82"/>
      <c r="L180" s="82"/>
      <c r="M180" s="6" t="s">
        <v>243</v>
      </c>
      <c r="N180" s="154">
        <v>52</v>
      </c>
      <c r="O180" s="155">
        <v>0.10483870967741936</v>
      </c>
    </row>
    <row r="181" spans="1:19" ht="12.75" customHeight="1" x14ac:dyDescent="0.2">
      <c r="A181" s="80" t="s">
        <v>138</v>
      </c>
      <c r="B181" s="93">
        <v>83</v>
      </c>
      <c r="C181" s="93">
        <v>59</v>
      </c>
      <c r="D181" s="93">
        <v>18</v>
      </c>
      <c r="E181" s="93">
        <v>6</v>
      </c>
      <c r="F181" s="93"/>
      <c r="G181" s="82">
        <v>0.95402298850574707</v>
      </c>
      <c r="H181" s="82">
        <v>0.71084337349397586</v>
      </c>
      <c r="I181" s="82">
        <v>0.21686746987951808</v>
      </c>
      <c r="J181" s="82">
        <v>7.2289156626506021E-2</v>
      </c>
      <c r="K181" s="82"/>
      <c r="L181" s="82"/>
      <c r="M181" s="6"/>
      <c r="N181" s="154"/>
      <c r="O181" s="155"/>
      <c r="P181" s="59"/>
      <c r="S181" s="59"/>
    </row>
    <row r="182" spans="1:19" ht="12.75" customHeight="1" x14ac:dyDescent="0.2">
      <c r="A182" s="80" t="s">
        <v>139</v>
      </c>
      <c r="B182" s="93">
        <v>36</v>
      </c>
      <c r="C182" s="93">
        <v>26</v>
      </c>
      <c r="D182" s="93">
        <v>7</v>
      </c>
      <c r="E182" s="93">
        <v>3</v>
      </c>
      <c r="F182" s="93"/>
      <c r="G182" s="82">
        <v>1</v>
      </c>
      <c r="H182" s="82">
        <v>0.72222222222222221</v>
      </c>
      <c r="I182" s="82">
        <v>0.19444444444444445</v>
      </c>
      <c r="J182" s="82">
        <v>8.3333333333333329E-2</v>
      </c>
      <c r="K182" s="82"/>
      <c r="L182" s="82"/>
      <c r="M182" s="6"/>
      <c r="N182" s="154"/>
      <c r="O182" s="155"/>
      <c r="P182" s="59"/>
      <c r="S182" s="59"/>
    </row>
    <row r="183" spans="1:19" ht="12.75" customHeight="1" x14ac:dyDescent="0.2">
      <c r="A183" s="80" t="s">
        <v>140</v>
      </c>
      <c r="B183" s="93">
        <v>56</v>
      </c>
      <c r="C183" s="93">
        <v>47</v>
      </c>
      <c r="D183" s="93">
        <v>4</v>
      </c>
      <c r="E183" s="93">
        <v>5</v>
      </c>
      <c r="F183" s="93"/>
      <c r="G183" s="82">
        <v>0.98245614035087714</v>
      </c>
      <c r="H183" s="82">
        <v>0.8392857142857143</v>
      </c>
      <c r="I183" s="82">
        <v>7.1428571428571425E-2</v>
      </c>
      <c r="J183" s="82">
        <v>8.9285714285714288E-2</v>
      </c>
      <c r="K183" s="82"/>
      <c r="L183" s="82"/>
      <c r="M183" s="6"/>
      <c r="N183" s="154"/>
      <c r="O183" s="155"/>
      <c r="P183" s="79"/>
      <c r="S183" s="59"/>
    </row>
    <row r="184" spans="1:19" ht="12.75" customHeight="1" x14ac:dyDescent="0.2">
      <c r="A184" s="80" t="s">
        <v>141</v>
      </c>
      <c r="B184" s="93">
        <v>92</v>
      </c>
      <c r="C184" s="93">
        <v>51</v>
      </c>
      <c r="D184" s="93">
        <v>31</v>
      </c>
      <c r="E184" s="93">
        <v>10</v>
      </c>
      <c r="F184" s="94"/>
      <c r="G184" s="82">
        <v>1</v>
      </c>
      <c r="H184" s="82">
        <v>0.55434782608695654</v>
      </c>
      <c r="I184" s="82">
        <v>0.33695652173913043</v>
      </c>
      <c r="J184" s="82">
        <v>0.10869565217391304</v>
      </c>
      <c r="K184" s="82"/>
      <c r="L184" s="82"/>
      <c r="M184" s="6"/>
      <c r="N184" s="154"/>
      <c r="O184" s="155"/>
      <c r="P184" s="79"/>
      <c r="Q184" s="59"/>
      <c r="R184" s="59"/>
      <c r="S184" s="59"/>
    </row>
    <row r="185" spans="1:19" ht="12.75" customHeight="1" x14ac:dyDescent="0.25">
      <c r="A185" s="80" t="s">
        <v>142</v>
      </c>
      <c r="B185" s="93">
        <v>67</v>
      </c>
      <c r="C185" s="93">
        <v>58</v>
      </c>
      <c r="D185" s="93">
        <v>3</v>
      </c>
      <c r="E185" s="93">
        <v>6</v>
      </c>
      <c r="F185" s="94"/>
      <c r="G185" s="82">
        <v>0.98529411764705888</v>
      </c>
      <c r="H185" s="82">
        <v>0.86567164179104472</v>
      </c>
      <c r="I185" s="82">
        <v>4.4776119402985072E-2</v>
      </c>
      <c r="J185" s="82">
        <v>8.9552238805970144E-2</v>
      </c>
      <c r="K185" s="82"/>
      <c r="L185" s="82"/>
      <c r="M185" s="6"/>
      <c r="N185" s="6"/>
      <c r="O185" s="125"/>
      <c r="P185" s="79"/>
      <c r="Q185" s="59"/>
      <c r="R185" s="59"/>
    </row>
    <row r="186" spans="1:19" ht="12.75" customHeight="1" x14ac:dyDescent="0.25">
      <c r="A186" s="80" t="s">
        <v>143</v>
      </c>
      <c r="B186" s="93">
        <v>5</v>
      </c>
      <c r="C186" s="93">
        <v>4</v>
      </c>
      <c r="D186" s="93">
        <v>0</v>
      </c>
      <c r="E186" s="93">
        <v>1</v>
      </c>
      <c r="F186" s="94"/>
      <c r="G186" s="82">
        <v>1</v>
      </c>
      <c r="H186" s="82">
        <v>0.8</v>
      </c>
      <c r="I186" s="82">
        <v>0</v>
      </c>
      <c r="J186" s="82">
        <v>0.2</v>
      </c>
      <c r="K186" s="79"/>
      <c r="L186" s="79"/>
      <c r="M186" s="6"/>
      <c r="N186" s="6"/>
      <c r="O186" s="125"/>
      <c r="Q186" s="79"/>
      <c r="R186" s="79"/>
    </row>
    <row r="187" spans="1:19" ht="12.75" customHeight="1" x14ac:dyDescent="0.2">
      <c r="A187" s="80" t="s">
        <v>144</v>
      </c>
      <c r="B187" s="93">
        <v>27</v>
      </c>
      <c r="C187" s="93">
        <v>16</v>
      </c>
      <c r="D187" s="93">
        <v>9</v>
      </c>
      <c r="E187" s="93">
        <v>2</v>
      </c>
      <c r="F187" s="94"/>
      <c r="G187" s="82">
        <v>0.9642857142857143</v>
      </c>
      <c r="H187" s="82">
        <v>0.59259259259259256</v>
      </c>
      <c r="I187" s="82">
        <v>0.33333333333333331</v>
      </c>
      <c r="J187" s="82">
        <v>7.407407407407407E-2</v>
      </c>
      <c r="K187" s="79"/>
      <c r="L187" s="79"/>
      <c r="M187" s="6"/>
      <c r="N187" s="153"/>
      <c r="O187" s="156"/>
      <c r="Q187" s="79"/>
      <c r="R187" s="79"/>
    </row>
    <row r="188" spans="1:19" ht="12.75" customHeight="1" x14ac:dyDescent="0.2">
      <c r="A188" s="80" t="s">
        <v>25</v>
      </c>
      <c r="B188" s="94">
        <v>497</v>
      </c>
      <c r="C188" s="93">
        <v>349</v>
      </c>
      <c r="D188" s="93">
        <v>104</v>
      </c>
      <c r="E188" s="94">
        <v>44</v>
      </c>
      <c r="F188" s="79"/>
      <c r="G188" s="82">
        <v>0.98611111111111116</v>
      </c>
      <c r="H188" s="82">
        <v>0.70221327967806846</v>
      </c>
      <c r="I188" s="82">
        <v>0.20925553319919518</v>
      </c>
      <c r="J188" s="82">
        <v>8.8531187122736416E-2</v>
      </c>
      <c r="K188" s="79"/>
      <c r="L188" s="79"/>
      <c r="M188" s="6"/>
      <c r="N188" s="154"/>
      <c r="O188" s="155"/>
      <c r="Q188" s="79"/>
      <c r="R188" s="79"/>
    </row>
    <row r="189" spans="1:19" ht="12.75" customHeight="1" x14ac:dyDescent="0.2">
      <c r="A189" s="80"/>
      <c r="B189" s="94"/>
      <c r="C189" s="93"/>
      <c r="D189" s="93"/>
      <c r="E189" s="94"/>
      <c r="F189" s="79"/>
      <c r="G189" s="82"/>
      <c r="H189" s="82"/>
      <c r="I189" s="82"/>
      <c r="J189" s="82"/>
      <c r="K189" s="79"/>
      <c r="L189" s="79"/>
      <c r="M189" s="6"/>
      <c r="N189" s="6"/>
      <c r="O189" s="6"/>
    </row>
    <row r="190" spans="1:19" ht="12.75" customHeight="1" x14ac:dyDescent="0.2">
      <c r="A190" s="80"/>
      <c r="B190" s="94"/>
      <c r="C190" s="93"/>
      <c r="D190" s="93"/>
      <c r="E190" s="94"/>
      <c r="F190" s="79"/>
      <c r="G190" s="82"/>
      <c r="H190" s="82"/>
      <c r="I190" s="82"/>
      <c r="J190" s="82"/>
      <c r="K190" s="79"/>
      <c r="L190" s="81"/>
      <c r="M190" s="6"/>
      <c r="N190" s="6"/>
      <c r="O190" s="6"/>
    </row>
    <row r="191" spans="1:19" ht="12.75" customHeight="1" x14ac:dyDescent="0.2">
      <c r="A191" s="80"/>
      <c r="B191" s="94"/>
      <c r="C191" s="94"/>
      <c r="D191" s="94"/>
      <c r="E191" s="94"/>
      <c r="F191" s="79"/>
      <c r="G191" s="82"/>
      <c r="H191" s="82"/>
      <c r="I191" s="82"/>
      <c r="J191" s="82"/>
      <c r="K191" s="81"/>
      <c r="L191" s="82"/>
      <c r="M191" s="6"/>
      <c r="N191" s="6"/>
      <c r="O191" s="6"/>
      <c r="P191" s="89" t="s">
        <v>283</v>
      </c>
    </row>
    <row r="192" spans="1:19" ht="12.75" customHeight="1" x14ac:dyDescent="0.2">
      <c r="A192" s="80" t="s">
        <v>315</v>
      </c>
      <c r="B192" s="79"/>
      <c r="C192" s="79"/>
      <c r="D192" s="79"/>
      <c r="E192" s="79"/>
      <c r="F192" s="79"/>
      <c r="G192" s="79"/>
      <c r="H192" s="79"/>
      <c r="I192" s="79"/>
      <c r="J192" s="79"/>
      <c r="K192" s="82"/>
      <c r="L192" s="82"/>
      <c r="M192" s="6"/>
      <c r="N192" s="6"/>
      <c r="O192" s="6"/>
    </row>
    <row r="193" spans="1:19" ht="12.75" customHeight="1" x14ac:dyDescent="0.2">
      <c r="A193" s="80" t="s">
        <v>302</v>
      </c>
      <c r="B193" s="79"/>
      <c r="C193" s="79"/>
      <c r="D193" s="79"/>
      <c r="E193" s="79"/>
      <c r="F193" s="79"/>
      <c r="G193" s="79"/>
      <c r="H193" s="79"/>
      <c r="I193" s="79"/>
      <c r="J193" s="79"/>
      <c r="K193" s="82"/>
      <c r="L193" s="82"/>
      <c r="M193" s="6" t="s">
        <v>303</v>
      </c>
      <c r="N193" s="6"/>
      <c r="O193" s="6"/>
    </row>
    <row r="194" spans="1:19" ht="12.75" customHeight="1" x14ac:dyDescent="0.2">
      <c r="A194" s="80" t="s">
        <v>284</v>
      </c>
      <c r="B194" s="79"/>
      <c r="C194" s="79"/>
      <c r="D194" s="79"/>
      <c r="E194" s="79"/>
      <c r="F194" s="79"/>
      <c r="G194" s="79"/>
      <c r="H194" s="79"/>
      <c r="I194" s="79"/>
      <c r="J194" s="79"/>
      <c r="K194" s="82"/>
      <c r="L194" s="82"/>
      <c r="M194" s="6" t="s">
        <v>307</v>
      </c>
      <c r="N194" s="154"/>
      <c r="O194" s="155"/>
    </row>
    <row r="195" spans="1:19" s="59" customFormat="1" ht="12.75" customHeight="1" x14ac:dyDescent="0.2">
      <c r="A195" s="80" t="s">
        <v>314</v>
      </c>
      <c r="B195" s="79"/>
      <c r="C195" s="79"/>
      <c r="D195" s="79"/>
      <c r="E195" s="79"/>
      <c r="F195" s="79"/>
      <c r="G195" s="79"/>
      <c r="H195" s="79"/>
      <c r="I195" s="79"/>
      <c r="J195" s="79"/>
      <c r="K195" s="82"/>
      <c r="L195" s="82"/>
      <c r="M195" s="6" t="s">
        <v>272</v>
      </c>
      <c r="N195" s="6"/>
      <c r="O195" s="6"/>
      <c r="P195"/>
      <c r="Q195"/>
      <c r="R195"/>
      <c r="S195"/>
    </row>
    <row r="196" spans="1:19" s="59" customFormat="1" ht="12.75" customHeight="1" x14ac:dyDescent="0.2">
      <c r="A196" s="80" t="s">
        <v>319</v>
      </c>
      <c r="B196" s="79" t="s">
        <v>149</v>
      </c>
      <c r="C196" s="79"/>
      <c r="D196" s="79"/>
      <c r="E196" s="79"/>
      <c r="F196" s="93"/>
      <c r="G196" s="79" t="s">
        <v>156</v>
      </c>
      <c r="H196" s="79"/>
      <c r="I196" s="79"/>
      <c r="J196" s="79"/>
      <c r="K196" s="82"/>
      <c r="L196" s="82"/>
      <c r="M196" s="6" t="s">
        <v>216</v>
      </c>
      <c r="N196" s="83">
        <v>497</v>
      </c>
      <c r="O196" s="156" t="s">
        <v>217</v>
      </c>
      <c r="P196"/>
      <c r="Q196"/>
      <c r="R196"/>
      <c r="S196"/>
    </row>
    <row r="197" spans="1:19" s="59" customFormat="1" ht="12.75" customHeight="1" x14ac:dyDescent="0.2">
      <c r="A197" s="80" t="s">
        <v>145</v>
      </c>
      <c r="B197" s="81" t="s">
        <v>117</v>
      </c>
      <c r="C197" s="81" t="s">
        <v>118</v>
      </c>
      <c r="D197" s="81" t="s">
        <v>119</v>
      </c>
      <c r="E197" s="81" t="s">
        <v>120</v>
      </c>
      <c r="F197" s="93"/>
      <c r="G197" s="81" t="s">
        <v>117</v>
      </c>
      <c r="H197" s="81" t="s">
        <v>118</v>
      </c>
      <c r="I197" s="81" t="s">
        <v>119</v>
      </c>
      <c r="J197" s="81" t="s">
        <v>120</v>
      </c>
      <c r="K197" s="82"/>
      <c r="L197" s="82"/>
      <c r="M197" s="6" t="s">
        <v>322</v>
      </c>
      <c r="N197" s="154">
        <v>341</v>
      </c>
      <c r="O197" s="155">
        <v>0.6861167002012073</v>
      </c>
      <c r="P197"/>
      <c r="Q197"/>
      <c r="R197"/>
      <c r="S197"/>
    </row>
    <row r="198" spans="1:19" s="59" customFormat="1" ht="12.75" customHeight="1" x14ac:dyDescent="0.2">
      <c r="A198" s="80" t="s">
        <v>135</v>
      </c>
      <c r="B198" s="93">
        <v>38</v>
      </c>
      <c r="C198" s="93">
        <v>23</v>
      </c>
      <c r="D198" s="93">
        <v>13</v>
      </c>
      <c r="E198" s="93">
        <v>2</v>
      </c>
      <c r="F198" s="93"/>
      <c r="G198" s="82">
        <v>0.97435897435897434</v>
      </c>
      <c r="H198" s="82">
        <v>0.60526315789473684</v>
      </c>
      <c r="I198" s="82">
        <v>0.34210526315789475</v>
      </c>
      <c r="J198" s="82">
        <v>5.2631578947368418E-2</v>
      </c>
      <c r="K198" s="82"/>
      <c r="L198" s="82"/>
      <c r="M198" s="6" t="s">
        <v>242</v>
      </c>
      <c r="N198" s="154">
        <v>140</v>
      </c>
      <c r="O198" s="155">
        <v>0.28169014084507044</v>
      </c>
      <c r="P198"/>
      <c r="Q198"/>
      <c r="R198"/>
      <c r="S198"/>
    </row>
    <row r="199" spans="1:19" ht="12.75" customHeight="1" x14ac:dyDescent="0.2">
      <c r="A199" s="80" t="s">
        <v>136</v>
      </c>
      <c r="B199" s="93">
        <v>27</v>
      </c>
      <c r="C199" s="93">
        <v>21</v>
      </c>
      <c r="D199" s="93">
        <v>4</v>
      </c>
      <c r="E199" s="93">
        <v>2</v>
      </c>
      <c r="F199" s="93"/>
      <c r="G199" s="82">
        <v>1</v>
      </c>
      <c r="H199" s="82">
        <v>0.77777777777777779</v>
      </c>
      <c r="I199" s="82">
        <v>0.14814814814814814</v>
      </c>
      <c r="J199" s="82">
        <v>7.407407407407407E-2</v>
      </c>
      <c r="K199" s="82"/>
      <c r="L199" s="82"/>
      <c r="M199" s="6" t="s">
        <v>323</v>
      </c>
      <c r="N199" s="154">
        <v>151</v>
      </c>
      <c r="O199" s="155">
        <v>0.30382293762575452</v>
      </c>
    </row>
    <row r="200" spans="1:19" ht="12.75" customHeight="1" x14ac:dyDescent="0.2">
      <c r="A200" s="80" t="s">
        <v>137</v>
      </c>
      <c r="B200" s="93">
        <v>65</v>
      </c>
      <c r="C200" s="93">
        <v>49</v>
      </c>
      <c r="D200" s="93">
        <v>11</v>
      </c>
      <c r="E200" s="93">
        <v>5</v>
      </c>
      <c r="F200" s="93"/>
      <c r="G200" s="82">
        <v>1</v>
      </c>
      <c r="H200" s="82">
        <v>0.75384615384615383</v>
      </c>
      <c r="I200" s="82">
        <v>0.16923076923076924</v>
      </c>
      <c r="J200" s="82">
        <v>7.6923076923076927E-2</v>
      </c>
      <c r="K200" s="82"/>
      <c r="L200" s="82"/>
      <c r="M200" s="6" t="s">
        <v>243</v>
      </c>
      <c r="N200" s="154">
        <v>50</v>
      </c>
      <c r="O200" s="155">
        <v>0.1006036217303823</v>
      </c>
      <c r="P200" s="59"/>
      <c r="S200" s="59"/>
    </row>
    <row r="201" spans="1:19" ht="12.75" customHeight="1" x14ac:dyDescent="0.2">
      <c r="A201" s="80" t="s">
        <v>138</v>
      </c>
      <c r="B201" s="93">
        <v>83</v>
      </c>
      <c r="C201" s="93">
        <v>66</v>
      </c>
      <c r="D201" s="93">
        <v>11</v>
      </c>
      <c r="E201" s="93">
        <v>6</v>
      </c>
      <c r="F201" s="93"/>
      <c r="G201" s="82">
        <v>0.96511627906976749</v>
      </c>
      <c r="H201" s="82">
        <v>0.79518072289156627</v>
      </c>
      <c r="I201" s="82">
        <v>0.13253012048192772</v>
      </c>
      <c r="J201" s="82">
        <v>7.2289156626506021E-2</v>
      </c>
      <c r="K201" s="82"/>
      <c r="L201" s="82"/>
      <c r="M201" s="6"/>
      <c r="N201" s="154"/>
      <c r="O201" s="155"/>
      <c r="P201" s="59"/>
      <c r="S201" s="59"/>
    </row>
    <row r="202" spans="1:19" ht="12.75" customHeight="1" x14ac:dyDescent="0.2">
      <c r="A202" s="80" t="s">
        <v>139</v>
      </c>
      <c r="B202" s="93">
        <v>37</v>
      </c>
      <c r="C202" s="93">
        <v>32</v>
      </c>
      <c r="D202" s="93">
        <v>3</v>
      </c>
      <c r="E202" s="93">
        <v>2</v>
      </c>
      <c r="F202" s="93"/>
      <c r="G202" s="82">
        <v>1</v>
      </c>
      <c r="H202" s="82">
        <v>0.86486486486486491</v>
      </c>
      <c r="I202" s="82">
        <v>8.1081081081081086E-2</v>
      </c>
      <c r="J202" s="82">
        <v>5.4054054054054057E-2</v>
      </c>
      <c r="K202" s="82"/>
      <c r="L202" s="82"/>
      <c r="M202" s="6"/>
      <c r="N202" s="154"/>
      <c r="O202" s="155"/>
      <c r="P202" s="59"/>
      <c r="S202" s="59"/>
    </row>
    <row r="203" spans="1:19" ht="12.75" customHeight="1" x14ac:dyDescent="0.2">
      <c r="A203" s="80" t="s">
        <v>140</v>
      </c>
      <c r="B203" s="93">
        <v>58</v>
      </c>
      <c r="C203" s="93">
        <v>51</v>
      </c>
      <c r="D203" s="93">
        <v>5</v>
      </c>
      <c r="E203" s="93">
        <v>2</v>
      </c>
      <c r="F203" s="93"/>
      <c r="G203" s="82">
        <v>1</v>
      </c>
      <c r="H203" s="82">
        <v>0.87931034482758619</v>
      </c>
      <c r="I203" s="82">
        <v>8.6206896551724144E-2</v>
      </c>
      <c r="J203" s="82">
        <v>3.4482758620689655E-2</v>
      </c>
      <c r="K203" s="82"/>
      <c r="L203" s="82"/>
      <c r="M203" s="6"/>
      <c r="N203" s="154"/>
      <c r="O203" s="155"/>
      <c r="P203" s="59"/>
      <c r="Q203" s="59"/>
      <c r="R203" s="59"/>
      <c r="S203" s="59"/>
    </row>
    <row r="204" spans="1:19" ht="12.75" customHeight="1" x14ac:dyDescent="0.2">
      <c r="A204" s="80" t="s">
        <v>141</v>
      </c>
      <c r="B204" s="93">
        <v>90</v>
      </c>
      <c r="C204" s="93">
        <v>50</v>
      </c>
      <c r="D204" s="93">
        <v>32</v>
      </c>
      <c r="E204" s="93">
        <v>8</v>
      </c>
      <c r="F204" s="94"/>
      <c r="G204" s="82">
        <v>1</v>
      </c>
      <c r="H204" s="82">
        <v>0.55555555555555558</v>
      </c>
      <c r="I204" s="82">
        <v>0.35555555555555557</v>
      </c>
      <c r="J204" s="82">
        <v>8.8888888888888892E-2</v>
      </c>
      <c r="K204" s="82"/>
      <c r="L204" s="82"/>
      <c r="M204" s="6"/>
      <c r="N204" s="154"/>
      <c r="O204" s="155"/>
      <c r="Q204" s="59"/>
      <c r="R204" s="59"/>
    </row>
    <row r="205" spans="1:19" ht="12.75" customHeight="1" x14ac:dyDescent="0.25">
      <c r="A205" s="80" t="s">
        <v>142</v>
      </c>
      <c r="B205" s="93">
        <v>67</v>
      </c>
      <c r="C205" s="93">
        <v>51</v>
      </c>
      <c r="D205" s="93">
        <v>12</v>
      </c>
      <c r="E205" s="93">
        <v>4</v>
      </c>
      <c r="F205" s="94"/>
      <c r="G205" s="82">
        <v>0.98529411764705888</v>
      </c>
      <c r="H205" s="82">
        <v>0.76119402985074625</v>
      </c>
      <c r="I205" s="82">
        <v>0.17910447761194029</v>
      </c>
      <c r="J205" s="82">
        <v>5.9701492537313432E-2</v>
      </c>
      <c r="K205" s="82"/>
      <c r="L205" s="82"/>
      <c r="M205" s="6"/>
      <c r="N205" s="6"/>
      <c r="O205" s="125"/>
      <c r="Q205" s="59"/>
      <c r="R205" s="59"/>
    </row>
    <row r="206" spans="1:19" ht="12.75" customHeight="1" x14ac:dyDescent="0.25">
      <c r="A206" s="80" t="s">
        <v>143</v>
      </c>
      <c r="B206" s="93">
        <v>5</v>
      </c>
      <c r="C206" s="93">
        <v>4</v>
      </c>
      <c r="D206" s="93">
        <v>0</v>
      </c>
      <c r="E206" s="93">
        <v>1</v>
      </c>
      <c r="F206" s="94"/>
      <c r="G206" s="82">
        <v>1</v>
      </c>
      <c r="H206" s="82">
        <v>0.8</v>
      </c>
      <c r="I206" s="82">
        <v>0</v>
      </c>
      <c r="J206" s="82">
        <v>0.2</v>
      </c>
      <c r="K206" s="79"/>
      <c r="L206" s="79"/>
      <c r="M206" s="6"/>
      <c r="N206" s="6"/>
      <c r="O206" s="125"/>
      <c r="Q206" s="59"/>
      <c r="R206" s="59"/>
    </row>
    <row r="207" spans="1:19" ht="12.75" customHeight="1" x14ac:dyDescent="0.2">
      <c r="A207" s="80" t="s">
        <v>144</v>
      </c>
      <c r="B207" s="93">
        <v>29</v>
      </c>
      <c r="C207" s="93">
        <v>14</v>
      </c>
      <c r="D207" s="93">
        <v>12</v>
      </c>
      <c r="E207" s="93">
        <v>3</v>
      </c>
      <c r="F207" s="94"/>
      <c r="G207" s="82">
        <v>1</v>
      </c>
      <c r="H207" s="82">
        <v>0.48275862068965519</v>
      </c>
      <c r="I207" s="82">
        <v>0.41379310344827586</v>
      </c>
      <c r="J207" s="82">
        <v>0.10344827586206896</v>
      </c>
      <c r="K207" s="79"/>
      <c r="L207" s="79"/>
      <c r="M207" s="6"/>
      <c r="N207" s="153"/>
      <c r="O207" s="156"/>
      <c r="P207" s="79"/>
    </row>
    <row r="208" spans="1:19" ht="12.75" customHeight="1" x14ac:dyDescent="0.2">
      <c r="A208" s="80" t="s">
        <v>25</v>
      </c>
      <c r="B208" s="94">
        <v>499</v>
      </c>
      <c r="C208" s="93">
        <v>361</v>
      </c>
      <c r="D208" s="93">
        <v>103</v>
      </c>
      <c r="E208" s="94">
        <v>35</v>
      </c>
      <c r="F208" s="79"/>
      <c r="G208" s="82">
        <v>0.99007936507936511</v>
      </c>
      <c r="H208" s="82">
        <v>0.7234468937875751</v>
      </c>
      <c r="I208" s="82">
        <v>0.20641282565130262</v>
      </c>
      <c r="J208" s="82">
        <v>7.0140280561122245E-2</v>
      </c>
      <c r="K208" s="79"/>
      <c r="L208" s="79"/>
      <c r="M208" s="6"/>
      <c r="N208" s="154"/>
      <c r="O208" s="155"/>
      <c r="P208" s="104"/>
    </row>
    <row r="209" spans="1:19" ht="12.75" customHeight="1" x14ac:dyDescent="0.2">
      <c r="A209" s="80"/>
      <c r="B209" s="94"/>
      <c r="C209" s="93"/>
      <c r="D209" s="93"/>
      <c r="E209" s="94"/>
      <c r="F209" s="79"/>
      <c r="G209" s="82"/>
      <c r="H209" s="82"/>
      <c r="I209" s="82"/>
      <c r="J209" s="82"/>
      <c r="K209" s="79"/>
      <c r="L209" s="81"/>
      <c r="M209" s="6"/>
      <c r="N209" s="6"/>
      <c r="O209" s="6"/>
      <c r="P209" s="131"/>
    </row>
    <row r="210" spans="1:19" ht="12.75" customHeight="1" x14ac:dyDescent="0.2">
      <c r="A210" s="80"/>
      <c r="B210" s="94"/>
      <c r="C210" s="93"/>
      <c r="D210" s="93"/>
      <c r="E210" s="94"/>
      <c r="F210" s="79"/>
      <c r="G210" s="82"/>
      <c r="H210" s="82"/>
      <c r="I210" s="82"/>
      <c r="J210" s="82"/>
      <c r="K210" s="81"/>
      <c r="L210" s="82"/>
      <c r="M210" s="6"/>
      <c r="N210" s="6"/>
      <c r="O210" s="6"/>
      <c r="P210" s="131"/>
      <c r="Q210" s="130"/>
      <c r="R210" s="79"/>
    </row>
    <row r="211" spans="1:19" ht="12.75" customHeight="1" x14ac:dyDescent="0.2">
      <c r="A211" s="80"/>
      <c r="B211" s="94"/>
      <c r="C211" s="94"/>
      <c r="D211" s="94"/>
      <c r="E211" s="94"/>
      <c r="F211" s="79"/>
      <c r="G211" s="82"/>
      <c r="H211" s="82"/>
      <c r="I211" s="82"/>
      <c r="J211" s="82"/>
      <c r="K211" s="82"/>
      <c r="L211" s="82"/>
      <c r="M211" s="6"/>
      <c r="N211" s="6"/>
      <c r="O211" s="6"/>
      <c r="P211" s="131"/>
      <c r="Q211" s="129"/>
      <c r="R211" s="89"/>
    </row>
    <row r="212" spans="1:19" s="59" customFormat="1" ht="12.75" customHeight="1" x14ac:dyDescent="0.2">
      <c r="A212" s="80" t="s">
        <v>295</v>
      </c>
      <c r="B212" s="79"/>
      <c r="C212" s="79"/>
      <c r="D212" s="79"/>
      <c r="E212" s="79"/>
      <c r="F212" s="79"/>
      <c r="G212" s="79"/>
      <c r="H212" s="79"/>
      <c r="I212" s="79"/>
      <c r="J212" s="79"/>
      <c r="K212" s="82"/>
      <c r="L212" s="82"/>
      <c r="M212" s="6" t="s">
        <v>293</v>
      </c>
      <c r="N212" s="6"/>
      <c r="O212" s="6"/>
      <c r="P212" s="131"/>
      <c r="Q212" s="132"/>
      <c r="R212" s="131"/>
      <c r="S212"/>
    </row>
    <row r="213" spans="1:19" s="59" customFormat="1" ht="12.75" customHeight="1" x14ac:dyDescent="0.2">
      <c r="A213" s="80" t="s">
        <v>300</v>
      </c>
      <c r="B213" s="79"/>
      <c r="C213" s="79"/>
      <c r="D213" s="79"/>
      <c r="E213" s="79"/>
      <c r="F213" s="79"/>
      <c r="G213" s="79"/>
      <c r="H213" s="79"/>
      <c r="I213" s="79"/>
      <c r="J213" s="79"/>
      <c r="K213" s="82"/>
      <c r="L213" s="82"/>
      <c r="M213" s="6" t="s">
        <v>294</v>
      </c>
      <c r="N213" s="154"/>
      <c r="O213" s="155"/>
      <c r="Q213" s="132"/>
      <c r="R213" s="131"/>
    </row>
    <row r="214" spans="1:19" s="59" customFormat="1" ht="12.75" customHeight="1" x14ac:dyDescent="0.2">
      <c r="A214" s="80" t="s">
        <v>301</v>
      </c>
      <c r="B214" s="79"/>
      <c r="C214" s="79"/>
      <c r="D214" s="79"/>
      <c r="E214" s="79"/>
      <c r="F214" s="79"/>
      <c r="G214" s="79"/>
      <c r="H214" s="79"/>
      <c r="I214" s="79"/>
      <c r="J214" s="79"/>
      <c r="K214" s="82"/>
      <c r="L214" s="82"/>
      <c r="M214" s="6" t="s">
        <v>272</v>
      </c>
      <c r="N214" s="6"/>
      <c r="O214" s="6"/>
      <c r="Q214" s="132"/>
      <c r="R214" s="131"/>
    </row>
    <row r="215" spans="1:19" s="59" customFormat="1" ht="12.75" customHeight="1" x14ac:dyDescent="0.2">
      <c r="A215" s="80" t="s">
        <v>298</v>
      </c>
      <c r="B215" s="79" t="s">
        <v>149</v>
      </c>
      <c r="C215" s="79"/>
      <c r="D215" s="79"/>
      <c r="E215" s="79"/>
      <c r="F215" s="93"/>
      <c r="G215" s="79" t="s">
        <v>156</v>
      </c>
      <c r="H215" s="79"/>
      <c r="I215" s="79"/>
      <c r="J215" s="79"/>
      <c r="K215" s="82"/>
      <c r="L215" s="82"/>
      <c r="M215" s="6" t="s">
        <v>216</v>
      </c>
      <c r="N215" s="83">
        <v>496</v>
      </c>
      <c r="O215" s="156" t="s">
        <v>217</v>
      </c>
      <c r="Q215" s="132"/>
      <c r="R215" s="131"/>
    </row>
    <row r="216" spans="1:19" ht="12.75" customHeight="1" x14ac:dyDescent="0.2">
      <c r="A216" s="80" t="s">
        <v>145</v>
      </c>
      <c r="B216" s="81" t="s">
        <v>117</v>
      </c>
      <c r="C216" s="81" t="s">
        <v>118</v>
      </c>
      <c r="D216" s="81" t="s">
        <v>119</v>
      </c>
      <c r="E216" s="81" t="s">
        <v>120</v>
      </c>
      <c r="F216" s="93"/>
      <c r="G216" s="81" t="s">
        <v>117</v>
      </c>
      <c r="H216" s="81" t="s">
        <v>118</v>
      </c>
      <c r="I216" s="81" t="s">
        <v>119</v>
      </c>
      <c r="J216" s="81" t="s">
        <v>120</v>
      </c>
      <c r="K216" s="82"/>
      <c r="L216" s="82"/>
      <c r="M216" s="6" t="s">
        <v>320</v>
      </c>
      <c r="N216" s="154">
        <v>342</v>
      </c>
      <c r="O216" s="155">
        <f>N216/N215</f>
        <v>0.68951612903225812</v>
      </c>
      <c r="P216" s="59"/>
      <c r="Q216" s="59"/>
      <c r="R216" s="59"/>
      <c r="S216" s="59"/>
    </row>
    <row r="217" spans="1:19" ht="12.75" customHeight="1" x14ac:dyDescent="0.2">
      <c r="A217" s="80" t="s">
        <v>135</v>
      </c>
      <c r="B217" s="93">
        <v>40</v>
      </c>
      <c r="C217" s="93">
        <v>28</v>
      </c>
      <c r="D217" s="93">
        <v>11</v>
      </c>
      <c r="E217" s="93">
        <v>1</v>
      </c>
      <c r="F217" s="93"/>
      <c r="G217" s="82">
        <f>B217/40</f>
        <v>1</v>
      </c>
      <c r="H217" s="82">
        <f>C217/B217</f>
        <v>0.7</v>
      </c>
      <c r="I217" s="82">
        <f>D217/B217</f>
        <v>0.27500000000000002</v>
      </c>
      <c r="J217" s="82">
        <f>E217/B217</f>
        <v>2.5000000000000001E-2</v>
      </c>
      <c r="K217" s="82"/>
      <c r="L217" s="82"/>
      <c r="M217" s="6" t="s">
        <v>242</v>
      </c>
      <c r="N217" s="154">
        <v>128</v>
      </c>
      <c r="O217" s="155">
        <f>N217/N215</f>
        <v>0.25806451612903225</v>
      </c>
      <c r="Q217" s="59"/>
      <c r="R217" s="59"/>
    </row>
    <row r="218" spans="1:19" ht="12.75" customHeight="1" x14ac:dyDescent="0.2">
      <c r="A218" s="80" t="s">
        <v>136</v>
      </c>
      <c r="B218" s="93">
        <v>27</v>
      </c>
      <c r="C218" s="93">
        <v>19</v>
      </c>
      <c r="D218" s="93">
        <v>5</v>
      </c>
      <c r="E218" s="93">
        <v>3</v>
      </c>
      <c r="F218" s="93"/>
      <c r="G218" s="82">
        <f>B218/27</f>
        <v>1</v>
      </c>
      <c r="H218" s="82">
        <f t="shared" ref="H218:H226" si="9">C218/B218</f>
        <v>0.70370370370370372</v>
      </c>
      <c r="I218" s="82">
        <f t="shared" ref="I218:I227" si="10">D218/B218</f>
        <v>0.18518518518518517</v>
      </c>
      <c r="J218" s="82">
        <f t="shared" ref="J218:J227" si="11">E218/B218</f>
        <v>0.1111111111111111</v>
      </c>
      <c r="K218" s="82"/>
      <c r="L218" s="82"/>
      <c r="M218" s="6" t="s">
        <v>321</v>
      </c>
      <c r="N218" s="154">
        <v>150</v>
      </c>
      <c r="O218" s="155">
        <f>N218/N215</f>
        <v>0.30241935483870969</v>
      </c>
      <c r="Q218" s="59"/>
      <c r="R218" s="59"/>
    </row>
    <row r="219" spans="1:19" s="79" customFormat="1" ht="12.75" customHeight="1" x14ac:dyDescent="0.2">
      <c r="A219" s="80" t="s">
        <v>137</v>
      </c>
      <c r="B219" s="93">
        <v>65</v>
      </c>
      <c r="C219" s="93">
        <v>42</v>
      </c>
      <c r="D219" s="93">
        <v>18</v>
      </c>
      <c r="E219" s="93">
        <v>5</v>
      </c>
      <c r="F219" s="93"/>
      <c r="G219" s="82">
        <f>B219/66</f>
        <v>0.98484848484848486</v>
      </c>
      <c r="H219" s="82">
        <f t="shared" si="9"/>
        <v>0.64615384615384619</v>
      </c>
      <c r="I219" s="82">
        <f t="shared" si="10"/>
        <v>0.27692307692307694</v>
      </c>
      <c r="J219" s="82">
        <f t="shared" si="11"/>
        <v>7.6923076923076927E-2</v>
      </c>
      <c r="K219" s="82"/>
      <c r="L219" s="82"/>
      <c r="M219" s="6" t="s">
        <v>243</v>
      </c>
      <c r="N219" s="154">
        <v>47</v>
      </c>
      <c r="O219" s="155">
        <f>N219/N215</f>
        <v>9.4758064516129031E-2</v>
      </c>
      <c r="P219"/>
      <c r="Q219" s="59"/>
      <c r="R219" s="59"/>
      <c r="S219"/>
    </row>
    <row r="220" spans="1:19" s="79" customFormat="1" ht="12.75" customHeight="1" x14ac:dyDescent="0.2">
      <c r="A220" s="80" t="s">
        <v>138</v>
      </c>
      <c r="B220" s="93">
        <v>84</v>
      </c>
      <c r="C220" s="93">
        <v>59</v>
      </c>
      <c r="D220" s="93">
        <v>18</v>
      </c>
      <c r="E220" s="93">
        <v>7</v>
      </c>
      <c r="F220" s="93"/>
      <c r="G220" s="82">
        <f>B220/87</f>
        <v>0.96551724137931039</v>
      </c>
      <c r="H220" s="82">
        <f t="shared" si="9"/>
        <v>0.70238095238095233</v>
      </c>
      <c r="I220" s="82">
        <f t="shared" si="10"/>
        <v>0.21428571428571427</v>
      </c>
      <c r="J220" s="82">
        <f t="shared" si="11"/>
        <v>8.3333333333333329E-2</v>
      </c>
      <c r="K220" s="82"/>
      <c r="L220" s="82"/>
      <c r="M220" s="6"/>
      <c r="N220" s="154"/>
      <c r="O220" s="155"/>
      <c r="Q220"/>
      <c r="R220"/>
    </row>
    <row r="221" spans="1:19" s="79" customFormat="1" ht="12.75" customHeight="1" x14ac:dyDescent="0.2">
      <c r="A221" s="80" t="s">
        <v>139</v>
      </c>
      <c r="B221" s="93">
        <v>38</v>
      </c>
      <c r="C221" s="93">
        <v>25</v>
      </c>
      <c r="D221" s="93">
        <v>8</v>
      </c>
      <c r="E221" s="93">
        <v>5</v>
      </c>
      <c r="F221" s="93"/>
      <c r="G221" s="82">
        <f>B221/38</f>
        <v>1</v>
      </c>
      <c r="H221" s="82">
        <f t="shared" si="9"/>
        <v>0.65789473684210531</v>
      </c>
      <c r="I221" s="82">
        <f t="shared" si="10"/>
        <v>0.21052631578947367</v>
      </c>
      <c r="J221" s="82">
        <f t="shared" si="11"/>
        <v>0.13157894736842105</v>
      </c>
      <c r="K221" s="82"/>
      <c r="L221" s="82"/>
      <c r="M221" s="6"/>
      <c r="N221" s="154"/>
      <c r="O221" s="155"/>
      <c r="Q221"/>
      <c r="R221"/>
    </row>
    <row r="222" spans="1:19" s="79" customFormat="1" ht="12.75" customHeight="1" x14ac:dyDescent="0.2">
      <c r="A222" s="80" t="s">
        <v>140</v>
      </c>
      <c r="B222" s="93">
        <v>56</v>
      </c>
      <c r="C222" s="93">
        <v>40</v>
      </c>
      <c r="D222" s="93">
        <v>10</v>
      </c>
      <c r="E222" s="93">
        <v>6</v>
      </c>
      <c r="F222" s="93"/>
      <c r="G222" s="82">
        <f>B222/56</f>
        <v>1</v>
      </c>
      <c r="H222" s="82">
        <f t="shared" si="9"/>
        <v>0.7142857142857143</v>
      </c>
      <c r="I222" s="82">
        <f t="shared" si="10"/>
        <v>0.17857142857142858</v>
      </c>
      <c r="J222" s="82">
        <f t="shared" si="11"/>
        <v>0.10714285714285714</v>
      </c>
      <c r="K222" s="82"/>
      <c r="L222" s="82"/>
      <c r="M222" s="6"/>
      <c r="N222" s="154"/>
      <c r="O222" s="155"/>
      <c r="Q222"/>
      <c r="R222"/>
    </row>
    <row r="223" spans="1:19" s="79" customFormat="1" ht="12.75" customHeight="1" x14ac:dyDescent="0.2">
      <c r="A223" s="80" t="s">
        <v>141</v>
      </c>
      <c r="B223" s="93">
        <v>86</v>
      </c>
      <c r="C223" s="93">
        <v>56</v>
      </c>
      <c r="D223" s="93">
        <v>23</v>
      </c>
      <c r="E223" s="93">
        <v>7</v>
      </c>
      <c r="F223" s="94"/>
      <c r="G223" s="82">
        <f>B223/87</f>
        <v>0.9885057471264368</v>
      </c>
      <c r="H223" s="82">
        <f t="shared" si="9"/>
        <v>0.65116279069767447</v>
      </c>
      <c r="I223" s="82">
        <f t="shared" si="10"/>
        <v>0.26744186046511625</v>
      </c>
      <c r="J223" s="82">
        <f t="shared" si="11"/>
        <v>8.1395348837209308E-2</v>
      </c>
      <c r="K223" s="82"/>
      <c r="L223" s="82"/>
      <c r="M223" s="6"/>
      <c r="N223" s="154"/>
      <c r="O223" s="155"/>
    </row>
    <row r="224" spans="1:19" s="79" customFormat="1" ht="12.75" customHeight="1" x14ac:dyDescent="0.25">
      <c r="A224" s="80" t="s">
        <v>142</v>
      </c>
      <c r="B224" s="93">
        <v>66</v>
      </c>
      <c r="C224" s="93">
        <v>53</v>
      </c>
      <c r="D224" s="93">
        <v>4</v>
      </c>
      <c r="E224" s="93">
        <v>9</v>
      </c>
      <c r="F224" s="94"/>
      <c r="G224" s="82">
        <f>B224/69</f>
        <v>0.95652173913043481</v>
      </c>
      <c r="H224" s="82">
        <f t="shared" si="9"/>
        <v>0.80303030303030298</v>
      </c>
      <c r="I224" s="82">
        <f t="shared" si="10"/>
        <v>6.0606060606060608E-2</v>
      </c>
      <c r="J224" s="82">
        <f t="shared" si="11"/>
        <v>0.13636363636363635</v>
      </c>
      <c r="K224" s="82"/>
      <c r="L224" s="82"/>
      <c r="M224" s="6"/>
      <c r="N224" s="6"/>
      <c r="O224" s="125"/>
    </row>
    <row r="225" spans="1:19" s="79" customFormat="1" ht="12.75" customHeight="1" x14ac:dyDescent="0.25">
      <c r="A225" s="80" t="s">
        <v>143</v>
      </c>
      <c r="B225" s="93">
        <v>5</v>
      </c>
      <c r="C225" s="93">
        <v>3</v>
      </c>
      <c r="D225" s="93">
        <v>1</v>
      </c>
      <c r="E225" s="93">
        <v>1</v>
      </c>
      <c r="F225" s="94"/>
      <c r="G225" s="82">
        <f>B225/5</f>
        <v>1</v>
      </c>
      <c r="H225" s="82">
        <f t="shared" si="9"/>
        <v>0.6</v>
      </c>
      <c r="I225" s="82">
        <f t="shared" si="10"/>
        <v>0.2</v>
      </c>
      <c r="J225" s="82">
        <f t="shared" si="11"/>
        <v>0.2</v>
      </c>
      <c r="M225" s="6"/>
      <c r="N225" s="6"/>
      <c r="O225" s="125"/>
    </row>
    <row r="226" spans="1:19" s="79" customFormat="1" ht="12.75" customHeight="1" x14ac:dyDescent="0.2">
      <c r="A226" s="80" t="s">
        <v>144</v>
      </c>
      <c r="B226" s="93">
        <v>29</v>
      </c>
      <c r="C226" s="93">
        <v>16</v>
      </c>
      <c r="D226" s="93">
        <v>9</v>
      </c>
      <c r="E226" s="93">
        <v>4</v>
      </c>
      <c r="F226" s="94"/>
      <c r="G226" s="82">
        <f>B226/29</f>
        <v>1</v>
      </c>
      <c r="H226" s="82">
        <f t="shared" si="9"/>
        <v>0.55172413793103448</v>
      </c>
      <c r="I226" s="82">
        <f t="shared" si="10"/>
        <v>0.31034482758620691</v>
      </c>
      <c r="J226" s="82">
        <f t="shared" si="11"/>
        <v>0.13793103448275862</v>
      </c>
      <c r="M226" s="6"/>
      <c r="N226" s="153"/>
      <c r="O226" s="156"/>
    </row>
    <row r="227" spans="1:19" s="79" customFormat="1" ht="12.75" customHeight="1" x14ac:dyDescent="0.2">
      <c r="A227" s="80" t="s">
        <v>25</v>
      </c>
      <c r="B227" s="94">
        <v>496</v>
      </c>
      <c r="C227" s="93">
        <v>341</v>
      </c>
      <c r="D227" s="93">
        <v>107</v>
      </c>
      <c r="E227" s="94">
        <v>48</v>
      </c>
      <c r="G227" s="82">
        <f>B227/502</f>
        <v>0.98804780876494025</v>
      </c>
      <c r="H227" s="82">
        <f>C227/B227</f>
        <v>0.6875</v>
      </c>
      <c r="I227" s="82">
        <f t="shared" si="10"/>
        <v>0.21572580645161291</v>
      </c>
      <c r="J227" s="82">
        <f t="shared" si="11"/>
        <v>9.6774193548387094E-2</v>
      </c>
      <c r="M227" s="6"/>
      <c r="N227" s="154"/>
      <c r="O227" s="155"/>
    </row>
    <row r="228" spans="1:19" s="79" customFormat="1" ht="12.75" customHeight="1" x14ac:dyDescent="0.2">
      <c r="A228" s="80"/>
      <c r="B228" s="94"/>
      <c r="C228" s="93"/>
      <c r="D228" s="93"/>
      <c r="E228" s="94"/>
      <c r="G228" s="82"/>
      <c r="H228" s="82"/>
      <c r="I228" s="82"/>
      <c r="J228" s="82"/>
      <c r="L228" s="81"/>
      <c r="M228" s="6"/>
      <c r="N228" s="6"/>
      <c r="O228" s="6"/>
    </row>
    <row r="229" spans="1:19" s="59" customFormat="1" ht="12.75" customHeight="1" x14ac:dyDescent="0.2">
      <c r="A229" s="80"/>
      <c r="B229" s="94"/>
      <c r="C229" s="93"/>
      <c r="D229" s="93"/>
      <c r="E229" s="94"/>
      <c r="F229" s="79"/>
      <c r="G229" s="82"/>
      <c r="H229" s="82"/>
      <c r="I229" s="82"/>
      <c r="J229" s="82"/>
      <c r="K229" s="81"/>
      <c r="L229" s="82"/>
      <c r="M229" s="6"/>
      <c r="N229" s="6"/>
      <c r="O229" s="6"/>
      <c r="P229" s="79"/>
      <c r="Q229" s="79"/>
      <c r="R229" s="79"/>
      <c r="S229" s="79"/>
    </row>
    <row r="230" spans="1:19" s="59" customFormat="1" ht="12.75" customHeight="1" x14ac:dyDescent="0.2">
      <c r="A230" s="80"/>
      <c r="B230" s="94"/>
      <c r="C230" s="94"/>
      <c r="D230" s="94"/>
      <c r="E230" s="94"/>
      <c r="F230" s="79"/>
      <c r="G230" s="82"/>
      <c r="H230" s="82"/>
      <c r="I230" s="82"/>
      <c r="J230" s="82"/>
      <c r="K230" s="82"/>
      <c r="L230" s="82"/>
      <c r="M230" s="6"/>
      <c r="N230" s="6"/>
      <c r="O230" s="6"/>
      <c r="Q230" s="79"/>
      <c r="R230" s="79"/>
    </row>
    <row r="231" spans="1:19" ht="12.75" customHeight="1" x14ac:dyDescent="0.2">
      <c r="A231" s="80" t="s">
        <v>282</v>
      </c>
      <c r="B231" s="79"/>
      <c r="C231" s="79"/>
      <c r="D231" s="79"/>
      <c r="E231" s="79"/>
      <c r="F231" s="79"/>
      <c r="G231" s="79"/>
      <c r="H231" s="79"/>
      <c r="I231" s="79"/>
      <c r="J231" s="79"/>
      <c r="K231" s="82"/>
      <c r="L231" s="82"/>
      <c r="M231" s="6" t="s">
        <v>281</v>
      </c>
      <c r="N231" s="6"/>
      <c r="O231" s="6"/>
      <c r="P231" s="59"/>
      <c r="Q231" s="79"/>
      <c r="R231" s="79"/>
      <c r="S231" s="59"/>
    </row>
    <row r="232" spans="1:19" ht="12.75" customHeight="1" x14ac:dyDescent="0.2">
      <c r="A232" s="80" t="s">
        <v>284</v>
      </c>
      <c r="B232" s="79"/>
      <c r="C232" s="79"/>
      <c r="D232" s="79"/>
      <c r="E232" s="79"/>
      <c r="F232" s="79"/>
      <c r="G232" s="79"/>
      <c r="H232" s="79"/>
      <c r="I232" s="79"/>
      <c r="J232" s="79"/>
      <c r="K232" s="82"/>
      <c r="L232" s="82"/>
      <c r="M232" s="6" t="s">
        <v>280</v>
      </c>
      <c r="N232" s="154"/>
      <c r="O232" s="155"/>
      <c r="Q232" s="79"/>
      <c r="R232" s="79"/>
    </row>
    <row r="233" spans="1:19" ht="12.75" customHeight="1" x14ac:dyDescent="0.2">
      <c r="A233" s="80" t="s">
        <v>285</v>
      </c>
      <c r="B233" s="79"/>
      <c r="C233" s="79"/>
      <c r="D233" s="79"/>
      <c r="E233" s="79"/>
      <c r="F233" s="79"/>
      <c r="G233" s="79"/>
      <c r="H233" s="79"/>
      <c r="I233" s="79"/>
      <c r="J233" s="79"/>
      <c r="K233" s="82"/>
      <c r="L233" s="82"/>
      <c r="M233" s="6" t="s">
        <v>272</v>
      </c>
      <c r="N233" s="6"/>
      <c r="O233" s="6"/>
      <c r="Q233" s="59"/>
      <c r="R233" s="59"/>
    </row>
    <row r="234" spans="1:19" ht="12.75" customHeight="1" x14ac:dyDescent="0.2">
      <c r="A234" s="80" t="s">
        <v>299</v>
      </c>
      <c r="B234" s="79" t="s">
        <v>149</v>
      </c>
      <c r="C234" s="79"/>
      <c r="D234" s="79"/>
      <c r="E234" s="79"/>
      <c r="F234" s="93"/>
      <c r="G234" s="79" t="s">
        <v>156</v>
      </c>
      <c r="H234" s="79"/>
      <c r="I234" s="79"/>
      <c r="J234" s="79"/>
      <c r="K234" s="82"/>
      <c r="L234" s="82"/>
      <c r="M234" s="6" t="s">
        <v>216</v>
      </c>
      <c r="N234" s="83">
        <v>498</v>
      </c>
      <c r="O234" s="156" t="s">
        <v>217</v>
      </c>
      <c r="Q234" s="59"/>
      <c r="R234" s="59"/>
    </row>
    <row r="235" spans="1:19" ht="12.75" customHeight="1" x14ac:dyDescent="0.2">
      <c r="A235" s="80" t="s">
        <v>145</v>
      </c>
      <c r="B235" s="81" t="s">
        <v>117</v>
      </c>
      <c r="C235" s="81" t="s">
        <v>118</v>
      </c>
      <c r="D235" s="81" t="s">
        <v>119</v>
      </c>
      <c r="E235" s="81" t="s">
        <v>120</v>
      </c>
      <c r="F235" s="93"/>
      <c r="G235" s="81" t="s">
        <v>117</v>
      </c>
      <c r="H235" s="81" t="s">
        <v>118</v>
      </c>
      <c r="I235" s="81" t="s">
        <v>119</v>
      </c>
      <c r="J235" s="81" t="s">
        <v>120</v>
      </c>
      <c r="K235" s="82"/>
      <c r="L235" s="82"/>
      <c r="M235" s="6" t="s">
        <v>278</v>
      </c>
      <c r="N235" s="154">
        <v>343</v>
      </c>
      <c r="O235" s="155">
        <v>0.6887550200803213</v>
      </c>
    </row>
    <row r="236" spans="1:19" ht="12.75" customHeight="1" x14ac:dyDescent="0.2">
      <c r="A236" s="80" t="s">
        <v>135</v>
      </c>
      <c r="B236" s="93">
        <v>40</v>
      </c>
      <c r="C236" s="93">
        <v>31</v>
      </c>
      <c r="D236" s="93">
        <v>9</v>
      </c>
      <c r="E236" s="93">
        <v>0</v>
      </c>
      <c r="F236" s="93"/>
      <c r="G236" s="82">
        <v>1</v>
      </c>
      <c r="H236" s="82">
        <v>0.77500000000000002</v>
      </c>
      <c r="I236" s="82">
        <v>0.22500000000000001</v>
      </c>
      <c r="J236" s="82">
        <v>0</v>
      </c>
      <c r="K236" s="82"/>
      <c r="L236" s="82"/>
      <c r="M236" s="6" t="s">
        <v>242</v>
      </c>
      <c r="N236" s="154">
        <v>113</v>
      </c>
      <c r="O236" s="155">
        <v>0.22690763052208834</v>
      </c>
    </row>
    <row r="237" spans="1:19" ht="12.75" customHeight="1" x14ac:dyDescent="0.2">
      <c r="A237" s="80" t="s">
        <v>136</v>
      </c>
      <c r="B237" s="93">
        <v>28</v>
      </c>
      <c r="C237" s="93">
        <v>19</v>
      </c>
      <c r="D237" s="93">
        <v>7</v>
      </c>
      <c r="E237" s="93">
        <v>2</v>
      </c>
      <c r="F237" s="93"/>
      <c r="G237" s="82">
        <v>1</v>
      </c>
      <c r="H237" s="82">
        <v>0.6785714285714286</v>
      </c>
      <c r="I237" s="82">
        <v>0.25</v>
      </c>
      <c r="J237" s="82">
        <v>7.1428571428571425E-2</v>
      </c>
      <c r="K237" s="82"/>
      <c r="L237" s="82"/>
      <c r="M237" s="6" t="s">
        <v>279</v>
      </c>
      <c r="N237" s="154">
        <v>150</v>
      </c>
      <c r="O237" s="155">
        <v>0.30120481927710846</v>
      </c>
    </row>
    <row r="238" spans="1:19" ht="12.75" customHeight="1" x14ac:dyDescent="0.2">
      <c r="A238" s="80" t="s">
        <v>137</v>
      </c>
      <c r="B238" s="93">
        <v>66</v>
      </c>
      <c r="C238" s="93">
        <v>47</v>
      </c>
      <c r="D238" s="93">
        <v>13</v>
      </c>
      <c r="E238" s="93">
        <v>6</v>
      </c>
      <c r="F238" s="93"/>
      <c r="G238" s="82">
        <v>1.0153846153846153</v>
      </c>
      <c r="H238" s="82">
        <v>0.71212121212121215</v>
      </c>
      <c r="I238" s="82">
        <v>0.19696969696969696</v>
      </c>
      <c r="J238" s="82">
        <v>9.0909090909090912E-2</v>
      </c>
      <c r="K238" s="82"/>
      <c r="L238" s="82"/>
      <c r="M238" s="6" t="s">
        <v>243</v>
      </c>
      <c r="N238" s="154">
        <v>48</v>
      </c>
      <c r="O238" s="155">
        <v>9.6385542168674704E-2</v>
      </c>
    </row>
    <row r="239" spans="1:19" ht="12.75" customHeight="1" x14ac:dyDescent="0.2">
      <c r="A239" s="80" t="s">
        <v>138</v>
      </c>
      <c r="B239" s="93">
        <v>84</v>
      </c>
      <c r="C239" s="93">
        <v>53</v>
      </c>
      <c r="D239" s="93">
        <v>21</v>
      </c>
      <c r="E239" s="93">
        <v>10</v>
      </c>
      <c r="F239" s="93"/>
      <c r="G239" s="82">
        <v>0.9882352941176471</v>
      </c>
      <c r="H239" s="82">
        <v>0.63095238095238093</v>
      </c>
      <c r="I239" s="82">
        <v>0.25</v>
      </c>
      <c r="J239" s="82">
        <v>0.11904761904761904</v>
      </c>
      <c r="K239" s="82"/>
      <c r="L239" s="82"/>
      <c r="M239" s="6"/>
      <c r="N239" s="154"/>
      <c r="O239" s="155"/>
    </row>
    <row r="240" spans="1:19" ht="12.75" customHeight="1" x14ac:dyDescent="0.2">
      <c r="A240" s="80" t="s">
        <v>139</v>
      </c>
      <c r="B240" s="93">
        <v>37</v>
      </c>
      <c r="C240" s="93">
        <v>26</v>
      </c>
      <c r="D240" s="93">
        <v>9</v>
      </c>
      <c r="E240" s="93">
        <v>2</v>
      </c>
      <c r="F240" s="93"/>
      <c r="G240" s="82">
        <v>1</v>
      </c>
      <c r="H240" s="82">
        <v>0.70270270270270274</v>
      </c>
      <c r="I240" s="82">
        <v>0.24324324324324326</v>
      </c>
      <c r="J240" s="82">
        <v>5.4054054054054057E-2</v>
      </c>
      <c r="K240" s="82"/>
      <c r="L240" s="82"/>
      <c r="M240" s="6"/>
      <c r="N240" s="154"/>
      <c r="O240" s="155"/>
    </row>
    <row r="241" spans="1:15" ht="12.75" customHeight="1" x14ac:dyDescent="0.2">
      <c r="A241" s="80" t="s">
        <v>140</v>
      </c>
      <c r="B241" s="93">
        <v>55</v>
      </c>
      <c r="C241" s="93">
        <v>47</v>
      </c>
      <c r="D241" s="93">
        <v>5</v>
      </c>
      <c r="E241" s="93">
        <v>3</v>
      </c>
      <c r="F241" s="93"/>
      <c r="G241" s="82">
        <v>0.9821428571428571</v>
      </c>
      <c r="H241" s="82">
        <v>0.8545454545454545</v>
      </c>
      <c r="I241" s="82">
        <v>9.0909090909090912E-2</v>
      </c>
      <c r="J241" s="82">
        <v>5.4545454545454543E-2</v>
      </c>
      <c r="K241" s="82"/>
      <c r="L241" s="82"/>
      <c r="M241" s="6"/>
      <c r="N241" s="154"/>
      <c r="O241" s="155"/>
    </row>
    <row r="242" spans="1:15" ht="12.75" customHeight="1" x14ac:dyDescent="0.2">
      <c r="A242" s="80" t="s">
        <v>141</v>
      </c>
      <c r="B242" s="93">
        <v>87</v>
      </c>
      <c r="C242" s="93">
        <v>47</v>
      </c>
      <c r="D242" s="93">
        <v>30</v>
      </c>
      <c r="E242" s="93">
        <v>10</v>
      </c>
      <c r="F242" s="94"/>
      <c r="G242" s="82">
        <v>0.98863636363636365</v>
      </c>
      <c r="H242" s="82">
        <v>0.54022988505747127</v>
      </c>
      <c r="I242" s="82">
        <v>0.34482758620689657</v>
      </c>
      <c r="J242" s="82">
        <v>0.11494252873563218</v>
      </c>
      <c r="K242" s="82"/>
      <c r="L242" s="82"/>
      <c r="M242" s="6"/>
      <c r="N242" s="154"/>
      <c r="O242" s="155"/>
    </row>
    <row r="243" spans="1:15" ht="12.75" customHeight="1" x14ac:dyDescent="0.25">
      <c r="A243" s="80" t="s">
        <v>142</v>
      </c>
      <c r="B243" s="93">
        <v>68</v>
      </c>
      <c r="C243" s="93">
        <v>50</v>
      </c>
      <c r="D243" s="93">
        <v>8</v>
      </c>
      <c r="E243" s="93">
        <v>10</v>
      </c>
      <c r="F243" s="94"/>
      <c r="G243" s="82">
        <v>0.98550724637681164</v>
      </c>
      <c r="H243" s="82">
        <v>0.73529411764705888</v>
      </c>
      <c r="I243" s="82">
        <v>0.11764705882352941</v>
      </c>
      <c r="J243" s="82">
        <v>0.14705882352941177</v>
      </c>
      <c r="K243" s="82"/>
      <c r="L243" s="82"/>
      <c r="M243" s="6"/>
      <c r="N243" s="6"/>
      <c r="O243" s="125"/>
    </row>
    <row r="244" spans="1:15" ht="12.75" customHeight="1" x14ac:dyDescent="0.25">
      <c r="A244" s="80" t="s">
        <v>143</v>
      </c>
      <c r="B244" s="93">
        <v>5</v>
      </c>
      <c r="C244" s="93">
        <v>4</v>
      </c>
      <c r="D244" s="93">
        <v>0</v>
      </c>
      <c r="E244" s="93">
        <v>1</v>
      </c>
      <c r="F244" s="94"/>
      <c r="G244" s="82">
        <v>1</v>
      </c>
      <c r="H244" s="82">
        <v>0.8</v>
      </c>
      <c r="I244" s="82">
        <v>0</v>
      </c>
      <c r="J244" s="82">
        <v>0.2</v>
      </c>
      <c r="K244" s="79"/>
      <c r="L244" s="82"/>
      <c r="M244" s="6"/>
      <c r="N244" s="6"/>
      <c r="O244" s="125"/>
    </row>
    <row r="245" spans="1:15" ht="12.75" customHeight="1" x14ac:dyDescent="0.2">
      <c r="A245" s="80" t="s">
        <v>144</v>
      </c>
      <c r="B245" s="93">
        <v>29</v>
      </c>
      <c r="C245" s="93">
        <v>15</v>
      </c>
      <c r="D245" s="93">
        <v>13</v>
      </c>
      <c r="E245" s="93">
        <v>1</v>
      </c>
      <c r="F245" s="94"/>
      <c r="G245" s="82">
        <v>1</v>
      </c>
      <c r="H245" s="82">
        <v>0.51724137931034486</v>
      </c>
      <c r="I245" s="82">
        <v>0.44827586206896552</v>
      </c>
      <c r="J245" s="82">
        <v>3.4482758620689655E-2</v>
      </c>
      <c r="K245" s="79"/>
      <c r="L245" s="82"/>
      <c r="M245" s="6"/>
      <c r="N245" s="153"/>
      <c r="O245" s="156"/>
    </row>
    <row r="246" spans="1:15" ht="12.75" customHeight="1" x14ac:dyDescent="0.2">
      <c r="A246" s="80" t="s">
        <v>25</v>
      </c>
      <c r="B246" s="94">
        <v>499</v>
      </c>
      <c r="C246" s="93">
        <v>339</v>
      </c>
      <c r="D246" s="93">
        <v>115</v>
      </c>
      <c r="E246" s="94">
        <v>45</v>
      </c>
      <c r="F246" s="79"/>
      <c r="G246" s="82">
        <v>0.99402390438247012</v>
      </c>
      <c r="H246" s="82">
        <v>0.67935871743486975</v>
      </c>
      <c r="I246" s="82">
        <v>0.23046092184368738</v>
      </c>
      <c r="J246" s="82">
        <v>9.0180360721442893E-2</v>
      </c>
      <c r="K246" s="79"/>
      <c r="L246" s="82"/>
      <c r="M246" s="6"/>
      <c r="N246" s="154"/>
      <c r="O246" s="155"/>
    </row>
    <row r="247" spans="1:15" ht="12.75" customHeight="1" x14ac:dyDescent="0.2">
      <c r="A247" s="80"/>
      <c r="B247" s="94"/>
      <c r="C247" s="93"/>
      <c r="D247" s="93"/>
      <c r="E247" s="94"/>
      <c r="F247" s="79"/>
      <c r="G247" s="82"/>
      <c r="H247" s="82"/>
      <c r="I247" s="82"/>
      <c r="J247" s="82"/>
      <c r="K247" s="79"/>
      <c r="L247" s="82"/>
      <c r="M247" s="6"/>
      <c r="N247" s="154"/>
      <c r="O247" s="155"/>
    </row>
    <row r="248" spans="1:15" ht="12.75" customHeight="1" x14ac:dyDescent="0.2">
      <c r="A248" s="80"/>
      <c r="B248" s="94"/>
      <c r="C248" s="93"/>
      <c r="D248" s="93"/>
      <c r="E248" s="94"/>
      <c r="F248" s="79"/>
      <c r="G248" s="82"/>
      <c r="H248" s="82"/>
      <c r="I248" s="82"/>
      <c r="J248" s="82"/>
      <c r="K248" s="81"/>
      <c r="L248" s="82"/>
      <c r="M248" s="6"/>
      <c r="N248" s="154"/>
      <c r="O248" s="155"/>
    </row>
    <row r="249" spans="1:15" ht="12.75" customHeight="1" x14ac:dyDescent="0.2">
      <c r="A249" s="80"/>
      <c r="B249" s="94"/>
      <c r="C249" s="94"/>
      <c r="D249" s="94"/>
      <c r="E249" s="94"/>
      <c r="F249" s="79"/>
      <c r="G249" s="82"/>
      <c r="H249" s="82"/>
      <c r="I249" s="82"/>
      <c r="J249" s="82"/>
      <c r="K249" s="82"/>
      <c r="L249" s="79"/>
      <c r="M249" s="6"/>
      <c r="N249" s="154"/>
      <c r="O249" s="155"/>
    </row>
    <row r="250" spans="1:15" x14ac:dyDescent="0.2">
      <c r="A250" s="80" t="s">
        <v>267</v>
      </c>
      <c r="B250" s="79"/>
      <c r="C250" s="79"/>
      <c r="D250" s="79"/>
      <c r="E250" s="79"/>
      <c r="F250" s="79"/>
      <c r="G250" s="79"/>
      <c r="H250" s="79"/>
      <c r="I250" s="79"/>
      <c r="J250" s="79"/>
      <c r="K250" s="82"/>
      <c r="L250" s="79"/>
      <c r="M250" s="6" t="s">
        <v>273</v>
      </c>
      <c r="N250" s="154"/>
      <c r="O250" s="155"/>
    </row>
    <row r="251" spans="1:15" x14ac:dyDescent="0.2">
      <c r="A251" s="80" t="s">
        <v>276</v>
      </c>
      <c r="B251" s="79"/>
      <c r="C251" s="79"/>
      <c r="D251" s="79"/>
      <c r="E251" s="79"/>
      <c r="F251" s="79"/>
      <c r="G251" s="79"/>
      <c r="H251" s="79"/>
      <c r="I251" s="79"/>
      <c r="J251" s="79"/>
      <c r="K251" s="82"/>
      <c r="L251" s="79"/>
      <c r="M251" s="6" t="s">
        <v>216</v>
      </c>
      <c r="N251" s="154">
        <v>498</v>
      </c>
      <c r="O251" s="155" t="s">
        <v>217</v>
      </c>
    </row>
    <row r="252" spans="1:15" x14ac:dyDescent="0.2">
      <c r="A252" s="80" t="s">
        <v>277</v>
      </c>
      <c r="B252" s="79"/>
      <c r="C252" s="79"/>
      <c r="D252" s="79"/>
      <c r="E252" s="79"/>
      <c r="F252" s="79"/>
      <c r="G252" s="79"/>
      <c r="H252" s="79"/>
      <c r="I252" s="79"/>
      <c r="J252" s="79"/>
      <c r="K252" s="82"/>
      <c r="L252" s="81"/>
      <c r="M252" s="6" t="s">
        <v>270</v>
      </c>
      <c r="N252" s="154">
        <v>324</v>
      </c>
      <c r="O252" s="155">
        <v>0.6506024096385542</v>
      </c>
    </row>
    <row r="253" spans="1:15" x14ac:dyDescent="0.2">
      <c r="A253" s="80" t="s">
        <v>268</v>
      </c>
      <c r="B253" s="79" t="s">
        <v>149</v>
      </c>
      <c r="C253" s="79"/>
      <c r="D253" s="79"/>
      <c r="E253" s="79"/>
      <c r="F253" s="93"/>
      <c r="G253" s="79" t="s">
        <v>156</v>
      </c>
      <c r="H253" s="79"/>
      <c r="I253" s="79"/>
      <c r="J253" s="79"/>
      <c r="K253" s="82"/>
      <c r="L253" s="82"/>
      <c r="M253" s="6" t="s">
        <v>242</v>
      </c>
      <c r="N253" s="154">
        <v>105</v>
      </c>
      <c r="O253" s="155">
        <v>0.21084337349397592</v>
      </c>
    </row>
    <row r="254" spans="1:15" x14ac:dyDescent="0.2">
      <c r="A254" s="80" t="s">
        <v>145</v>
      </c>
      <c r="B254" s="81" t="s">
        <v>117</v>
      </c>
      <c r="C254" s="81" t="s">
        <v>118</v>
      </c>
      <c r="D254" s="81" t="s">
        <v>119</v>
      </c>
      <c r="E254" s="81" t="s">
        <v>120</v>
      </c>
      <c r="F254" s="93"/>
      <c r="G254" s="81" t="s">
        <v>117</v>
      </c>
      <c r="H254" s="81" t="s">
        <v>118</v>
      </c>
      <c r="I254" s="81" t="s">
        <v>119</v>
      </c>
      <c r="J254" s="81" t="s">
        <v>120</v>
      </c>
      <c r="K254" s="82"/>
      <c r="L254" s="82"/>
      <c r="M254" s="6" t="s">
        <v>271</v>
      </c>
      <c r="N254" s="154">
        <v>165</v>
      </c>
      <c r="O254" s="155">
        <v>0.33132530120481929</v>
      </c>
    </row>
    <row r="255" spans="1:15" ht="12.75" customHeight="1" x14ac:dyDescent="0.2">
      <c r="A255" s="80" t="s">
        <v>135</v>
      </c>
      <c r="B255" s="93">
        <v>41</v>
      </c>
      <c r="C255" s="93">
        <v>26</v>
      </c>
      <c r="D255" s="93">
        <v>13</v>
      </c>
      <c r="E255" s="93">
        <v>2</v>
      </c>
      <c r="F255" s="93"/>
      <c r="G255" s="82">
        <v>1</v>
      </c>
      <c r="H255" s="82">
        <v>0.63414634146341464</v>
      </c>
      <c r="I255" s="82">
        <v>0.31707317073170732</v>
      </c>
      <c r="J255" s="82">
        <v>4.878048780487805E-2</v>
      </c>
      <c r="K255" s="82"/>
      <c r="L255" s="82"/>
      <c r="M255" s="6" t="s">
        <v>243</v>
      </c>
      <c r="N255" s="154">
        <v>45</v>
      </c>
      <c r="O255" s="155">
        <v>9.036144578313253E-2</v>
      </c>
    </row>
    <row r="256" spans="1:15" x14ac:dyDescent="0.2">
      <c r="A256" s="80" t="s">
        <v>136</v>
      </c>
      <c r="B256" s="93">
        <v>28</v>
      </c>
      <c r="C256" s="93">
        <v>16</v>
      </c>
      <c r="D256" s="93">
        <v>9</v>
      </c>
      <c r="E256" s="93">
        <v>3</v>
      </c>
      <c r="F256" s="93"/>
      <c r="G256" s="82">
        <v>0.96551724137931039</v>
      </c>
      <c r="H256" s="82">
        <v>0.5714285714285714</v>
      </c>
      <c r="I256" s="82">
        <v>0.32142857142857145</v>
      </c>
      <c r="J256" s="82">
        <v>0.10714285714285714</v>
      </c>
      <c r="K256" s="82"/>
      <c r="L256" s="82"/>
      <c r="M256" s="6"/>
      <c r="N256" s="154"/>
      <c r="O256" s="155"/>
    </row>
    <row r="257" spans="1:15" x14ac:dyDescent="0.2">
      <c r="A257" s="80" t="s">
        <v>137</v>
      </c>
      <c r="B257" s="93">
        <v>64</v>
      </c>
      <c r="C257" s="93">
        <v>46</v>
      </c>
      <c r="D257" s="93">
        <v>14</v>
      </c>
      <c r="E257" s="93">
        <v>4</v>
      </c>
      <c r="F257" s="93"/>
      <c r="G257" s="82">
        <v>0.98461538461538467</v>
      </c>
      <c r="H257" s="82">
        <v>0.71875</v>
      </c>
      <c r="I257" s="82">
        <v>0.21875</v>
      </c>
      <c r="J257" s="82">
        <v>6.25E-2</v>
      </c>
      <c r="K257" s="82"/>
      <c r="L257" s="82"/>
      <c r="M257" s="6"/>
      <c r="N257" s="154"/>
      <c r="O257" s="155"/>
    </row>
    <row r="258" spans="1:15" x14ac:dyDescent="0.2">
      <c r="A258" s="80" t="s">
        <v>138</v>
      </c>
      <c r="B258" s="93">
        <v>84</v>
      </c>
      <c r="C258" s="93">
        <v>60</v>
      </c>
      <c r="D258" s="93">
        <v>17</v>
      </c>
      <c r="E258" s="93">
        <v>7</v>
      </c>
      <c r="F258" s="93"/>
      <c r="G258" s="82">
        <v>0.9882352941176471</v>
      </c>
      <c r="H258" s="82">
        <v>0.7142857142857143</v>
      </c>
      <c r="I258" s="82">
        <v>0.20238095238095238</v>
      </c>
      <c r="J258" s="82">
        <v>8.3333333333333329E-2</v>
      </c>
      <c r="K258" s="82"/>
      <c r="L258" s="82"/>
      <c r="M258" s="6"/>
      <c r="N258" s="154"/>
      <c r="O258" s="155"/>
    </row>
    <row r="259" spans="1:15" x14ac:dyDescent="0.2">
      <c r="A259" s="80" t="s">
        <v>139</v>
      </c>
      <c r="B259" s="93">
        <v>36</v>
      </c>
      <c r="C259" s="93">
        <v>25</v>
      </c>
      <c r="D259" s="93">
        <v>6</v>
      </c>
      <c r="E259" s="93">
        <v>5</v>
      </c>
      <c r="F259" s="93"/>
      <c r="G259" s="82">
        <v>0.97297297297297303</v>
      </c>
      <c r="H259" s="82">
        <v>0.69444444444444442</v>
      </c>
      <c r="I259" s="82">
        <v>0.16666666666666666</v>
      </c>
      <c r="J259" s="82">
        <v>0.1388888888888889</v>
      </c>
      <c r="K259" s="82"/>
      <c r="L259" s="82"/>
      <c r="M259" s="6"/>
      <c r="N259" s="154"/>
      <c r="O259" s="155"/>
    </row>
    <row r="260" spans="1:15" x14ac:dyDescent="0.2">
      <c r="A260" s="80" t="s">
        <v>140</v>
      </c>
      <c r="B260" s="93">
        <v>55</v>
      </c>
      <c r="C260" s="93">
        <v>49</v>
      </c>
      <c r="D260" s="93">
        <v>1</v>
      </c>
      <c r="E260" s="93">
        <v>5</v>
      </c>
      <c r="F260" s="93"/>
      <c r="G260" s="82">
        <v>1</v>
      </c>
      <c r="H260" s="82">
        <v>0.89090909090909087</v>
      </c>
      <c r="I260" s="82">
        <v>1.8181818181818181E-2</v>
      </c>
      <c r="J260" s="82">
        <v>9.0909090909090912E-2</v>
      </c>
      <c r="K260" s="82"/>
      <c r="L260" s="82"/>
      <c r="M260" s="6"/>
      <c r="N260" s="154"/>
      <c r="O260" s="155"/>
    </row>
    <row r="261" spans="1:15" x14ac:dyDescent="0.2">
      <c r="A261" s="80" t="s">
        <v>141</v>
      </c>
      <c r="B261" s="93">
        <v>88</v>
      </c>
      <c r="C261" s="93">
        <v>57</v>
      </c>
      <c r="D261" s="93">
        <v>24</v>
      </c>
      <c r="E261" s="93">
        <v>7</v>
      </c>
      <c r="F261" s="94"/>
      <c r="G261" s="82">
        <v>1</v>
      </c>
      <c r="H261" s="82">
        <v>0.64772727272727271</v>
      </c>
      <c r="I261" s="82">
        <v>0.27272727272727271</v>
      </c>
      <c r="J261" s="82">
        <v>7.9545454545454544E-2</v>
      </c>
      <c r="K261" s="82"/>
      <c r="L261" s="82"/>
      <c r="M261" s="6"/>
      <c r="N261" s="154"/>
      <c r="O261" s="155"/>
    </row>
    <row r="262" spans="1:15" x14ac:dyDescent="0.2">
      <c r="A262" s="80" t="s">
        <v>142</v>
      </c>
      <c r="B262" s="93">
        <v>66</v>
      </c>
      <c r="C262" s="93">
        <v>48</v>
      </c>
      <c r="D262" s="93">
        <v>11</v>
      </c>
      <c r="E262" s="93">
        <v>7</v>
      </c>
      <c r="F262" s="94"/>
      <c r="G262" s="82">
        <v>0.9850746268656716</v>
      </c>
      <c r="H262" s="82">
        <v>0.72727272727272729</v>
      </c>
      <c r="I262" s="82">
        <v>0.16666666666666666</v>
      </c>
      <c r="J262" s="82">
        <v>0.10606060606060606</v>
      </c>
      <c r="K262" s="82"/>
      <c r="L262" s="82"/>
      <c r="M262" s="6"/>
      <c r="N262" s="154"/>
      <c r="O262" s="155"/>
    </row>
    <row r="263" spans="1:15" x14ac:dyDescent="0.2">
      <c r="A263" s="80" t="s">
        <v>143</v>
      </c>
      <c r="B263" s="93">
        <v>5</v>
      </c>
      <c r="C263" s="93">
        <v>3</v>
      </c>
      <c r="D263" s="93">
        <v>1</v>
      </c>
      <c r="E263" s="93">
        <v>1</v>
      </c>
      <c r="F263" s="94"/>
      <c r="G263" s="82">
        <v>1</v>
      </c>
      <c r="H263" s="82">
        <v>0.6</v>
      </c>
      <c r="I263" s="82">
        <v>0.2</v>
      </c>
      <c r="J263" s="82">
        <v>0.2</v>
      </c>
      <c r="K263" s="79"/>
      <c r="L263" s="82"/>
      <c r="M263" s="6"/>
      <c r="N263" s="154"/>
      <c r="O263" s="155"/>
    </row>
    <row r="264" spans="1:15" x14ac:dyDescent="0.2">
      <c r="A264" s="80" t="s">
        <v>144</v>
      </c>
      <c r="B264" s="93">
        <v>29</v>
      </c>
      <c r="C264" s="93">
        <v>16</v>
      </c>
      <c r="D264" s="93">
        <v>13</v>
      </c>
      <c r="E264" s="93">
        <v>0</v>
      </c>
      <c r="F264" s="94"/>
      <c r="G264" s="82">
        <v>0.96666666666666667</v>
      </c>
      <c r="H264" s="82">
        <v>0.55172413793103448</v>
      </c>
      <c r="I264" s="82">
        <v>0.44827586206896552</v>
      </c>
      <c r="J264" s="82">
        <v>0</v>
      </c>
      <c r="K264" s="81"/>
      <c r="L264" s="82"/>
      <c r="M264" s="6"/>
      <c r="N264" s="154"/>
      <c r="O264" s="155"/>
    </row>
    <row r="265" spans="1:15" x14ac:dyDescent="0.2">
      <c r="A265" s="80" t="s">
        <v>25</v>
      </c>
      <c r="B265" s="94">
        <v>496</v>
      </c>
      <c r="C265" s="93">
        <v>346</v>
      </c>
      <c r="D265" s="93">
        <v>109</v>
      </c>
      <c r="E265" s="94">
        <v>41</v>
      </c>
      <c r="F265" s="79"/>
      <c r="G265" s="82">
        <v>0.98804780876494025</v>
      </c>
      <c r="H265" s="82">
        <v>0.69758064516129037</v>
      </c>
      <c r="I265" s="82">
        <v>0.21975806451612903</v>
      </c>
      <c r="J265" s="82">
        <v>8.2661290322580641E-2</v>
      </c>
      <c r="K265" s="82"/>
      <c r="L265" s="82"/>
      <c r="M265" s="6"/>
      <c r="N265" s="154"/>
      <c r="O265" s="155"/>
    </row>
    <row r="266" spans="1:15" x14ac:dyDescent="0.2">
      <c r="A266" s="80"/>
      <c r="B266" s="94"/>
      <c r="C266" s="93"/>
      <c r="D266" s="93"/>
      <c r="E266" s="94"/>
      <c r="F266" s="79"/>
      <c r="G266" s="82"/>
      <c r="H266" s="82"/>
      <c r="I266" s="82"/>
      <c r="J266" s="82"/>
      <c r="K266" s="82"/>
      <c r="L266" s="82"/>
      <c r="M266" s="6" t="s">
        <v>269</v>
      </c>
      <c r="N266" s="6"/>
      <c r="O266" s="6"/>
    </row>
    <row r="267" spans="1:15" x14ac:dyDescent="0.2">
      <c r="A267" s="80"/>
      <c r="B267" s="94"/>
      <c r="C267" s="93"/>
      <c r="D267" s="93"/>
      <c r="E267" s="94"/>
      <c r="F267" s="79"/>
      <c r="G267" s="82"/>
      <c r="H267" s="82"/>
      <c r="I267" s="82"/>
      <c r="J267" s="82"/>
      <c r="K267" s="82"/>
      <c r="L267" s="82"/>
      <c r="M267" s="6" t="s">
        <v>216</v>
      </c>
      <c r="N267" s="83">
        <v>499</v>
      </c>
      <c r="O267" s="156" t="s">
        <v>217</v>
      </c>
    </row>
    <row r="268" spans="1:15" x14ac:dyDescent="0.2">
      <c r="A268" s="80"/>
      <c r="B268" s="94"/>
      <c r="C268" s="94"/>
      <c r="D268" s="94"/>
      <c r="E268" s="94"/>
      <c r="F268" s="79"/>
      <c r="G268" s="82"/>
      <c r="H268" s="82"/>
      <c r="I268" s="82"/>
      <c r="J268" s="82"/>
      <c r="K268" s="82"/>
      <c r="L268" s="79"/>
      <c r="M268" s="6" t="s">
        <v>250</v>
      </c>
      <c r="N268" s="154">
        <v>334</v>
      </c>
      <c r="O268" s="155">
        <v>0.66933867735470942</v>
      </c>
    </row>
    <row r="269" spans="1:15" x14ac:dyDescent="0.2">
      <c r="A269" s="80" t="s">
        <v>275</v>
      </c>
      <c r="B269" s="79" t="s">
        <v>149</v>
      </c>
      <c r="C269" s="79"/>
      <c r="D269" s="79"/>
      <c r="E269" s="79"/>
      <c r="F269" s="93"/>
      <c r="G269" s="79" t="s">
        <v>156</v>
      </c>
      <c r="H269" s="79"/>
      <c r="I269" s="79"/>
      <c r="J269" s="79"/>
      <c r="K269" s="82"/>
      <c r="L269" s="79"/>
      <c r="M269" s="6" t="s">
        <v>242</v>
      </c>
      <c r="N269" s="154">
        <v>105</v>
      </c>
      <c r="O269" s="155">
        <v>0.21042084168336672</v>
      </c>
    </row>
    <row r="270" spans="1:15" x14ac:dyDescent="0.2">
      <c r="A270" s="80" t="s">
        <v>145</v>
      </c>
      <c r="B270" s="81" t="s">
        <v>117</v>
      </c>
      <c r="C270" s="81" t="s">
        <v>118</v>
      </c>
      <c r="D270" s="81" t="s">
        <v>119</v>
      </c>
      <c r="E270" s="81" t="s">
        <v>120</v>
      </c>
      <c r="F270" s="93"/>
      <c r="G270" s="81" t="s">
        <v>117</v>
      </c>
      <c r="H270" s="81" t="s">
        <v>118</v>
      </c>
      <c r="I270" s="81" t="s">
        <v>119</v>
      </c>
      <c r="J270" s="81" t="s">
        <v>120</v>
      </c>
      <c r="K270" s="82"/>
      <c r="L270" s="79"/>
      <c r="M270" s="6" t="s">
        <v>251</v>
      </c>
      <c r="N270" s="154">
        <v>161</v>
      </c>
      <c r="O270" s="155">
        <v>0.32264529058116231</v>
      </c>
    </row>
    <row r="271" spans="1:15" x14ac:dyDescent="0.2">
      <c r="A271" s="80" t="s">
        <v>135</v>
      </c>
      <c r="B271" s="93">
        <v>41</v>
      </c>
      <c r="C271" s="93">
        <v>27</v>
      </c>
      <c r="D271" s="93">
        <v>10</v>
      </c>
      <c r="E271" s="93">
        <v>4</v>
      </c>
      <c r="F271" s="93"/>
      <c r="G271" s="82">
        <v>1</v>
      </c>
      <c r="H271" s="82">
        <v>0.65853658536585369</v>
      </c>
      <c r="I271" s="82">
        <v>0.24390243902439024</v>
      </c>
      <c r="J271" s="82">
        <v>9.7560975609756101E-2</v>
      </c>
      <c r="K271" s="82"/>
      <c r="L271" s="81"/>
      <c r="M271" s="6" t="s">
        <v>243</v>
      </c>
      <c r="N271" s="154">
        <v>38</v>
      </c>
      <c r="O271" s="155">
        <v>7.6152304609218444E-2</v>
      </c>
    </row>
    <row r="272" spans="1:15" x14ac:dyDescent="0.2">
      <c r="A272" s="80" t="s">
        <v>136</v>
      </c>
      <c r="B272" s="93">
        <v>29</v>
      </c>
      <c r="C272" s="93">
        <v>16</v>
      </c>
      <c r="D272" s="93">
        <v>10</v>
      </c>
      <c r="E272" s="93">
        <v>3</v>
      </c>
      <c r="F272" s="93"/>
      <c r="G272" s="82">
        <v>1</v>
      </c>
      <c r="H272" s="82">
        <v>0.55172413793103448</v>
      </c>
      <c r="I272" s="82">
        <v>0.34482758620689657</v>
      </c>
      <c r="J272" s="82">
        <v>0.10344827586206896</v>
      </c>
      <c r="K272" s="82"/>
      <c r="L272" s="82"/>
      <c r="M272" s="6"/>
      <c r="N272" s="154"/>
      <c r="O272" s="155"/>
    </row>
    <row r="273" spans="1:15" x14ac:dyDescent="0.2">
      <c r="A273" s="80" t="s">
        <v>137</v>
      </c>
      <c r="B273" s="93">
        <v>65</v>
      </c>
      <c r="C273" s="93">
        <v>41</v>
      </c>
      <c r="D273" s="93">
        <v>16</v>
      </c>
      <c r="E273" s="93">
        <v>8</v>
      </c>
      <c r="F273" s="93"/>
      <c r="G273" s="82">
        <v>1</v>
      </c>
      <c r="H273" s="82">
        <v>0.63076923076923075</v>
      </c>
      <c r="I273" s="82">
        <v>0.24615384615384617</v>
      </c>
      <c r="J273" s="82">
        <v>0.12307692307692308</v>
      </c>
      <c r="K273" s="82"/>
      <c r="L273" s="82"/>
      <c r="M273" s="79"/>
      <c r="N273" s="127"/>
      <c r="O273" s="79"/>
    </row>
    <row r="274" spans="1:15" x14ac:dyDescent="0.2">
      <c r="A274" s="80" t="s">
        <v>138</v>
      </c>
      <c r="B274" s="93">
        <v>83</v>
      </c>
      <c r="C274" s="93">
        <v>56</v>
      </c>
      <c r="D274" s="93">
        <v>22</v>
      </c>
      <c r="E274" s="93">
        <v>5</v>
      </c>
      <c r="F274" s="93"/>
      <c r="G274" s="82">
        <v>0.97647058823529409</v>
      </c>
      <c r="H274" s="82">
        <v>0.67469879518072284</v>
      </c>
      <c r="I274" s="82">
        <v>0.26506024096385544</v>
      </c>
      <c r="J274" s="82">
        <v>6.0240963855421686E-2</v>
      </c>
      <c r="K274" s="82"/>
      <c r="L274" s="82"/>
      <c r="M274" s="79"/>
    </row>
    <row r="275" spans="1:15" x14ac:dyDescent="0.2">
      <c r="A275" s="80" t="s">
        <v>139</v>
      </c>
      <c r="B275" s="93">
        <v>37</v>
      </c>
      <c r="C275" s="93">
        <v>27</v>
      </c>
      <c r="D275" s="93">
        <v>7</v>
      </c>
      <c r="E275" s="93">
        <v>3</v>
      </c>
      <c r="F275" s="93"/>
      <c r="G275" s="82">
        <v>0.97368421052631582</v>
      </c>
      <c r="H275" s="82">
        <v>0.72972972972972971</v>
      </c>
      <c r="I275" s="82">
        <v>0.1891891891891892</v>
      </c>
      <c r="J275" s="82">
        <v>8.1081081081081086E-2</v>
      </c>
      <c r="K275" s="82"/>
      <c r="L275" s="82"/>
      <c r="M275" s="79"/>
      <c r="N275" s="131"/>
      <c r="O275" s="131"/>
    </row>
    <row r="276" spans="1:15" x14ac:dyDescent="0.2">
      <c r="A276" s="80" t="s">
        <v>140</v>
      </c>
      <c r="B276" s="93">
        <v>55</v>
      </c>
      <c r="C276" s="93">
        <v>43</v>
      </c>
      <c r="D276" s="93">
        <v>6</v>
      </c>
      <c r="E276" s="93">
        <v>6</v>
      </c>
      <c r="F276" s="93"/>
      <c r="G276" s="82">
        <v>1</v>
      </c>
      <c r="H276" s="82">
        <v>0.78181818181818186</v>
      </c>
      <c r="I276" s="82">
        <v>0.10909090909090909</v>
      </c>
      <c r="J276" s="82">
        <v>0.10909090909090909</v>
      </c>
      <c r="K276" s="82"/>
      <c r="L276" s="82"/>
      <c r="M276" s="79"/>
      <c r="N276" s="131"/>
      <c r="O276" s="131"/>
    </row>
    <row r="277" spans="1:15" x14ac:dyDescent="0.2">
      <c r="A277" s="80" t="s">
        <v>141</v>
      </c>
      <c r="B277" s="93">
        <v>86</v>
      </c>
      <c r="C277" s="93">
        <v>54</v>
      </c>
      <c r="D277" s="93">
        <v>22</v>
      </c>
      <c r="E277" s="93">
        <v>10</v>
      </c>
      <c r="F277" s="94"/>
      <c r="G277" s="82">
        <v>1</v>
      </c>
      <c r="H277" s="82">
        <v>0.62790697674418605</v>
      </c>
      <c r="I277" s="82">
        <v>0.2558139534883721</v>
      </c>
      <c r="J277" s="82">
        <v>0.11627906976744186</v>
      </c>
      <c r="K277" s="82"/>
      <c r="L277" s="82"/>
      <c r="M277" s="79"/>
      <c r="N277" s="131"/>
      <c r="O277" s="131"/>
    </row>
    <row r="278" spans="1:15" x14ac:dyDescent="0.2">
      <c r="A278" s="80" t="s">
        <v>142</v>
      </c>
      <c r="B278" s="93">
        <v>66</v>
      </c>
      <c r="C278" s="93">
        <v>47</v>
      </c>
      <c r="D278" s="93">
        <v>12</v>
      </c>
      <c r="E278" s="93">
        <v>7</v>
      </c>
      <c r="F278" s="94"/>
      <c r="G278" s="82">
        <v>0.9850746268656716</v>
      </c>
      <c r="H278" s="82">
        <v>0.71212121212121215</v>
      </c>
      <c r="I278" s="82">
        <v>0.18181818181818182</v>
      </c>
      <c r="J278" s="82">
        <v>0.10606060606060606</v>
      </c>
      <c r="K278" s="79"/>
      <c r="L278" s="82"/>
      <c r="M278" s="79"/>
      <c r="N278" s="131"/>
      <c r="O278" s="131"/>
    </row>
    <row r="279" spans="1:15" x14ac:dyDescent="0.2">
      <c r="A279" s="80" t="s">
        <v>143</v>
      </c>
      <c r="B279" s="93">
        <v>6</v>
      </c>
      <c r="C279" s="93">
        <v>5</v>
      </c>
      <c r="D279" s="93">
        <v>1</v>
      </c>
      <c r="E279" s="93">
        <v>0</v>
      </c>
      <c r="F279" s="94"/>
      <c r="G279" s="82">
        <v>1</v>
      </c>
      <c r="H279" s="82">
        <v>0.83333333333333337</v>
      </c>
      <c r="I279" s="82">
        <v>0.16666666666666666</v>
      </c>
      <c r="J279" s="82">
        <v>0</v>
      </c>
      <c r="K279" s="81"/>
      <c r="L279" s="82"/>
      <c r="M279" s="7"/>
    </row>
    <row r="280" spans="1:15" x14ac:dyDescent="0.2">
      <c r="A280" s="80" t="s">
        <v>144</v>
      </c>
      <c r="B280" s="93">
        <v>30</v>
      </c>
      <c r="C280" s="93">
        <v>21</v>
      </c>
      <c r="D280" s="93">
        <v>8</v>
      </c>
      <c r="E280" s="93">
        <v>1</v>
      </c>
      <c r="F280" s="94"/>
      <c r="G280" s="82">
        <v>1</v>
      </c>
      <c r="H280" s="82">
        <v>0.7</v>
      </c>
      <c r="I280" s="82">
        <v>0.26666666666666666</v>
      </c>
      <c r="J280" s="82">
        <v>3.3333333333333333E-2</v>
      </c>
      <c r="K280" s="82"/>
      <c r="L280" s="82"/>
      <c r="M280" s="106"/>
    </row>
    <row r="281" spans="1:15" ht="15.75" x14ac:dyDescent="0.25">
      <c r="A281" s="80" t="s">
        <v>25</v>
      </c>
      <c r="B281" s="94">
        <v>498</v>
      </c>
      <c r="C281" s="93">
        <v>337</v>
      </c>
      <c r="D281" s="93">
        <v>114</v>
      </c>
      <c r="E281" s="94">
        <v>47</v>
      </c>
      <c r="F281" s="79"/>
      <c r="G281" s="82">
        <v>0.99203187250996017</v>
      </c>
      <c r="H281" s="82">
        <v>0.67670682730923692</v>
      </c>
      <c r="I281" s="82">
        <v>0.2289156626506024</v>
      </c>
      <c r="J281" s="82">
        <v>9.4377510040160636E-2</v>
      </c>
      <c r="K281" s="82"/>
      <c r="L281" s="82"/>
      <c r="M281" s="6" t="s">
        <v>252</v>
      </c>
      <c r="N281" s="6"/>
      <c r="O281" s="125"/>
    </row>
    <row r="282" spans="1:15" x14ac:dyDescent="0.2">
      <c r="A282" s="80"/>
      <c r="B282" s="94"/>
      <c r="C282" s="94"/>
      <c r="D282" s="94"/>
      <c r="E282" s="94"/>
      <c r="F282" s="79"/>
      <c r="G282" s="82"/>
      <c r="H282" s="82"/>
      <c r="I282" s="82"/>
      <c r="J282" s="82"/>
      <c r="K282" s="82"/>
      <c r="L282" s="82"/>
      <c r="M282" s="6" t="s">
        <v>216</v>
      </c>
      <c r="N282" s="153">
        <v>497</v>
      </c>
      <c r="O282" s="156" t="s">
        <v>217</v>
      </c>
    </row>
    <row r="283" spans="1:15" x14ac:dyDescent="0.2">
      <c r="A283" s="80"/>
      <c r="B283" s="94"/>
      <c r="C283" s="94"/>
      <c r="D283" s="94"/>
      <c r="E283" s="94"/>
      <c r="F283" s="79"/>
      <c r="G283" s="82"/>
      <c r="H283" s="82"/>
      <c r="I283" s="82"/>
      <c r="J283" s="82"/>
      <c r="K283" s="82"/>
      <c r="L283" s="82"/>
      <c r="M283" s="6" t="s">
        <v>241</v>
      </c>
      <c r="N283" s="154">
        <v>337</v>
      </c>
      <c r="O283" s="155">
        <v>0.67806841046277666</v>
      </c>
    </row>
    <row r="284" spans="1:15" x14ac:dyDescent="0.2">
      <c r="A284" s="80" t="s">
        <v>213</v>
      </c>
      <c r="B284" s="79" t="s">
        <v>149</v>
      </c>
      <c r="C284" s="79"/>
      <c r="D284" s="79"/>
      <c r="E284" s="79"/>
      <c r="F284" s="93"/>
      <c r="G284" s="79" t="s">
        <v>156</v>
      </c>
      <c r="H284" s="79"/>
      <c r="I284" s="79"/>
      <c r="J284" s="79"/>
      <c r="K284" s="82"/>
      <c r="L284" s="82"/>
      <c r="M284" s="6" t="s">
        <v>242</v>
      </c>
      <c r="N284" s="154">
        <v>106</v>
      </c>
      <c r="O284" s="155">
        <v>0.21327967806841047</v>
      </c>
    </row>
    <row r="285" spans="1:15" x14ac:dyDescent="0.2">
      <c r="A285" s="80" t="s">
        <v>145</v>
      </c>
      <c r="B285" s="81" t="s">
        <v>117</v>
      </c>
      <c r="C285" s="81" t="s">
        <v>118</v>
      </c>
      <c r="D285" s="81" t="s">
        <v>119</v>
      </c>
      <c r="E285" s="81" t="s">
        <v>120</v>
      </c>
      <c r="F285" s="93"/>
      <c r="G285" s="81" t="s">
        <v>117</v>
      </c>
      <c r="H285" s="81" t="s">
        <v>118</v>
      </c>
      <c r="I285" s="81" t="s">
        <v>119</v>
      </c>
      <c r="J285" s="81" t="s">
        <v>120</v>
      </c>
      <c r="K285" s="82"/>
      <c r="L285" s="82"/>
      <c r="M285" s="6" t="s">
        <v>244</v>
      </c>
      <c r="N285" s="154">
        <v>154</v>
      </c>
      <c r="O285" s="155">
        <v>0.30985915492957744</v>
      </c>
    </row>
    <row r="286" spans="1:15" x14ac:dyDescent="0.2">
      <c r="A286" s="80" t="s">
        <v>135</v>
      </c>
      <c r="B286" s="93">
        <v>43</v>
      </c>
      <c r="C286" s="93">
        <v>28</v>
      </c>
      <c r="D286" s="93">
        <v>15</v>
      </c>
      <c r="E286" s="93">
        <v>0</v>
      </c>
      <c r="F286" s="93"/>
      <c r="G286" s="82">
        <f>B286/43</f>
        <v>1</v>
      </c>
      <c r="H286" s="82">
        <f>C286/B286</f>
        <v>0.65116279069767447</v>
      </c>
      <c r="I286" s="82">
        <f>D286/B286</f>
        <v>0.34883720930232559</v>
      </c>
      <c r="J286" s="82">
        <f>E286/B286</f>
        <v>0</v>
      </c>
      <c r="K286" s="82"/>
      <c r="L286" s="79"/>
      <c r="M286" s="6" t="s">
        <v>243</v>
      </c>
      <c r="N286" s="154">
        <v>30</v>
      </c>
      <c r="O286" s="155">
        <v>6.0362173038229376E-2</v>
      </c>
    </row>
    <row r="287" spans="1:15" x14ac:dyDescent="0.2">
      <c r="A287" s="80" t="s">
        <v>136</v>
      </c>
      <c r="B287" s="93">
        <v>29</v>
      </c>
      <c r="C287" s="93">
        <v>23</v>
      </c>
      <c r="D287" s="93">
        <v>2</v>
      </c>
      <c r="E287" s="93">
        <v>4</v>
      </c>
      <c r="F287" s="93"/>
      <c r="G287" s="82">
        <f>B287/29</f>
        <v>1</v>
      </c>
      <c r="H287" s="82">
        <f t="shared" ref="H287:H296" si="12">C287/B287</f>
        <v>0.7931034482758621</v>
      </c>
      <c r="I287" s="82">
        <f t="shared" ref="I287:I296" si="13">D287/B287</f>
        <v>6.8965517241379309E-2</v>
      </c>
      <c r="J287" s="82">
        <f t="shared" ref="J287:J296" si="14">E287/B287</f>
        <v>0.13793103448275862</v>
      </c>
      <c r="K287" s="82"/>
      <c r="L287" s="79"/>
      <c r="M287" s="135"/>
      <c r="N287" s="59"/>
      <c r="O287" s="59"/>
    </row>
    <row r="288" spans="1:15" x14ac:dyDescent="0.2">
      <c r="A288" s="80" t="s">
        <v>137</v>
      </c>
      <c r="B288" s="93">
        <v>64</v>
      </c>
      <c r="C288" s="93">
        <v>46</v>
      </c>
      <c r="D288" s="93">
        <v>7</v>
      </c>
      <c r="E288" s="93">
        <v>11</v>
      </c>
      <c r="F288" s="93"/>
      <c r="G288" s="82">
        <f>B288/64</f>
        <v>1</v>
      </c>
      <c r="H288" s="82">
        <f t="shared" si="12"/>
        <v>0.71875</v>
      </c>
      <c r="I288" s="82">
        <f t="shared" si="13"/>
        <v>0.109375</v>
      </c>
      <c r="J288" s="82">
        <f t="shared" si="14"/>
        <v>0.171875</v>
      </c>
      <c r="K288" s="82"/>
      <c r="L288" s="79"/>
      <c r="M288" s="134"/>
      <c r="N288" s="59"/>
      <c r="O288" s="59"/>
    </row>
    <row r="289" spans="1:15" x14ac:dyDescent="0.2">
      <c r="A289" s="80" t="s">
        <v>138</v>
      </c>
      <c r="B289" s="93">
        <v>84</v>
      </c>
      <c r="C289" s="93">
        <v>58</v>
      </c>
      <c r="D289" s="93">
        <v>20</v>
      </c>
      <c r="E289" s="93">
        <v>6</v>
      </c>
      <c r="F289" s="93"/>
      <c r="G289" s="82">
        <f>B289/85</f>
        <v>0.9882352941176471</v>
      </c>
      <c r="H289" s="82">
        <f t="shared" si="12"/>
        <v>0.69047619047619047</v>
      </c>
      <c r="I289" s="82">
        <f t="shared" si="13"/>
        <v>0.23809523809523808</v>
      </c>
      <c r="J289" s="82">
        <f t="shared" si="14"/>
        <v>7.1428571428571425E-2</v>
      </c>
      <c r="K289" s="82"/>
      <c r="L289" s="79"/>
      <c r="M289" s="137"/>
      <c r="N289" s="59"/>
      <c r="O289" s="59"/>
    </row>
    <row r="290" spans="1:15" x14ac:dyDescent="0.2">
      <c r="A290" s="80" t="s">
        <v>139</v>
      </c>
      <c r="B290" s="93">
        <v>40</v>
      </c>
      <c r="C290" s="93">
        <v>26</v>
      </c>
      <c r="D290" s="93">
        <v>8</v>
      </c>
      <c r="E290" s="93">
        <v>6</v>
      </c>
      <c r="F290" s="93"/>
      <c r="G290" s="82">
        <f>B290/40</f>
        <v>1</v>
      </c>
      <c r="H290" s="82">
        <f t="shared" si="12"/>
        <v>0.65</v>
      </c>
      <c r="I290" s="82">
        <f t="shared" si="13"/>
        <v>0.2</v>
      </c>
      <c r="J290" s="82">
        <f t="shared" si="14"/>
        <v>0.15</v>
      </c>
      <c r="K290" s="82"/>
      <c r="L290" s="81"/>
      <c r="M290" s="89"/>
      <c r="N290" s="59"/>
      <c r="O290" s="59"/>
    </row>
    <row r="291" spans="1:15" x14ac:dyDescent="0.2">
      <c r="A291" s="80" t="s">
        <v>140</v>
      </c>
      <c r="B291" s="93">
        <v>55</v>
      </c>
      <c r="C291" s="93">
        <v>39</v>
      </c>
      <c r="D291" s="93">
        <v>9</v>
      </c>
      <c r="E291" s="93">
        <v>7</v>
      </c>
      <c r="F291" s="93"/>
      <c r="G291" s="82">
        <f>B291/55</f>
        <v>1</v>
      </c>
      <c r="H291" s="82">
        <f t="shared" si="12"/>
        <v>0.70909090909090911</v>
      </c>
      <c r="I291" s="82">
        <f t="shared" si="13"/>
        <v>0.16363636363636364</v>
      </c>
      <c r="J291" s="82">
        <f t="shared" si="14"/>
        <v>0.12727272727272726</v>
      </c>
      <c r="K291" s="82"/>
      <c r="L291" s="82"/>
      <c r="M291" s="89"/>
    </row>
    <row r="292" spans="1:15" x14ac:dyDescent="0.2">
      <c r="A292" s="80" t="s">
        <v>141</v>
      </c>
      <c r="B292" s="93">
        <v>85</v>
      </c>
      <c r="C292" s="93">
        <v>51</v>
      </c>
      <c r="D292" s="93">
        <v>28</v>
      </c>
      <c r="E292" s="93">
        <v>6</v>
      </c>
      <c r="F292" s="94"/>
      <c r="G292" s="82">
        <f>B292/85</f>
        <v>1</v>
      </c>
      <c r="H292" s="82">
        <f t="shared" si="12"/>
        <v>0.6</v>
      </c>
      <c r="I292" s="82">
        <f t="shared" si="13"/>
        <v>0.32941176470588235</v>
      </c>
      <c r="J292" s="82">
        <f t="shared" si="14"/>
        <v>7.0588235294117646E-2</v>
      </c>
      <c r="K292" s="82"/>
      <c r="L292" s="82"/>
      <c r="M292" s="89"/>
    </row>
    <row r="293" spans="1:15" x14ac:dyDescent="0.2">
      <c r="A293" s="80" t="s">
        <v>142</v>
      </c>
      <c r="B293" s="93">
        <v>64</v>
      </c>
      <c r="C293" s="93">
        <v>54</v>
      </c>
      <c r="D293" s="93">
        <v>4</v>
      </c>
      <c r="E293" s="93">
        <v>6</v>
      </c>
      <c r="F293" s="94"/>
      <c r="G293" s="82">
        <f>B293/65</f>
        <v>0.98461538461538467</v>
      </c>
      <c r="H293" s="82">
        <f t="shared" si="12"/>
        <v>0.84375</v>
      </c>
      <c r="I293" s="82">
        <f t="shared" si="13"/>
        <v>6.25E-2</v>
      </c>
      <c r="J293" s="82">
        <f t="shared" si="14"/>
        <v>9.375E-2</v>
      </c>
      <c r="K293" s="82"/>
      <c r="L293" s="82"/>
      <c r="M293" s="89"/>
    </row>
    <row r="294" spans="1:15" x14ac:dyDescent="0.2">
      <c r="A294" s="80" t="s">
        <v>143</v>
      </c>
      <c r="B294" s="93">
        <v>6</v>
      </c>
      <c r="C294" s="93">
        <v>2</v>
      </c>
      <c r="D294" s="93">
        <v>1</v>
      </c>
      <c r="E294" s="93">
        <v>3</v>
      </c>
      <c r="F294" s="94"/>
      <c r="G294" s="82">
        <f>B294/6</f>
        <v>1</v>
      </c>
      <c r="H294" s="82">
        <f t="shared" si="12"/>
        <v>0.33333333333333331</v>
      </c>
      <c r="I294" s="82">
        <f t="shared" si="13"/>
        <v>0.16666666666666666</v>
      </c>
      <c r="J294" s="82">
        <f t="shared" si="14"/>
        <v>0.5</v>
      </c>
      <c r="K294" s="79"/>
      <c r="L294" s="82"/>
      <c r="M294" s="89"/>
      <c r="N294" s="79"/>
      <c r="O294" s="79"/>
    </row>
    <row r="295" spans="1:15" x14ac:dyDescent="0.2">
      <c r="A295" s="80" t="s">
        <v>144</v>
      </c>
      <c r="B295" s="93">
        <v>30</v>
      </c>
      <c r="C295" s="93">
        <v>16</v>
      </c>
      <c r="D295" s="93">
        <v>11</v>
      </c>
      <c r="E295" s="93">
        <v>3</v>
      </c>
      <c r="F295" s="94"/>
      <c r="G295" s="82">
        <f>B295/30</f>
        <v>1</v>
      </c>
      <c r="H295" s="82">
        <f t="shared" si="12"/>
        <v>0.53333333333333333</v>
      </c>
      <c r="I295" s="82">
        <f t="shared" si="13"/>
        <v>0.36666666666666664</v>
      </c>
      <c r="J295" s="82">
        <f t="shared" si="14"/>
        <v>0.1</v>
      </c>
      <c r="K295" s="81"/>
      <c r="L295" s="82"/>
      <c r="M295" s="129"/>
      <c r="N295" s="79"/>
      <c r="O295" s="79"/>
    </row>
    <row r="296" spans="1:15" x14ac:dyDescent="0.2">
      <c r="A296" s="80" t="s">
        <v>25</v>
      </c>
      <c r="B296" s="94">
        <v>500</v>
      </c>
      <c r="C296" s="93">
        <v>343</v>
      </c>
      <c r="D296" s="93">
        <v>105</v>
      </c>
      <c r="E296" s="94">
        <v>52</v>
      </c>
      <c r="F296" s="79"/>
      <c r="G296" s="82">
        <f>B296/502</f>
        <v>0.99601593625498008</v>
      </c>
      <c r="H296" s="82">
        <f t="shared" si="12"/>
        <v>0.68600000000000005</v>
      </c>
      <c r="I296" s="82">
        <f t="shared" si="13"/>
        <v>0.21</v>
      </c>
      <c r="J296" s="82">
        <f t="shared" si="14"/>
        <v>0.104</v>
      </c>
      <c r="K296" s="82"/>
      <c r="L296" s="82"/>
      <c r="M296" s="129"/>
      <c r="N296" s="79"/>
      <c r="O296" s="79"/>
    </row>
    <row r="297" spans="1:15" x14ac:dyDescent="0.2">
      <c r="A297" s="80"/>
      <c r="B297" s="94"/>
      <c r="C297" s="93"/>
      <c r="D297" s="93"/>
      <c r="E297" s="94"/>
      <c r="F297" s="79"/>
      <c r="G297" s="82"/>
      <c r="H297" s="82"/>
      <c r="I297" s="82"/>
      <c r="J297" s="82"/>
      <c r="K297" s="82"/>
      <c r="L297" s="82"/>
      <c r="M297" s="129"/>
      <c r="N297" s="79"/>
      <c r="O297" s="79"/>
    </row>
    <row r="298" spans="1:15" x14ac:dyDescent="0.2">
      <c r="A298" s="80"/>
      <c r="B298" s="94"/>
      <c r="C298" s="94"/>
      <c r="D298" s="94"/>
      <c r="E298" s="94"/>
      <c r="F298" s="79"/>
      <c r="G298" s="82"/>
      <c r="H298" s="82"/>
      <c r="I298" s="82"/>
      <c r="J298" s="82"/>
      <c r="K298" s="82"/>
      <c r="L298" s="82"/>
      <c r="M298"/>
    </row>
    <row r="299" spans="1:15" x14ac:dyDescent="0.2">
      <c r="A299" s="80" t="s">
        <v>256</v>
      </c>
      <c r="B299" s="94"/>
      <c r="C299" s="93"/>
      <c r="D299" s="93"/>
      <c r="E299" s="94"/>
      <c r="F299" s="79"/>
      <c r="G299" s="82"/>
      <c r="H299" s="82"/>
      <c r="I299" s="82"/>
      <c r="J299" s="82"/>
      <c r="K299" s="82"/>
      <c r="L299" s="82"/>
      <c r="M299"/>
    </row>
    <row r="300" spans="1:15" x14ac:dyDescent="0.2">
      <c r="A300" s="80" t="s">
        <v>214</v>
      </c>
      <c r="B300" s="79" t="s">
        <v>149</v>
      </c>
      <c r="C300" s="79"/>
      <c r="D300" s="79"/>
      <c r="E300" s="79"/>
      <c r="F300" s="93"/>
      <c r="G300" s="79" t="s">
        <v>156</v>
      </c>
      <c r="H300" s="79"/>
      <c r="I300" s="79"/>
      <c r="J300" s="79"/>
      <c r="K300" s="82"/>
      <c r="L300" s="82"/>
      <c r="M300"/>
    </row>
    <row r="301" spans="1:15" x14ac:dyDescent="0.2">
      <c r="A301" s="80" t="s">
        <v>145</v>
      </c>
      <c r="B301" s="81" t="s">
        <v>117</v>
      </c>
      <c r="C301" s="81" t="s">
        <v>118</v>
      </c>
      <c r="D301" s="81" t="s">
        <v>119</v>
      </c>
      <c r="E301" s="81" t="s">
        <v>120</v>
      </c>
      <c r="F301" s="93"/>
      <c r="G301" s="81" t="s">
        <v>117</v>
      </c>
      <c r="H301" s="81" t="s">
        <v>118</v>
      </c>
      <c r="I301" s="81" t="s">
        <v>119</v>
      </c>
      <c r="J301" s="81" t="s">
        <v>120</v>
      </c>
      <c r="K301" s="82"/>
      <c r="L301" s="82"/>
      <c r="M301"/>
    </row>
    <row r="302" spans="1:15" x14ac:dyDescent="0.2">
      <c r="A302" s="80" t="s">
        <v>135</v>
      </c>
      <c r="B302" s="93">
        <v>43</v>
      </c>
      <c r="C302" s="93">
        <v>31</v>
      </c>
      <c r="D302" s="93">
        <v>8</v>
      </c>
      <c r="E302" s="93">
        <v>4</v>
      </c>
      <c r="F302" s="93"/>
      <c r="G302" s="82">
        <f>B302/43</f>
        <v>1</v>
      </c>
      <c r="H302" s="82">
        <f>C302/B302</f>
        <v>0.72093023255813948</v>
      </c>
      <c r="I302" s="82">
        <f>D302/B302</f>
        <v>0.18604651162790697</v>
      </c>
      <c r="J302" s="82">
        <f>E302/B302</f>
        <v>9.3023255813953487E-2</v>
      </c>
      <c r="K302" s="82"/>
      <c r="L302" s="82"/>
      <c r="M302"/>
    </row>
    <row r="303" spans="1:15" x14ac:dyDescent="0.2">
      <c r="A303" s="80" t="s">
        <v>136</v>
      </c>
      <c r="B303" s="93">
        <v>30</v>
      </c>
      <c r="C303" s="93">
        <v>20</v>
      </c>
      <c r="D303" s="93">
        <v>5</v>
      </c>
      <c r="E303" s="93">
        <v>5</v>
      </c>
      <c r="F303" s="93"/>
      <c r="G303" s="82">
        <f>B303/30</f>
        <v>1</v>
      </c>
      <c r="H303" s="82">
        <f t="shared" ref="H303:H312" si="15">C303/B303</f>
        <v>0.66666666666666663</v>
      </c>
      <c r="I303" s="82">
        <f t="shared" ref="I303:I312" si="16">D303/B303</f>
        <v>0.16666666666666666</v>
      </c>
      <c r="J303" s="82">
        <f t="shared" ref="J303:J312" si="17">E303/B303</f>
        <v>0.16666666666666666</v>
      </c>
      <c r="K303" s="82"/>
      <c r="L303" s="82"/>
      <c r="M303"/>
    </row>
    <row r="304" spans="1:15" x14ac:dyDescent="0.2">
      <c r="A304" s="80" t="s">
        <v>137</v>
      </c>
      <c r="B304" s="93">
        <v>64</v>
      </c>
      <c r="C304" s="93">
        <v>54</v>
      </c>
      <c r="D304" s="93">
        <v>6</v>
      </c>
      <c r="E304" s="93">
        <v>4</v>
      </c>
      <c r="F304" s="93"/>
      <c r="G304" s="82">
        <f>B304/65</f>
        <v>0.98461538461538467</v>
      </c>
      <c r="H304" s="82">
        <f t="shared" si="15"/>
        <v>0.84375</v>
      </c>
      <c r="I304" s="82">
        <f t="shared" si="16"/>
        <v>9.375E-2</v>
      </c>
      <c r="J304" s="82">
        <f t="shared" si="17"/>
        <v>6.25E-2</v>
      </c>
      <c r="K304" s="82"/>
      <c r="L304" s="79"/>
      <c r="M304"/>
    </row>
    <row r="305" spans="1:13" x14ac:dyDescent="0.2">
      <c r="A305" s="80" t="s">
        <v>138</v>
      </c>
      <c r="B305" s="93">
        <v>83</v>
      </c>
      <c r="C305" s="93">
        <v>59</v>
      </c>
      <c r="D305" s="93">
        <v>17</v>
      </c>
      <c r="E305" s="93">
        <v>7</v>
      </c>
      <c r="F305" s="93"/>
      <c r="G305" s="82">
        <f>B305/84</f>
        <v>0.98809523809523814</v>
      </c>
      <c r="H305" s="82">
        <f t="shared" si="15"/>
        <v>0.71084337349397586</v>
      </c>
      <c r="I305" s="82">
        <f t="shared" si="16"/>
        <v>0.20481927710843373</v>
      </c>
      <c r="J305" s="82">
        <f t="shared" si="17"/>
        <v>8.4337349397590355E-2</v>
      </c>
      <c r="K305" s="82"/>
      <c r="L305" s="79"/>
      <c r="M305"/>
    </row>
    <row r="306" spans="1:13" x14ac:dyDescent="0.2">
      <c r="A306" s="80" t="s">
        <v>139</v>
      </c>
      <c r="B306" s="93">
        <v>40</v>
      </c>
      <c r="C306" s="93">
        <v>30</v>
      </c>
      <c r="D306" s="93">
        <v>6</v>
      </c>
      <c r="E306" s="93">
        <v>4</v>
      </c>
      <c r="F306" s="93"/>
      <c r="G306" s="82">
        <f>B306/40</f>
        <v>1</v>
      </c>
      <c r="H306" s="82">
        <f t="shared" si="15"/>
        <v>0.75</v>
      </c>
      <c r="I306" s="82">
        <f t="shared" si="16"/>
        <v>0.15</v>
      </c>
      <c r="J306" s="82">
        <f t="shared" si="17"/>
        <v>0.1</v>
      </c>
      <c r="K306" s="82"/>
      <c r="L306" s="79"/>
      <c r="M306"/>
    </row>
    <row r="307" spans="1:13" x14ac:dyDescent="0.2">
      <c r="A307" s="80" t="s">
        <v>140</v>
      </c>
      <c r="B307" s="93">
        <v>55</v>
      </c>
      <c r="C307" s="93">
        <v>43</v>
      </c>
      <c r="D307" s="93">
        <v>7</v>
      </c>
      <c r="E307" s="93">
        <v>5</v>
      </c>
      <c r="F307" s="93"/>
      <c r="G307" s="82">
        <f>B307/55</f>
        <v>1</v>
      </c>
      <c r="H307" s="82">
        <f t="shared" si="15"/>
        <v>0.78181818181818186</v>
      </c>
      <c r="I307" s="82">
        <f t="shared" si="16"/>
        <v>0.12727272727272726</v>
      </c>
      <c r="J307" s="82">
        <f t="shared" si="17"/>
        <v>9.0909090909090912E-2</v>
      </c>
      <c r="K307" s="82"/>
      <c r="L307" s="79"/>
      <c r="M307"/>
    </row>
    <row r="308" spans="1:13" x14ac:dyDescent="0.2">
      <c r="A308" s="80" t="s">
        <v>141</v>
      </c>
      <c r="B308" s="93">
        <v>84</v>
      </c>
      <c r="C308" s="93">
        <v>61</v>
      </c>
      <c r="D308" s="93">
        <v>16</v>
      </c>
      <c r="E308" s="93">
        <v>7</v>
      </c>
      <c r="F308" s="94"/>
      <c r="G308" s="82">
        <f>B308/84</f>
        <v>1</v>
      </c>
      <c r="H308" s="82">
        <f t="shared" si="15"/>
        <v>0.72619047619047616</v>
      </c>
      <c r="I308" s="82">
        <f t="shared" si="16"/>
        <v>0.19047619047619047</v>
      </c>
      <c r="J308" s="82">
        <f t="shared" si="17"/>
        <v>8.3333333333333329E-2</v>
      </c>
      <c r="K308" s="82"/>
      <c r="L308" s="81"/>
      <c r="M308"/>
    </row>
    <row r="309" spans="1:13" x14ac:dyDescent="0.2">
      <c r="A309" s="80" t="s">
        <v>142</v>
      </c>
      <c r="B309" s="93">
        <v>65</v>
      </c>
      <c r="C309" s="93">
        <v>54</v>
      </c>
      <c r="D309" s="93">
        <v>8</v>
      </c>
      <c r="E309" s="93">
        <v>3</v>
      </c>
      <c r="F309" s="94"/>
      <c r="G309" s="82">
        <f>B309/66</f>
        <v>0.98484848484848486</v>
      </c>
      <c r="H309" s="82">
        <f t="shared" si="15"/>
        <v>0.83076923076923082</v>
      </c>
      <c r="I309" s="82">
        <f t="shared" si="16"/>
        <v>0.12307692307692308</v>
      </c>
      <c r="J309" s="82">
        <f t="shared" si="17"/>
        <v>4.6153846153846156E-2</v>
      </c>
      <c r="K309" s="82"/>
      <c r="L309" s="82"/>
      <c r="M309"/>
    </row>
    <row r="310" spans="1:13" x14ac:dyDescent="0.2">
      <c r="A310" s="80" t="s">
        <v>143</v>
      </c>
      <c r="B310" s="93">
        <v>5</v>
      </c>
      <c r="C310" s="93">
        <v>2</v>
      </c>
      <c r="D310" s="93">
        <v>3</v>
      </c>
      <c r="E310" s="93">
        <v>0</v>
      </c>
      <c r="F310" s="94"/>
      <c r="G310" s="82">
        <f>B310/5</f>
        <v>1</v>
      </c>
      <c r="H310" s="82">
        <f t="shared" si="15"/>
        <v>0.4</v>
      </c>
      <c r="I310" s="82">
        <f t="shared" si="16"/>
        <v>0.6</v>
      </c>
      <c r="J310" s="82">
        <f t="shared" si="17"/>
        <v>0</v>
      </c>
      <c r="K310" s="79"/>
      <c r="L310" s="82"/>
      <c r="M310"/>
    </row>
    <row r="311" spans="1:13" x14ac:dyDescent="0.2">
      <c r="A311" s="80" t="s">
        <v>144</v>
      </c>
      <c r="B311" s="93">
        <v>30</v>
      </c>
      <c r="C311" s="93">
        <v>14</v>
      </c>
      <c r="D311" s="93">
        <v>10</v>
      </c>
      <c r="E311" s="93">
        <v>6</v>
      </c>
      <c r="F311" s="94"/>
      <c r="G311" s="82">
        <f>B311/30</f>
        <v>1</v>
      </c>
      <c r="H311" s="82">
        <f t="shared" si="15"/>
        <v>0.46666666666666667</v>
      </c>
      <c r="I311" s="82">
        <f t="shared" si="16"/>
        <v>0.33333333333333331</v>
      </c>
      <c r="J311" s="82">
        <f t="shared" si="17"/>
        <v>0.2</v>
      </c>
      <c r="K311" s="81"/>
      <c r="L311" s="82"/>
      <c r="M311"/>
    </row>
    <row r="312" spans="1:13" x14ac:dyDescent="0.2">
      <c r="A312" s="80" t="s">
        <v>25</v>
      </c>
      <c r="B312" s="94">
        <v>499</v>
      </c>
      <c r="C312" s="93">
        <v>368</v>
      </c>
      <c r="D312" s="93">
        <v>86</v>
      </c>
      <c r="E312" s="94">
        <v>45</v>
      </c>
      <c r="F312" s="79"/>
      <c r="G312" s="82">
        <f>B312/502</f>
        <v>0.99402390438247012</v>
      </c>
      <c r="H312" s="82">
        <f t="shared" si="15"/>
        <v>0.73747494989979956</v>
      </c>
      <c r="I312" s="82">
        <f t="shared" si="16"/>
        <v>0.17234468937875752</v>
      </c>
      <c r="J312" s="82">
        <f t="shared" si="17"/>
        <v>9.0180360721442893E-2</v>
      </c>
      <c r="K312" s="82"/>
      <c r="L312" s="82"/>
      <c r="M312"/>
    </row>
    <row r="313" spans="1:13" x14ac:dyDescent="0.2">
      <c r="A313" s="80"/>
      <c r="B313" s="94"/>
      <c r="C313" s="94"/>
      <c r="D313" s="94"/>
      <c r="E313" s="94"/>
      <c r="F313" s="79"/>
      <c r="G313" s="82"/>
      <c r="H313" s="82"/>
      <c r="I313" s="82"/>
      <c r="J313" s="82"/>
      <c r="K313" s="82"/>
      <c r="L313" s="82"/>
      <c r="M313"/>
    </row>
    <row r="314" spans="1:13" x14ac:dyDescent="0.2">
      <c r="A314" s="80"/>
      <c r="B314" s="94"/>
      <c r="C314" s="93"/>
      <c r="D314" s="93"/>
      <c r="E314" s="94"/>
      <c r="F314" s="79"/>
      <c r="G314" s="82"/>
      <c r="H314" s="82"/>
      <c r="I314" s="82"/>
      <c r="J314" s="82"/>
      <c r="K314" s="82"/>
      <c r="L314" s="82"/>
      <c r="M314" s="132"/>
    </row>
    <row r="315" spans="1:13" x14ac:dyDescent="0.2">
      <c r="A315" s="80" t="s">
        <v>257</v>
      </c>
      <c r="B315" s="94"/>
      <c r="C315" s="93"/>
      <c r="D315" s="93"/>
      <c r="E315" s="94"/>
      <c r="F315" s="79"/>
      <c r="G315" s="82"/>
      <c r="H315" s="82"/>
      <c r="I315" s="82"/>
      <c r="J315" s="82"/>
      <c r="K315" s="82"/>
      <c r="L315" s="82"/>
      <c r="M315" s="132"/>
    </row>
    <row r="316" spans="1:13" x14ac:dyDescent="0.2">
      <c r="A316" s="80" t="s">
        <v>215</v>
      </c>
      <c r="B316" s="79" t="s">
        <v>149</v>
      </c>
      <c r="C316" s="79"/>
      <c r="D316" s="79"/>
      <c r="E316" s="79"/>
      <c r="F316" s="93"/>
      <c r="G316" s="79" t="s">
        <v>156</v>
      </c>
      <c r="H316" s="79"/>
      <c r="I316" s="79"/>
      <c r="J316" s="79"/>
      <c r="K316" s="82"/>
      <c r="L316" s="82"/>
      <c r="M316" s="132"/>
    </row>
    <row r="317" spans="1:13" x14ac:dyDescent="0.2">
      <c r="A317" s="80" t="s">
        <v>145</v>
      </c>
      <c r="B317" s="81" t="s">
        <v>117</v>
      </c>
      <c r="C317" s="81" t="s">
        <v>118</v>
      </c>
      <c r="D317" s="81" t="s">
        <v>119</v>
      </c>
      <c r="E317" s="81" t="s">
        <v>120</v>
      </c>
      <c r="F317" s="93"/>
      <c r="G317" s="81" t="s">
        <v>117</v>
      </c>
      <c r="H317" s="81" t="s">
        <v>118</v>
      </c>
      <c r="I317" s="81" t="s">
        <v>119</v>
      </c>
      <c r="J317" s="81" t="s">
        <v>120</v>
      </c>
      <c r="K317" s="82"/>
      <c r="L317" s="82"/>
      <c r="M317" s="132"/>
    </row>
    <row r="318" spans="1:13" x14ac:dyDescent="0.2">
      <c r="A318" s="80" t="s">
        <v>135</v>
      </c>
      <c r="B318" s="93">
        <v>45</v>
      </c>
      <c r="C318" s="93">
        <v>25</v>
      </c>
      <c r="D318" s="93">
        <v>15</v>
      </c>
      <c r="E318" s="93">
        <v>5</v>
      </c>
      <c r="F318" s="93"/>
      <c r="G318" s="82">
        <v>1</v>
      </c>
      <c r="H318" s="82">
        <v>0.55555555555555558</v>
      </c>
      <c r="I318" s="82">
        <v>0.33333333333333331</v>
      </c>
      <c r="J318" s="82">
        <v>0.1111111111111111</v>
      </c>
      <c r="K318" s="82"/>
      <c r="L318" s="82"/>
      <c r="M318" s="132"/>
    </row>
    <row r="319" spans="1:13" x14ac:dyDescent="0.2">
      <c r="A319" s="80" t="s">
        <v>136</v>
      </c>
      <c r="B319" s="93">
        <v>30</v>
      </c>
      <c r="C319" s="93">
        <v>21</v>
      </c>
      <c r="D319" s="93">
        <v>7</v>
      </c>
      <c r="E319" s="93">
        <v>2</v>
      </c>
      <c r="F319" s="93"/>
      <c r="G319" s="82">
        <v>1</v>
      </c>
      <c r="H319" s="82">
        <v>0.7</v>
      </c>
      <c r="I319" s="82">
        <v>0.23333333333333334</v>
      </c>
      <c r="J319" s="82">
        <v>6.6666666666666666E-2</v>
      </c>
      <c r="K319" s="82"/>
      <c r="L319" s="82"/>
    </row>
    <row r="320" spans="1:13" x14ac:dyDescent="0.2">
      <c r="A320" s="80" t="s">
        <v>137</v>
      </c>
      <c r="B320" s="93">
        <v>64</v>
      </c>
      <c r="C320" s="93">
        <v>40</v>
      </c>
      <c r="D320" s="93">
        <v>12</v>
      </c>
      <c r="E320" s="93">
        <v>12</v>
      </c>
      <c r="F320" s="93"/>
      <c r="G320" s="82">
        <v>1</v>
      </c>
      <c r="H320" s="82">
        <v>0.625</v>
      </c>
      <c r="I320" s="82">
        <v>0.1875</v>
      </c>
      <c r="J320" s="82">
        <v>0.1875</v>
      </c>
      <c r="K320" s="82"/>
      <c r="L320" s="82"/>
    </row>
    <row r="321" spans="1:12" x14ac:dyDescent="0.2">
      <c r="A321" s="80" t="s">
        <v>138</v>
      </c>
      <c r="B321" s="93">
        <v>84</v>
      </c>
      <c r="C321" s="93">
        <v>55</v>
      </c>
      <c r="D321" s="93">
        <v>17</v>
      </c>
      <c r="E321" s="93">
        <v>12</v>
      </c>
      <c r="F321" s="93"/>
      <c r="G321" s="82">
        <v>1</v>
      </c>
      <c r="H321" s="82">
        <v>0.65476190476190477</v>
      </c>
      <c r="I321" s="82">
        <v>0.20238095238095238</v>
      </c>
      <c r="J321" s="82">
        <v>0.14285714285714285</v>
      </c>
      <c r="K321" s="82"/>
      <c r="L321" s="82"/>
    </row>
    <row r="322" spans="1:12" x14ac:dyDescent="0.2">
      <c r="A322" s="80" t="s">
        <v>139</v>
      </c>
      <c r="B322" s="93">
        <v>40</v>
      </c>
      <c r="C322" s="93">
        <v>19</v>
      </c>
      <c r="D322" s="93">
        <v>14</v>
      </c>
      <c r="E322" s="93">
        <v>7</v>
      </c>
      <c r="F322" s="93"/>
      <c r="G322" s="82">
        <v>1</v>
      </c>
      <c r="H322" s="82">
        <v>0.47499999999999998</v>
      </c>
      <c r="I322" s="82">
        <v>0.35</v>
      </c>
      <c r="J322" s="82">
        <v>0.17499999999999999</v>
      </c>
      <c r="K322" s="82"/>
      <c r="L322" s="79"/>
    </row>
    <row r="323" spans="1:12" x14ac:dyDescent="0.2">
      <c r="A323" s="80" t="s">
        <v>140</v>
      </c>
      <c r="B323" s="93">
        <v>53</v>
      </c>
      <c r="C323" s="93">
        <v>44</v>
      </c>
      <c r="D323" s="93">
        <v>3</v>
      </c>
      <c r="E323" s="93">
        <v>6</v>
      </c>
      <c r="F323" s="93"/>
      <c r="G323" s="82">
        <v>1</v>
      </c>
      <c r="H323" s="82">
        <v>0.83018867924528306</v>
      </c>
      <c r="I323" s="82">
        <v>5.6603773584905662E-2</v>
      </c>
      <c r="J323" s="82">
        <v>0.11320754716981132</v>
      </c>
      <c r="K323" s="82"/>
      <c r="L323" s="79"/>
    </row>
    <row r="324" spans="1:12" x14ac:dyDescent="0.2">
      <c r="A324" s="80" t="s">
        <v>141</v>
      </c>
      <c r="B324" s="93">
        <v>83</v>
      </c>
      <c r="C324" s="93">
        <v>59</v>
      </c>
      <c r="D324" s="93">
        <v>14</v>
      </c>
      <c r="E324" s="93">
        <v>10</v>
      </c>
      <c r="F324" s="94"/>
      <c r="G324" s="82">
        <v>0.98809523809523814</v>
      </c>
      <c r="H324" s="82">
        <v>0.71084337349397586</v>
      </c>
      <c r="I324" s="82">
        <v>0.16867469879518071</v>
      </c>
      <c r="J324" s="82">
        <v>0.12048192771084337</v>
      </c>
      <c r="K324" s="82"/>
      <c r="L324" s="79"/>
    </row>
    <row r="325" spans="1:12" x14ac:dyDescent="0.2">
      <c r="A325" s="80" t="s">
        <v>142</v>
      </c>
      <c r="B325" s="93">
        <v>65</v>
      </c>
      <c r="C325" s="93">
        <v>47</v>
      </c>
      <c r="D325" s="93">
        <v>10</v>
      </c>
      <c r="E325" s="93">
        <v>8</v>
      </c>
      <c r="F325" s="94"/>
      <c r="G325" s="82">
        <v>0.98484848484848486</v>
      </c>
      <c r="H325" s="82">
        <v>0.72307692307692306</v>
      </c>
      <c r="I325" s="82">
        <v>0.15384615384615385</v>
      </c>
      <c r="J325" s="82">
        <v>0.12307692307692308</v>
      </c>
      <c r="K325" s="79"/>
      <c r="L325" s="79"/>
    </row>
    <row r="326" spans="1:12" x14ac:dyDescent="0.2">
      <c r="A326" s="80" t="s">
        <v>143</v>
      </c>
      <c r="B326" s="93">
        <v>5</v>
      </c>
      <c r="C326" s="93">
        <v>1</v>
      </c>
      <c r="D326" s="93">
        <v>4</v>
      </c>
      <c r="E326" s="93">
        <v>0</v>
      </c>
      <c r="F326" s="94"/>
      <c r="G326" s="82">
        <v>1</v>
      </c>
      <c r="H326" s="82">
        <v>0.2</v>
      </c>
      <c r="I326" s="82">
        <v>0.8</v>
      </c>
      <c r="J326" s="82">
        <v>0</v>
      </c>
      <c r="K326" s="79"/>
      <c r="L326" s="81"/>
    </row>
    <row r="327" spans="1:12" x14ac:dyDescent="0.2">
      <c r="A327" s="80" t="s">
        <v>144</v>
      </c>
      <c r="B327" s="93">
        <v>30</v>
      </c>
      <c r="C327" s="93">
        <v>17</v>
      </c>
      <c r="D327" s="93">
        <v>10</v>
      </c>
      <c r="E327" s="93">
        <v>3</v>
      </c>
      <c r="F327" s="94"/>
      <c r="G327" s="82">
        <v>1</v>
      </c>
      <c r="H327" s="82">
        <v>0.56666666666666665</v>
      </c>
      <c r="I327" s="82">
        <v>0.33333333333333331</v>
      </c>
      <c r="J327" s="82">
        <v>0.1</v>
      </c>
      <c r="K327" s="81"/>
      <c r="L327" s="82"/>
    </row>
    <row r="328" spans="1:12" x14ac:dyDescent="0.2">
      <c r="A328" s="80" t="s">
        <v>25</v>
      </c>
      <c r="B328" s="94">
        <v>499</v>
      </c>
      <c r="C328" s="93">
        <v>328</v>
      </c>
      <c r="D328" s="93">
        <v>106</v>
      </c>
      <c r="E328" s="94">
        <v>65</v>
      </c>
      <c r="F328" s="79"/>
      <c r="G328" s="82">
        <v>0.99600798403193613</v>
      </c>
      <c r="H328" s="82">
        <v>0.65731462925851702</v>
      </c>
      <c r="I328" s="82">
        <v>0.21242484969939879</v>
      </c>
      <c r="J328" s="82">
        <v>0.13026052104208416</v>
      </c>
      <c r="K328" s="82"/>
      <c r="L328" s="82"/>
    </row>
    <row r="329" spans="1:12" x14ac:dyDescent="0.2">
      <c r="A329" s="80"/>
      <c r="B329" s="94"/>
      <c r="C329" s="93"/>
      <c r="D329" s="93"/>
      <c r="E329" s="94"/>
      <c r="F329" s="79"/>
      <c r="G329" s="82"/>
      <c r="H329" s="82"/>
      <c r="I329" s="82"/>
      <c r="J329" s="82"/>
      <c r="K329" s="82"/>
      <c r="L329" s="82"/>
    </row>
    <row r="330" spans="1:12" x14ac:dyDescent="0.2">
      <c r="A330" s="80"/>
      <c r="B330" s="94"/>
      <c r="C330" s="93"/>
      <c r="D330" s="93"/>
      <c r="E330" s="94"/>
      <c r="F330" s="79"/>
      <c r="G330" s="82"/>
      <c r="H330" s="82"/>
      <c r="I330" s="82"/>
      <c r="J330" s="82"/>
      <c r="K330" s="82"/>
      <c r="L330" s="82"/>
    </row>
    <row r="331" spans="1:12" x14ac:dyDescent="0.2">
      <c r="A331" s="114" t="s">
        <v>264</v>
      </c>
      <c r="B331" s="79"/>
      <c r="C331" s="79"/>
      <c r="D331" s="79"/>
      <c r="E331" s="79"/>
      <c r="F331" s="81"/>
      <c r="G331" s="79"/>
      <c r="H331" s="79"/>
      <c r="I331" s="79"/>
      <c r="J331" s="79"/>
      <c r="K331" s="82"/>
      <c r="L331" s="82"/>
    </row>
    <row r="332" spans="1:12" x14ac:dyDescent="0.2">
      <c r="A332" s="80" t="s">
        <v>206</v>
      </c>
      <c r="B332" s="79" t="s">
        <v>149</v>
      </c>
      <c r="C332" s="79"/>
      <c r="D332" s="79"/>
      <c r="E332" s="79"/>
      <c r="F332" s="93"/>
      <c r="G332" s="79" t="s">
        <v>156</v>
      </c>
      <c r="H332" s="79"/>
      <c r="I332" s="79"/>
      <c r="J332" s="79"/>
      <c r="K332" s="82"/>
      <c r="L332" s="82"/>
    </row>
    <row r="333" spans="1:12" x14ac:dyDescent="0.2">
      <c r="A333" s="80" t="s">
        <v>145</v>
      </c>
      <c r="B333" s="81" t="s">
        <v>117</v>
      </c>
      <c r="C333" s="81" t="s">
        <v>118</v>
      </c>
      <c r="D333" s="81" t="s">
        <v>119</v>
      </c>
      <c r="E333" s="81" t="s">
        <v>120</v>
      </c>
      <c r="F333" s="93"/>
      <c r="G333" s="81" t="s">
        <v>117</v>
      </c>
      <c r="H333" s="81" t="s">
        <v>118</v>
      </c>
      <c r="I333" s="81" t="s">
        <v>119</v>
      </c>
      <c r="J333" s="81" t="s">
        <v>120</v>
      </c>
      <c r="K333" s="82"/>
      <c r="L333" s="82"/>
    </row>
    <row r="334" spans="1:12" x14ac:dyDescent="0.2">
      <c r="A334" s="80" t="s">
        <v>135</v>
      </c>
      <c r="B334" s="93">
        <v>44</v>
      </c>
      <c r="C334" s="93">
        <v>35</v>
      </c>
      <c r="D334" s="93">
        <v>7</v>
      </c>
      <c r="E334" s="93">
        <v>2</v>
      </c>
      <c r="F334" s="93"/>
      <c r="G334" s="82">
        <f>B334/44</f>
        <v>1</v>
      </c>
      <c r="H334" s="82">
        <f>C334/B334</f>
        <v>0.79545454545454541</v>
      </c>
      <c r="I334" s="82">
        <f>D334/B334</f>
        <v>0.15909090909090909</v>
      </c>
      <c r="J334" s="82">
        <f>E334/B334</f>
        <v>4.5454545454545456E-2</v>
      </c>
      <c r="K334" s="82"/>
      <c r="L334" s="82"/>
    </row>
    <row r="335" spans="1:12" x14ac:dyDescent="0.2">
      <c r="A335" s="80" t="s">
        <v>136</v>
      </c>
      <c r="B335" s="93">
        <v>31</v>
      </c>
      <c r="C335" s="93">
        <v>18</v>
      </c>
      <c r="D335" s="93">
        <v>8</v>
      </c>
      <c r="E335" s="93">
        <v>5</v>
      </c>
      <c r="F335" s="93"/>
      <c r="G335" s="82">
        <f>B335/31</f>
        <v>1</v>
      </c>
      <c r="H335" s="82">
        <f t="shared" ref="H335:H344" si="18">C335/B335</f>
        <v>0.58064516129032262</v>
      </c>
      <c r="I335" s="82">
        <f t="shared" ref="I335:I344" si="19">D335/B335</f>
        <v>0.25806451612903225</v>
      </c>
      <c r="J335" s="82">
        <f t="shared" ref="J335:J344" si="20">E335/B335</f>
        <v>0.16129032258064516</v>
      </c>
      <c r="K335" s="82"/>
      <c r="L335" s="82"/>
    </row>
    <row r="336" spans="1:12" x14ac:dyDescent="0.2">
      <c r="A336" s="80" t="s">
        <v>137</v>
      </c>
      <c r="B336" s="93">
        <v>64</v>
      </c>
      <c r="C336" s="93">
        <v>43</v>
      </c>
      <c r="D336" s="93">
        <v>11</v>
      </c>
      <c r="E336" s="93">
        <v>10</v>
      </c>
      <c r="F336" s="93"/>
      <c r="G336" s="82">
        <f>B336/64</f>
        <v>1</v>
      </c>
      <c r="H336" s="82">
        <f t="shared" si="18"/>
        <v>0.671875</v>
      </c>
      <c r="I336" s="82">
        <f t="shared" si="19"/>
        <v>0.171875</v>
      </c>
      <c r="J336" s="82">
        <f t="shared" si="20"/>
        <v>0.15625</v>
      </c>
      <c r="K336" s="82"/>
      <c r="L336" s="82"/>
    </row>
    <row r="337" spans="1:12" x14ac:dyDescent="0.2">
      <c r="A337" s="80" t="s">
        <v>138</v>
      </c>
      <c r="B337" s="93">
        <v>84</v>
      </c>
      <c r="C337" s="93">
        <v>55</v>
      </c>
      <c r="D337" s="93">
        <v>22</v>
      </c>
      <c r="E337" s="93">
        <v>7</v>
      </c>
      <c r="F337" s="93"/>
      <c r="G337" s="82">
        <f>B337/84</f>
        <v>1</v>
      </c>
      <c r="H337" s="82">
        <f t="shared" si="18"/>
        <v>0.65476190476190477</v>
      </c>
      <c r="I337" s="82">
        <f t="shared" si="19"/>
        <v>0.26190476190476192</v>
      </c>
      <c r="J337" s="82">
        <f t="shared" si="20"/>
        <v>8.3333333333333329E-2</v>
      </c>
      <c r="K337" s="82"/>
      <c r="L337" s="82"/>
    </row>
    <row r="338" spans="1:12" x14ac:dyDescent="0.2">
      <c r="A338" s="80" t="s">
        <v>139</v>
      </c>
      <c r="B338" s="93">
        <v>39</v>
      </c>
      <c r="C338" s="93">
        <v>22</v>
      </c>
      <c r="D338" s="93">
        <v>13</v>
      </c>
      <c r="E338" s="93">
        <v>4</v>
      </c>
      <c r="F338" s="93"/>
      <c r="G338" s="82">
        <f>B338/41</f>
        <v>0.95121951219512191</v>
      </c>
      <c r="H338" s="82">
        <f t="shared" si="18"/>
        <v>0.5641025641025641</v>
      </c>
      <c r="I338" s="82">
        <f t="shared" si="19"/>
        <v>0.33333333333333331</v>
      </c>
      <c r="J338" s="82">
        <f t="shared" si="20"/>
        <v>0.10256410256410256</v>
      </c>
      <c r="K338" s="82"/>
      <c r="L338" s="82"/>
    </row>
    <row r="339" spans="1:12" x14ac:dyDescent="0.2">
      <c r="A339" s="80" t="s">
        <v>140</v>
      </c>
      <c r="B339" s="93">
        <v>54</v>
      </c>
      <c r="C339" s="93">
        <v>35</v>
      </c>
      <c r="D339" s="93">
        <v>14</v>
      </c>
      <c r="E339" s="93">
        <v>5</v>
      </c>
      <c r="F339" s="93"/>
      <c r="G339" s="82">
        <f>B339/54</f>
        <v>1</v>
      </c>
      <c r="H339" s="82">
        <f t="shared" si="18"/>
        <v>0.64814814814814814</v>
      </c>
      <c r="I339" s="82">
        <f t="shared" si="19"/>
        <v>0.25925925925925924</v>
      </c>
      <c r="J339" s="82">
        <f t="shared" si="20"/>
        <v>9.2592592592592587E-2</v>
      </c>
      <c r="K339" s="82"/>
      <c r="L339" s="82"/>
    </row>
    <row r="340" spans="1:12" x14ac:dyDescent="0.2">
      <c r="A340" s="80" t="s">
        <v>141</v>
      </c>
      <c r="B340" s="93">
        <v>82</v>
      </c>
      <c r="C340" s="93">
        <v>52</v>
      </c>
      <c r="D340" s="93">
        <v>22</v>
      </c>
      <c r="E340" s="93">
        <v>8</v>
      </c>
      <c r="F340" s="94"/>
      <c r="G340" s="82">
        <f>B340/82</f>
        <v>1</v>
      </c>
      <c r="H340" s="82">
        <f t="shared" si="18"/>
        <v>0.63414634146341464</v>
      </c>
      <c r="I340" s="82">
        <f t="shared" si="19"/>
        <v>0.26829268292682928</v>
      </c>
      <c r="J340" s="82">
        <f t="shared" si="20"/>
        <v>9.7560975609756101E-2</v>
      </c>
      <c r="K340" s="82"/>
      <c r="L340" s="79"/>
    </row>
    <row r="341" spans="1:12" x14ac:dyDescent="0.2">
      <c r="A341" s="80" t="s">
        <v>142</v>
      </c>
      <c r="B341" s="93">
        <v>66</v>
      </c>
      <c r="C341" s="93">
        <v>50</v>
      </c>
      <c r="D341" s="93">
        <v>8</v>
      </c>
      <c r="E341" s="93">
        <v>8</v>
      </c>
      <c r="F341" s="94"/>
      <c r="G341" s="82">
        <f>B341/65</f>
        <v>1.0153846153846153</v>
      </c>
      <c r="H341" s="82">
        <f t="shared" si="18"/>
        <v>0.75757575757575757</v>
      </c>
      <c r="I341" s="82">
        <f t="shared" si="19"/>
        <v>0.12121212121212122</v>
      </c>
      <c r="J341" s="82">
        <f t="shared" si="20"/>
        <v>0.12121212121212122</v>
      </c>
      <c r="K341" s="79"/>
      <c r="L341" s="79"/>
    </row>
    <row r="342" spans="1:12" x14ac:dyDescent="0.2">
      <c r="A342" s="80" t="s">
        <v>143</v>
      </c>
      <c r="B342" s="93">
        <v>5</v>
      </c>
      <c r="C342" s="93">
        <v>2</v>
      </c>
      <c r="D342" s="93">
        <v>3</v>
      </c>
      <c r="E342" s="93">
        <v>0</v>
      </c>
      <c r="F342" s="94"/>
      <c r="G342" s="82">
        <f>B342/5</f>
        <v>1</v>
      </c>
      <c r="H342" s="82">
        <f t="shared" si="18"/>
        <v>0.4</v>
      </c>
      <c r="I342" s="82">
        <f t="shared" si="19"/>
        <v>0.6</v>
      </c>
      <c r="J342" s="82">
        <f t="shared" si="20"/>
        <v>0</v>
      </c>
      <c r="K342" s="79"/>
      <c r="L342" s="79"/>
    </row>
    <row r="343" spans="1:12" x14ac:dyDescent="0.2">
      <c r="A343" s="80" t="s">
        <v>144</v>
      </c>
      <c r="B343" s="93">
        <v>30</v>
      </c>
      <c r="C343" s="93">
        <v>23</v>
      </c>
      <c r="D343" s="93">
        <v>5</v>
      </c>
      <c r="E343" s="93">
        <v>2</v>
      </c>
      <c r="F343" s="94"/>
      <c r="G343" s="82">
        <f>B343/30</f>
        <v>1</v>
      </c>
      <c r="H343" s="82">
        <f t="shared" si="18"/>
        <v>0.76666666666666672</v>
      </c>
      <c r="I343" s="82">
        <f t="shared" si="19"/>
        <v>0.16666666666666666</v>
      </c>
      <c r="J343" s="82">
        <f t="shared" si="20"/>
        <v>6.6666666666666666E-2</v>
      </c>
      <c r="K343" s="81"/>
      <c r="L343" s="81"/>
    </row>
    <row r="344" spans="1:12" x14ac:dyDescent="0.2">
      <c r="A344" s="80" t="s">
        <v>25</v>
      </c>
      <c r="B344" s="94">
        <v>499</v>
      </c>
      <c r="C344" s="93">
        <v>335</v>
      </c>
      <c r="D344" s="93">
        <v>113</v>
      </c>
      <c r="E344" s="94">
        <v>51</v>
      </c>
      <c r="F344" s="79"/>
      <c r="G344" s="82">
        <f>B344/500</f>
        <v>0.998</v>
      </c>
      <c r="H344" s="82">
        <f t="shared" si="18"/>
        <v>0.67134268537074149</v>
      </c>
      <c r="I344" s="82">
        <f t="shared" si="19"/>
        <v>0.22645290581162325</v>
      </c>
      <c r="J344" s="82">
        <f t="shared" si="20"/>
        <v>0.10220440881763528</v>
      </c>
      <c r="K344" s="82"/>
      <c r="L344" s="82"/>
    </row>
    <row r="345" spans="1:12" x14ac:dyDescent="0.2">
      <c r="A345" s="80"/>
      <c r="B345" s="94"/>
      <c r="C345" s="93"/>
      <c r="D345" s="93"/>
      <c r="E345" s="94"/>
      <c r="F345" s="79"/>
      <c r="G345" s="82"/>
      <c r="H345" s="82"/>
      <c r="I345" s="82"/>
      <c r="J345" s="82"/>
      <c r="K345" s="82"/>
      <c r="L345" s="82"/>
    </row>
    <row r="346" spans="1:12" x14ac:dyDescent="0.2">
      <c r="A346" s="80"/>
      <c r="B346" s="94"/>
      <c r="C346" s="93"/>
      <c r="D346" s="93"/>
      <c r="E346" s="94"/>
      <c r="F346" s="79"/>
      <c r="G346" s="82"/>
      <c r="H346" s="82"/>
      <c r="I346" s="82"/>
      <c r="J346" s="82"/>
      <c r="K346" s="82"/>
      <c r="L346" s="82"/>
    </row>
    <row r="347" spans="1:12" x14ac:dyDescent="0.2">
      <c r="A347" s="114" t="s">
        <v>258</v>
      </c>
      <c r="B347" s="79"/>
      <c r="C347" s="79"/>
      <c r="D347" s="79"/>
      <c r="E347" s="79"/>
      <c r="F347" s="81"/>
      <c r="G347" s="79"/>
      <c r="H347" s="79"/>
      <c r="I347" s="79"/>
      <c r="J347" s="79"/>
      <c r="K347" s="82"/>
      <c r="L347" s="82"/>
    </row>
    <row r="348" spans="1:12" x14ac:dyDescent="0.2">
      <c r="A348" s="80" t="s">
        <v>204</v>
      </c>
      <c r="B348" s="79" t="s">
        <v>149</v>
      </c>
      <c r="C348" s="79"/>
      <c r="D348" s="79"/>
      <c r="E348" s="79"/>
      <c r="F348" s="93"/>
      <c r="G348" s="79" t="s">
        <v>156</v>
      </c>
      <c r="H348" s="79"/>
      <c r="I348" s="79"/>
      <c r="J348" s="79"/>
      <c r="K348" s="82"/>
      <c r="L348" s="82"/>
    </row>
    <row r="349" spans="1:12" x14ac:dyDescent="0.2">
      <c r="A349" s="80" t="s">
        <v>145</v>
      </c>
      <c r="B349" s="81" t="s">
        <v>117</v>
      </c>
      <c r="C349" s="81" t="s">
        <v>118</v>
      </c>
      <c r="D349" s="81" t="s">
        <v>119</v>
      </c>
      <c r="E349" s="81" t="s">
        <v>120</v>
      </c>
      <c r="F349" s="93"/>
      <c r="G349" s="81" t="s">
        <v>117</v>
      </c>
      <c r="H349" s="81" t="s">
        <v>118</v>
      </c>
      <c r="I349" s="81" t="s">
        <v>119</v>
      </c>
      <c r="J349" s="81" t="s">
        <v>120</v>
      </c>
      <c r="K349" s="82"/>
      <c r="L349" s="82"/>
    </row>
    <row r="350" spans="1:12" x14ac:dyDescent="0.2">
      <c r="A350" s="80" t="s">
        <v>135</v>
      </c>
      <c r="B350" s="93">
        <v>44</v>
      </c>
      <c r="C350" s="93">
        <v>25</v>
      </c>
      <c r="D350" s="93">
        <v>16</v>
      </c>
      <c r="E350" s="93">
        <v>3</v>
      </c>
      <c r="F350" s="93"/>
      <c r="G350" s="82">
        <f>B350/44</f>
        <v>1</v>
      </c>
      <c r="H350" s="82">
        <f>C350/B350</f>
        <v>0.56818181818181823</v>
      </c>
      <c r="I350" s="82">
        <f>D350/B350</f>
        <v>0.36363636363636365</v>
      </c>
      <c r="J350" s="82">
        <f>E350/B350</f>
        <v>6.8181818181818177E-2</v>
      </c>
      <c r="K350" s="82"/>
      <c r="L350" s="82"/>
    </row>
    <row r="351" spans="1:12" x14ac:dyDescent="0.2">
      <c r="A351" s="80" t="s">
        <v>136</v>
      </c>
      <c r="B351" s="93">
        <v>31</v>
      </c>
      <c r="C351" s="93">
        <v>21</v>
      </c>
      <c r="D351" s="93">
        <v>8</v>
      </c>
      <c r="E351" s="93">
        <v>2</v>
      </c>
      <c r="F351" s="93"/>
      <c r="G351" s="82">
        <f>B351/31</f>
        <v>1</v>
      </c>
      <c r="H351" s="82">
        <f t="shared" ref="H351:H360" si="21">C351/B351</f>
        <v>0.67741935483870963</v>
      </c>
      <c r="I351" s="82">
        <f t="shared" ref="I351:I360" si="22">D351/B351</f>
        <v>0.25806451612903225</v>
      </c>
      <c r="J351" s="82">
        <f t="shared" ref="J351:J360" si="23">E351/B351</f>
        <v>6.4516129032258063E-2</v>
      </c>
      <c r="K351" s="82"/>
      <c r="L351" s="82"/>
    </row>
    <row r="352" spans="1:12" x14ac:dyDescent="0.2">
      <c r="A352" s="80" t="s">
        <v>137</v>
      </c>
      <c r="B352" s="93">
        <v>64</v>
      </c>
      <c r="C352" s="93">
        <v>37</v>
      </c>
      <c r="D352" s="93">
        <v>18</v>
      </c>
      <c r="E352" s="93">
        <v>9</v>
      </c>
      <c r="F352" s="93"/>
      <c r="G352" s="82">
        <f>B352/64</f>
        <v>1</v>
      </c>
      <c r="H352" s="82">
        <f t="shared" si="21"/>
        <v>0.578125</v>
      </c>
      <c r="I352" s="82">
        <f t="shared" si="22"/>
        <v>0.28125</v>
      </c>
      <c r="J352" s="82">
        <f t="shared" si="23"/>
        <v>0.140625</v>
      </c>
      <c r="K352" s="82"/>
      <c r="L352" s="82"/>
    </row>
    <row r="353" spans="1:12" x14ac:dyDescent="0.2">
      <c r="A353" s="80" t="s">
        <v>138</v>
      </c>
      <c r="B353" s="93">
        <v>83</v>
      </c>
      <c r="C353" s="93">
        <v>50</v>
      </c>
      <c r="D353" s="93">
        <v>24</v>
      </c>
      <c r="E353" s="93">
        <v>9</v>
      </c>
      <c r="F353" s="93"/>
      <c r="G353" s="82">
        <f>B353/83</f>
        <v>1</v>
      </c>
      <c r="H353" s="82">
        <f t="shared" si="21"/>
        <v>0.60240963855421692</v>
      </c>
      <c r="I353" s="82">
        <f t="shared" si="22"/>
        <v>0.28915662650602408</v>
      </c>
      <c r="J353" s="82">
        <f t="shared" si="23"/>
        <v>0.10843373493975904</v>
      </c>
      <c r="K353" s="82"/>
      <c r="L353" s="82"/>
    </row>
    <row r="354" spans="1:12" x14ac:dyDescent="0.2">
      <c r="A354" s="80" t="s">
        <v>139</v>
      </c>
      <c r="B354" s="93">
        <v>40</v>
      </c>
      <c r="C354" s="93">
        <v>22</v>
      </c>
      <c r="D354" s="93">
        <v>13</v>
      </c>
      <c r="E354" s="93">
        <v>5</v>
      </c>
      <c r="F354" s="93"/>
      <c r="G354" s="82">
        <f>B354/40</f>
        <v>1</v>
      </c>
      <c r="H354" s="82">
        <f t="shared" si="21"/>
        <v>0.55000000000000004</v>
      </c>
      <c r="I354" s="82">
        <f t="shared" si="22"/>
        <v>0.32500000000000001</v>
      </c>
      <c r="J354" s="82">
        <f t="shared" si="23"/>
        <v>0.125</v>
      </c>
      <c r="K354" s="82"/>
      <c r="L354" s="82"/>
    </row>
    <row r="355" spans="1:12" x14ac:dyDescent="0.2">
      <c r="A355" s="80" t="s">
        <v>140</v>
      </c>
      <c r="B355" s="93">
        <v>54</v>
      </c>
      <c r="C355" s="93">
        <v>34</v>
      </c>
      <c r="D355" s="93">
        <v>8</v>
      </c>
      <c r="E355" s="93">
        <v>12</v>
      </c>
      <c r="F355" s="93"/>
      <c r="G355" s="82">
        <f>B355/55</f>
        <v>0.98181818181818181</v>
      </c>
      <c r="H355" s="82">
        <f t="shared" si="21"/>
        <v>0.62962962962962965</v>
      </c>
      <c r="I355" s="82">
        <f t="shared" si="22"/>
        <v>0.14814814814814814</v>
      </c>
      <c r="J355" s="82">
        <f t="shared" si="23"/>
        <v>0.22222222222222221</v>
      </c>
      <c r="K355" s="82"/>
      <c r="L355" s="82"/>
    </row>
    <row r="356" spans="1:12" x14ac:dyDescent="0.2">
      <c r="A356" s="80" t="s">
        <v>141</v>
      </c>
      <c r="B356" s="93">
        <v>81</v>
      </c>
      <c r="C356" s="93">
        <v>56</v>
      </c>
      <c r="D356" s="93">
        <v>19</v>
      </c>
      <c r="E356" s="93">
        <v>6</v>
      </c>
      <c r="F356" s="94"/>
      <c r="G356" s="82">
        <f>B356/81</f>
        <v>1</v>
      </c>
      <c r="H356" s="82">
        <f t="shared" si="21"/>
        <v>0.69135802469135799</v>
      </c>
      <c r="I356" s="82">
        <f t="shared" si="22"/>
        <v>0.23456790123456789</v>
      </c>
      <c r="J356" s="82">
        <f t="shared" si="23"/>
        <v>7.407407407407407E-2</v>
      </c>
      <c r="K356" s="82"/>
      <c r="L356" s="82"/>
    </row>
    <row r="357" spans="1:12" x14ac:dyDescent="0.2">
      <c r="A357" s="80" t="s">
        <v>142</v>
      </c>
      <c r="B357" s="93">
        <v>65</v>
      </c>
      <c r="C357" s="93">
        <v>49</v>
      </c>
      <c r="D357" s="93">
        <v>11</v>
      </c>
      <c r="E357" s="93">
        <v>5</v>
      </c>
      <c r="F357" s="94"/>
      <c r="G357" s="82">
        <f>B357/65</f>
        <v>1</v>
      </c>
      <c r="H357" s="82">
        <f t="shared" si="21"/>
        <v>0.75384615384615383</v>
      </c>
      <c r="I357" s="82">
        <f t="shared" si="22"/>
        <v>0.16923076923076924</v>
      </c>
      <c r="J357" s="82">
        <f t="shared" si="23"/>
        <v>7.6923076923076927E-2</v>
      </c>
      <c r="K357" s="79"/>
      <c r="L357" s="82"/>
    </row>
    <row r="358" spans="1:12" x14ac:dyDescent="0.2">
      <c r="A358" s="80" t="s">
        <v>143</v>
      </c>
      <c r="B358" s="93">
        <v>6</v>
      </c>
      <c r="C358" s="93">
        <v>4</v>
      </c>
      <c r="D358" s="93">
        <v>1</v>
      </c>
      <c r="E358" s="93">
        <v>1</v>
      </c>
      <c r="F358" s="94"/>
      <c r="G358" s="82">
        <f>B358/6</f>
        <v>1</v>
      </c>
      <c r="H358" s="82">
        <f t="shared" si="21"/>
        <v>0.66666666666666663</v>
      </c>
      <c r="I358" s="82">
        <f t="shared" si="22"/>
        <v>0.16666666666666666</v>
      </c>
      <c r="J358" s="82">
        <f t="shared" si="23"/>
        <v>0.16666666666666666</v>
      </c>
      <c r="K358" s="81"/>
      <c r="L358" s="81"/>
    </row>
    <row r="359" spans="1:12" x14ac:dyDescent="0.2">
      <c r="A359" s="80" t="s">
        <v>144</v>
      </c>
      <c r="B359" s="93">
        <v>31</v>
      </c>
      <c r="C359" s="93">
        <v>21</v>
      </c>
      <c r="D359" s="93">
        <v>8</v>
      </c>
      <c r="E359" s="93">
        <v>2</v>
      </c>
      <c r="F359" s="94"/>
      <c r="G359" s="82">
        <f>B359/31</f>
        <v>1</v>
      </c>
      <c r="H359" s="82">
        <f t="shared" si="21"/>
        <v>0.67741935483870963</v>
      </c>
      <c r="I359" s="82">
        <f t="shared" si="22"/>
        <v>0.25806451612903225</v>
      </c>
      <c r="J359" s="82">
        <f t="shared" si="23"/>
        <v>6.4516129032258063E-2</v>
      </c>
      <c r="K359" s="82"/>
      <c r="L359" s="82"/>
    </row>
    <row r="360" spans="1:12" x14ac:dyDescent="0.2">
      <c r="A360" s="80" t="s">
        <v>25</v>
      </c>
      <c r="B360" s="94">
        <v>499</v>
      </c>
      <c r="C360" s="93">
        <v>319</v>
      </c>
      <c r="D360" s="93">
        <v>126</v>
      </c>
      <c r="E360" s="94">
        <v>54</v>
      </c>
      <c r="F360" s="79"/>
      <c r="G360" s="82">
        <f>B360/500</f>
        <v>0.998</v>
      </c>
      <c r="H360" s="82">
        <f t="shared" si="21"/>
        <v>0.63927855711422843</v>
      </c>
      <c r="I360" s="82">
        <f t="shared" si="22"/>
        <v>0.25250501002004005</v>
      </c>
      <c r="J360" s="82">
        <f t="shared" si="23"/>
        <v>0.10821643286573146</v>
      </c>
      <c r="K360" s="82"/>
      <c r="L360" s="82"/>
    </row>
    <row r="361" spans="1:12" x14ac:dyDescent="0.2">
      <c r="A361" s="80"/>
      <c r="B361" s="94"/>
      <c r="C361" s="94"/>
      <c r="D361" s="94"/>
      <c r="E361" s="94"/>
      <c r="F361" s="79"/>
      <c r="G361" s="82"/>
      <c r="H361" s="82"/>
      <c r="I361" s="82"/>
      <c r="J361" s="82"/>
      <c r="K361" s="82"/>
      <c r="L361" s="82"/>
    </row>
    <row r="362" spans="1:12" x14ac:dyDescent="0.2">
      <c r="A362" s="80"/>
      <c r="B362" s="94"/>
      <c r="C362" s="93"/>
      <c r="D362" s="93"/>
      <c r="E362" s="94"/>
      <c r="F362" s="79"/>
      <c r="G362" s="82"/>
      <c r="H362" s="82"/>
      <c r="I362" s="82"/>
      <c r="J362" s="82"/>
      <c r="K362" s="82"/>
      <c r="L362" s="82"/>
    </row>
    <row r="363" spans="1:12" x14ac:dyDescent="0.2">
      <c r="A363" s="80" t="s">
        <v>190</v>
      </c>
      <c r="B363" s="79" t="s">
        <v>149</v>
      </c>
      <c r="C363" s="79"/>
      <c r="D363" s="79"/>
      <c r="E363" s="79"/>
      <c r="F363" s="93"/>
      <c r="G363" s="79" t="s">
        <v>156</v>
      </c>
      <c r="H363" s="79"/>
      <c r="I363" s="79"/>
      <c r="J363" s="79"/>
      <c r="K363" s="82"/>
      <c r="L363" s="82"/>
    </row>
    <row r="364" spans="1:12" x14ac:dyDescent="0.2">
      <c r="A364" s="80" t="s">
        <v>145</v>
      </c>
      <c r="B364" s="81" t="s">
        <v>117</v>
      </c>
      <c r="C364" s="81" t="s">
        <v>118</v>
      </c>
      <c r="D364" s="81" t="s">
        <v>119</v>
      </c>
      <c r="E364" s="81" t="s">
        <v>120</v>
      </c>
      <c r="F364" s="93"/>
      <c r="G364" s="81" t="s">
        <v>117</v>
      </c>
      <c r="H364" s="81" t="s">
        <v>118</v>
      </c>
      <c r="I364" s="81" t="s">
        <v>119</v>
      </c>
      <c r="J364" s="81" t="s">
        <v>120</v>
      </c>
      <c r="K364" s="82"/>
      <c r="L364" s="82"/>
    </row>
    <row r="365" spans="1:12" x14ac:dyDescent="0.2">
      <c r="A365" s="80" t="s">
        <v>135</v>
      </c>
      <c r="B365" s="93">
        <v>43</v>
      </c>
      <c r="C365" s="93">
        <v>28</v>
      </c>
      <c r="D365" s="93">
        <v>15</v>
      </c>
      <c r="E365" s="93">
        <v>0</v>
      </c>
      <c r="F365" s="93"/>
      <c r="G365" s="82">
        <f>B365/43</f>
        <v>1</v>
      </c>
      <c r="H365" s="82">
        <f>C365/B365</f>
        <v>0.65116279069767447</v>
      </c>
      <c r="I365" s="82">
        <f>D365/B365</f>
        <v>0.34883720930232559</v>
      </c>
      <c r="J365" s="82">
        <f>E365/B365</f>
        <v>0</v>
      </c>
      <c r="K365" s="82"/>
      <c r="L365" s="82"/>
    </row>
    <row r="366" spans="1:12" x14ac:dyDescent="0.2">
      <c r="A366" s="80" t="s">
        <v>136</v>
      </c>
      <c r="B366" s="93">
        <v>31</v>
      </c>
      <c r="C366" s="93">
        <v>20</v>
      </c>
      <c r="D366" s="93">
        <v>8</v>
      </c>
      <c r="E366" s="93">
        <v>3</v>
      </c>
      <c r="F366" s="93"/>
      <c r="G366" s="82">
        <f>B366/31</f>
        <v>1</v>
      </c>
      <c r="H366" s="82">
        <f t="shared" ref="H366:H375" si="24">C366/B366</f>
        <v>0.64516129032258063</v>
      </c>
      <c r="I366" s="82">
        <f t="shared" ref="I366:I375" si="25">D366/B366</f>
        <v>0.25806451612903225</v>
      </c>
      <c r="J366" s="82">
        <f t="shared" ref="J366:J375" si="26">E366/B366</f>
        <v>9.6774193548387094E-2</v>
      </c>
      <c r="K366" s="82"/>
      <c r="L366" s="82"/>
    </row>
    <row r="367" spans="1:12" x14ac:dyDescent="0.2">
      <c r="A367" s="80" t="s">
        <v>137</v>
      </c>
      <c r="B367" s="93">
        <v>63</v>
      </c>
      <c r="C367" s="93">
        <v>39</v>
      </c>
      <c r="D367" s="93">
        <v>13</v>
      </c>
      <c r="E367" s="93">
        <v>11</v>
      </c>
      <c r="F367" s="93"/>
      <c r="G367" s="82">
        <f>B367/63</f>
        <v>1</v>
      </c>
      <c r="H367" s="82">
        <f t="shared" si="24"/>
        <v>0.61904761904761907</v>
      </c>
      <c r="I367" s="82">
        <f t="shared" si="25"/>
        <v>0.20634920634920634</v>
      </c>
      <c r="J367" s="82">
        <f t="shared" si="26"/>
        <v>0.17460317460317459</v>
      </c>
      <c r="K367" s="82"/>
      <c r="L367" s="82"/>
    </row>
    <row r="368" spans="1:12" x14ac:dyDescent="0.2">
      <c r="A368" s="80" t="s">
        <v>138</v>
      </c>
      <c r="B368" s="93">
        <v>83</v>
      </c>
      <c r="C368" s="93">
        <v>57</v>
      </c>
      <c r="D368" s="93">
        <v>18</v>
      </c>
      <c r="E368" s="93">
        <v>8</v>
      </c>
      <c r="F368" s="93"/>
      <c r="G368" s="82">
        <f>B368/83</f>
        <v>1</v>
      </c>
      <c r="H368" s="82">
        <f t="shared" si="24"/>
        <v>0.68674698795180722</v>
      </c>
      <c r="I368" s="82">
        <f t="shared" si="25"/>
        <v>0.21686746987951808</v>
      </c>
      <c r="J368" s="82">
        <f t="shared" si="26"/>
        <v>9.6385542168674704E-2</v>
      </c>
      <c r="K368" s="82"/>
      <c r="L368" s="82"/>
    </row>
    <row r="369" spans="1:12" x14ac:dyDescent="0.2">
      <c r="A369" s="80" t="s">
        <v>139</v>
      </c>
      <c r="B369" s="93">
        <v>40</v>
      </c>
      <c r="C369" s="93">
        <v>24</v>
      </c>
      <c r="D369" s="93">
        <v>8</v>
      </c>
      <c r="E369" s="93">
        <v>8</v>
      </c>
      <c r="F369" s="93"/>
      <c r="G369" s="82">
        <f>B369/40</f>
        <v>1</v>
      </c>
      <c r="H369" s="82">
        <f t="shared" si="24"/>
        <v>0.6</v>
      </c>
      <c r="I369" s="82">
        <f t="shared" si="25"/>
        <v>0.2</v>
      </c>
      <c r="J369" s="82">
        <f t="shared" si="26"/>
        <v>0.2</v>
      </c>
      <c r="K369" s="82"/>
      <c r="L369" s="82"/>
    </row>
    <row r="370" spans="1:12" x14ac:dyDescent="0.2">
      <c r="A370" s="80" t="s">
        <v>140</v>
      </c>
      <c r="B370" s="93">
        <v>55</v>
      </c>
      <c r="C370" s="93">
        <v>41</v>
      </c>
      <c r="D370" s="93">
        <v>6</v>
      </c>
      <c r="E370" s="93">
        <v>8</v>
      </c>
      <c r="F370" s="93"/>
      <c r="G370" s="82">
        <f>B370/55</f>
        <v>1</v>
      </c>
      <c r="H370" s="82">
        <f t="shared" si="24"/>
        <v>0.74545454545454548</v>
      </c>
      <c r="I370" s="82">
        <f t="shared" si="25"/>
        <v>0.10909090909090909</v>
      </c>
      <c r="J370" s="82">
        <f t="shared" si="26"/>
        <v>0.14545454545454545</v>
      </c>
      <c r="K370" s="82"/>
      <c r="L370" s="82"/>
    </row>
    <row r="371" spans="1:12" x14ac:dyDescent="0.2">
      <c r="A371" s="80" t="s">
        <v>141</v>
      </c>
      <c r="B371" s="93">
        <v>81</v>
      </c>
      <c r="C371" s="93">
        <v>48</v>
      </c>
      <c r="D371" s="93">
        <v>27</v>
      </c>
      <c r="E371" s="93">
        <v>6</v>
      </c>
      <c r="F371" s="94"/>
      <c r="G371" s="82">
        <f>B371/81</f>
        <v>1</v>
      </c>
      <c r="H371" s="82">
        <f t="shared" si="24"/>
        <v>0.59259259259259256</v>
      </c>
      <c r="I371" s="82">
        <f t="shared" si="25"/>
        <v>0.33333333333333331</v>
      </c>
      <c r="J371" s="82">
        <f t="shared" si="26"/>
        <v>7.407407407407407E-2</v>
      </c>
      <c r="K371" s="82"/>
      <c r="L371" s="82"/>
    </row>
    <row r="372" spans="1:12" x14ac:dyDescent="0.2">
      <c r="A372" s="80" t="s">
        <v>142</v>
      </c>
      <c r="B372" s="93">
        <v>66</v>
      </c>
      <c r="C372" s="93">
        <v>55</v>
      </c>
      <c r="D372" s="93">
        <v>7</v>
      </c>
      <c r="E372" s="93">
        <v>4</v>
      </c>
      <c r="F372" s="94"/>
      <c r="G372" s="82">
        <f>B372/67</f>
        <v>0.9850746268656716</v>
      </c>
      <c r="H372" s="82">
        <f t="shared" si="24"/>
        <v>0.83333333333333337</v>
      </c>
      <c r="I372" s="82">
        <f t="shared" si="25"/>
        <v>0.10606060606060606</v>
      </c>
      <c r="J372" s="82">
        <f t="shared" si="26"/>
        <v>6.0606060606060608E-2</v>
      </c>
      <c r="K372" s="79"/>
      <c r="L372" s="82"/>
    </row>
    <row r="373" spans="1:12" x14ac:dyDescent="0.2">
      <c r="A373" s="80" t="s">
        <v>143</v>
      </c>
      <c r="B373" s="93">
        <v>6</v>
      </c>
      <c r="C373" s="93">
        <v>2</v>
      </c>
      <c r="D373" s="93">
        <v>2</v>
      </c>
      <c r="E373" s="93">
        <v>2</v>
      </c>
      <c r="F373" s="94"/>
      <c r="G373" s="82">
        <f>B373/6</f>
        <v>1</v>
      </c>
      <c r="H373" s="82">
        <f t="shared" si="24"/>
        <v>0.33333333333333331</v>
      </c>
      <c r="I373" s="82">
        <f t="shared" si="25"/>
        <v>0.33333333333333331</v>
      </c>
      <c r="J373" s="82">
        <f t="shared" si="26"/>
        <v>0.33333333333333331</v>
      </c>
      <c r="K373" s="79"/>
      <c r="L373" s="79"/>
    </row>
    <row r="374" spans="1:12" x14ac:dyDescent="0.2">
      <c r="A374" s="80" t="s">
        <v>144</v>
      </c>
      <c r="B374" s="93">
        <v>31</v>
      </c>
      <c r="C374" s="93">
        <v>16</v>
      </c>
      <c r="D374" s="93">
        <v>12</v>
      </c>
      <c r="E374" s="93">
        <v>3</v>
      </c>
      <c r="F374" s="94"/>
      <c r="G374" s="82">
        <f>B374/31</f>
        <v>1</v>
      </c>
      <c r="H374" s="82">
        <f t="shared" si="24"/>
        <v>0.5161290322580645</v>
      </c>
      <c r="I374" s="82">
        <f t="shared" si="25"/>
        <v>0.38709677419354838</v>
      </c>
      <c r="J374" s="82">
        <f t="shared" si="26"/>
        <v>9.6774193548387094E-2</v>
      </c>
      <c r="K374" s="81"/>
      <c r="L374" s="81"/>
    </row>
    <row r="375" spans="1:12" x14ac:dyDescent="0.2">
      <c r="A375" s="80" t="s">
        <v>25</v>
      </c>
      <c r="B375" s="94">
        <v>499</v>
      </c>
      <c r="C375" s="93">
        <v>330</v>
      </c>
      <c r="D375" s="93">
        <v>116</v>
      </c>
      <c r="E375" s="94">
        <v>53</v>
      </c>
      <c r="F375" s="79"/>
      <c r="G375" s="82">
        <f>B375/500</f>
        <v>0.998</v>
      </c>
      <c r="H375" s="82">
        <f t="shared" si="24"/>
        <v>0.66132264529058116</v>
      </c>
      <c r="I375" s="82">
        <f t="shared" si="25"/>
        <v>0.23246492985971945</v>
      </c>
      <c r="J375" s="82">
        <f t="shared" si="26"/>
        <v>0.10621242484969939</v>
      </c>
      <c r="K375" s="82"/>
      <c r="L375" s="82"/>
    </row>
    <row r="376" spans="1:12" x14ac:dyDescent="0.2">
      <c r="A376" s="80"/>
      <c r="B376" s="94"/>
      <c r="C376" s="94"/>
      <c r="D376" s="94"/>
      <c r="E376" s="94"/>
      <c r="F376" s="79"/>
      <c r="G376" s="82"/>
      <c r="H376" s="82"/>
      <c r="I376" s="82"/>
      <c r="J376" s="82"/>
      <c r="K376" s="82"/>
      <c r="L376" s="82"/>
    </row>
    <row r="377" spans="1:12" x14ac:dyDescent="0.2">
      <c r="A377" s="80"/>
      <c r="B377" s="94"/>
      <c r="C377" s="93"/>
      <c r="D377" s="93"/>
      <c r="E377" s="94"/>
      <c r="F377" s="79"/>
      <c r="G377" s="82"/>
      <c r="H377" s="82"/>
      <c r="I377" s="82"/>
      <c r="J377" s="82"/>
      <c r="K377" s="82"/>
      <c r="L377" s="82"/>
    </row>
    <row r="378" spans="1:12" x14ac:dyDescent="0.2">
      <c r="A378" s="114" t="s">
        <v>259</v>
      </c>
      <c r="B378" s="79"/>
      <c r="C378" s="79"/>
      <c r="D378" s="79"/>
      <c r="E378" s="79"/>
      <c r="F378" s="81"/>
      <c r="G378" s="79"/>
      <c r="H378" s="79"/>
      <c r="I378" s="79"/>
      <c r="J378" s="79"/>
      <c r="K378" s="82"/>
      <c r="L378" s="82"/>
    </row>
    <row r="379" spans="1:12" x14ac:dyDescent="0.2">
      <c r="A379" s="80" t="s">
        <v>189</v>
      </c>
      <c r="B379" s="79" t="s">
        <v>149</v>
      </c>
      <c r="C379" s="79"/>
      <c r="D379" s="79"/>
      <c r="E379" s="79"/>
      <c r="F379" s="93"/>
      <c r="G379" s="79" t="s">
        <v>156</v>
      </c>
      <c r="H379" s="79"/>
      <c r="I379" s="79"/>
      <c r="J379" s="79"/>
      <c r="K379" s="82"/>
      <c r="L379" s="82"/>
    </row>
    <row r="380" spans="1:12" x14ac:dyDescent="0.2">
      <c r="A380" s="80" t="s">
        <v>145</v>
      </c>
      <c r="B380" s="81" t="s">
        <v>117</v>
      </c>
      <c r="C380" s="81" t="s">
        <v>118</v>
      </c>
      <c r="D380" s="81" t="s">
        <v>119</v>
      </c>
      <c r="E380" s="81" t="s">
        <v>120</v>
      </c>
      <c r="F380" s="93"/>
      <c r="G380" s="81" t="s">
        <v>117</v>
      </c>
      <c r="H380" s="81" t="s">
        <v>118</v>
      </c>
      <c r="I380" s="81" t="s">
        <v>119</v>
      </c>
      <c r="J380" s="81" t="s">
        <v>120</v>
      </c>
      <c r="K380" s="82"/>
      <c r="L380" s="82"/>
    </row>
    <row r="381" spans="1:12" x14ac:dyDescent="0.2">
      <c r="A381" s="80" t="s">
        <v>135</v>
      </c>
      <c r="B381" s="93">
        <v>43</v>
      </c>
      <c r="C381" s="93">
        <v>26</v>
      </c>
      <c r="D381" s="93">
        <v>16</v>
      </c>
      <c r="E381" s="93">
        <v>1</v>
      </c>
      <c r="F381" s="93"/>
      <c r="G381" s="82">
        <f>B381/43</f>
        <v>1</v>
      </c>
      <c r="H381" s="82">
        <f>C381/B381</f>
        <v>0.60465116279069764</v>
      </c>
      <c r="I381" s="82">
        <f>D381/B381</f>
        <v>0.37209302325581395</v>
      </c>
      <c r="J381" s="82">
        <f>E381/B381</f>
        <v>2.3255813953488372E-2</v>
      </c>
      <c r="K381" s="82"/>
      <c r="L381" s="82"/>
    </row>
    <row r="382" spans="1:12" x14ac:dyDescent="0.2">
      <c r="A382" s="80" t="s">
        <v>136</v>
      </c>
      <c r="B382" s="93">
        <v>30</v>
      </c>
      <c r="C382" s="93">
        <v>17</v>
      </c>
      <c r="D382" s="93">
        <v>9</v>
      </c>
      <c r="E382" s="93">
        <v>4</v>
      </c>
      <c r="F382" s="93"/>
      <c r="G382" s="82">
        <f>B382/30</f>
        <v>1</v>
      </c>
      <c r="H382" s="82">
        <f t="shared" ref="H382:H391" si="27">C382/B382</f>
        <v>0.56666666666666665</v>
      </c>
      <c r="I382" s="82">
        <f t="shared" ref="I382:I391" si="28">D382/B382</f>
        <v>0.3</v>
      </c>
      <c r="J382" s="82">
        <f t="shared" ref="J382:J391" si="29">E382/B382</f>
        <v>0.13333333333333333</v>
      </c>
      <c r="K382" s="82"/>
      <c r="L382" s="82"/>
    </row>
    <row r="383" spans="1:12" x14ac:dyDescent="0.2">
      <c r="A383" s="80" t="s">
        <v>137</v>
      </c>
      <c r="B383" s="93">
        <v>61</v>
      </c>
      <c r="C383" s="93">
        <v>39</v>
      </c>
      <c r="D383" s="93">
        <v>16</v>
      </c>
      <c r="E383" s="93">
        <v>6</v>
      </c>
      <c r="F383" s="93"/>
      <c r="G383" s="82">
        <f>B383/61</f>
        <v>1</v>
      </c>
      <c r="H383" s="82">
        <f t="shared" si="27"/>
        <v>0.63934426229508201</v>
      </c>
      <c r="I383" s="82">
        <f t="shared" si="28"/>
        <v>0.26229508196721313</v>
      </c>
      <c r="J383" s="82">
        <f t="shared" si="29"/>
        <v>9.8360655737704916E-2</v>
      </c>
      <c r="K383" s="82"/>
      <c r="L383" s="82"/>
    </row>
    <row r="384" spans="1:12" x14ac:dyDescent="0.2">
      <c r="A384" s="80" t="s">
        <v>138</v>
      </c>
      <c r="B384" s="93">
        <v>83</v>
      </c>
      <c r="C384" s="93">
        <v>53</v>
      </c>
      <c r="D384" s="93">
        <v>26</v>
      </c>
      <c r="E384" s="93">
        <v>4</v>
      </c>
      <c r="F384" s="93"/>
      <c r="G384" s="82">
        <f>B384/83</f>
        <v>1</v>
      </c>
      <c r="H384" s="82">
        <f t="shared" si="27"/>
        <v>0.63855421686746983</v>
      </c>
      <c r="I384" s="82">
        <f t="shared" si="28"/>
        <v>0.31325301204819278</v>
      </c>
      <c r="J384" s="82">
        <f t="shared" si="29"/>
        <v>4.8192771084337352E-2</v>
      </c>
      <c r="K384" s="82"/>
      <c r="L384" s="82"/>
    </row>
    <row r="385" spans="1:13" x14ac:dyDescent="0.2">
      <c r="A385" s="80" t="s">
        <v>139</v>
      </c>
      <c r="B385" s="93">
        <v>40</v>
      </c>
      <c r="C385" s="93">
        <v>25</v>
      </c>
      <c r="D385" s="93">
        <v>9</v>
      </c>
      <c r="E385" s="93">
        <v>6</v>
      </c>
      <c r="F385" s="93"/>
      <c r="G385" s="82">
        <f>B385/40</f>
        <v>1</v>
      </c>
      <c r="H385" s="82">
        <f t="shared" si="27"/>
        <v>0.625</v>
      </c>
      <c r="I385" s="82">
        <f t="shared" si="28"/>
        <v>0.22500000000000001</v>
      </c>
      <c r="J385" s="82">
        <f t="shared" si="29"/>
        <v>0.15</v>
      </c>
      <c r="K385" s="82"/>
      <c r="L385" s="82"/>
    </row>
    <row r="386" spans="1:13" x14ac:dyDescent="0.2">
      <c r="A386" s="80" t="s">
        <v>140</v>
      </c>
      <c r="B386" s="93">
        <v>54</v>
      </c>
      <c r="C386" s="93">
        <v>40</v>
      </c>
      <c r="D386" s="93">
        <v>9</v>
      </c>
      <c r="E386" s="93">
        <v>5</v>
      </c>
      <c r="F386" s="93"/>
      <c r="G386" s="82">
        <f>B386/54</f>
        <v>1</v>
      </c>
      <c r="H386" s="82">
        <f t="shared" si="27"/>
        <v>0.7407407407407407</v>
      </c>
      <c r="I386" s="82">
        <f t="shared" si="28"/>
        <v>0.16666666666666666</v>
      </c>
      <c r="J386" s="82">
        <f t="shared" si="29"/>
        <v>9.2592592592592587E-2</v>
      </c>
      <c r="K386" s="82"/>
      <c r="L386" s="82"/>
    </row>
    <row r="387" spans="1:13" x14ac:dyDescent="0.2">
      <c r="A387" s="80" t="s">
        <v>141</v>
      </c>
      <c r="B387" s="93">
        <v>81</v>
      </c>
      <c r="C387" s="93">
        <v>57</v>
      </c>
      <c r="D387" s="93">
        <v>20</v>
      </c>
      <c r="E387" s="93">
        <v>4</v>
      </c>
      <c r="F387" s="94"/>
      <c r="G387" s="82">
        <f>B387/81</f>
        <v>1</v>
      </c>
      <c r="H387" s="82">
        <f t="shared" si="27"/>
        <v>0.70370370370370372</v>
      </c>
      <c r="I387" s="82">
        <f t="shared" si="28"/>
        <v>0.24691358024691357</v>
      </c>
      <c r="J387" s="82">
        <f t="shared" si="29"/>
        <v>4.9382716049382713E-2</v>
      </c>
      <c r="K387" s="82"/>
      <c r="L387" s="82"/>
    </row>
    <row r="388" spans="1:13" x14ac:dyDescent="0.2">
      <c r="A388" s="80" t="s">
        <v>142</v>
      </c>
      <c r="B388" s="93">
        <v>70</v>
      </c>
      <c r="C388" s="93">
        <v>51</v>
      </c>
      <c r="D388" s="93">
        <v>13</v>
      </c>
      <c r="E388" s="93">
        <v>6</v>
      </c>
      <c r="F388" s="94"/>
      <c r="G388" s="82">
        <f>B388/70</f>
        <v>1</v>
      </c>
      <c r="H388" s="82">
        <f t="shared" si="27"/>
        <v>0.72857142857142854</v>
      </c>
      <c r="I388" s="82">
        <f t="shared" si="28"/>
        <v>0.18571428571428572</v>
      </c>
      <c r="J388" s="82">
        <f t="shared" si="29"/>
        <v>8.5714285714285715E-2</v>
      </c>
      <c r="K388" s="79"/>
      <c r="L388" s="82"/>
    </row>
    <row r="389" spans="1:13" x14ac:dyDescent="0.2">
      <c r="A389" s="80" t="s">
        <v>143</v>
      </c>
      <c r="B389" s="93">
        <v>7</v>
      </c>
      <c r="C389" s="93">
        <v>2</v>
      </c>
      <c r="D389" s="93">
        <v>3</v>
      </c>
      <c r="E389" s="93">
        <v>2</v>
      </c>
      <c r="F389" s="94"/>
      <c r="G389" s="82">
        <f>B389/7</f>
        <v>1</v>
      </c>
      <c r="H389" s="82">
        <f t="shared" si="27"/>
        <v>0.2857142857142857</v>
      </c>
      <c r="I389" s="82">
        <f t="shared" si="28"/>
        <v>0.42857142857142855</v>
      </c>
      <c r="J389" s="82">
        <f t="shared" si="29"/>
        <v>0.2857142857142857</v>
      </c>
      <c r="K389" s="79"/>
      <c r="L389" s="79"/>
    </row>
    <row r="390" spans="1:13" x14ac:dyDescent="0.2">
      <c r="A390" s="80" t="s">
        <v>144</v>
      </c>
      <c r="B390" s="93">
        <v>31</v>
      </c>
      <c r="C390" s="93">
        <v>17</v>
      </c>
      <c r="D390" s="93">
        <v>13</v>
      </c>
      <c r="E390" s="93">
        <v>1</v>
      </c>
      <c r="F390" s="94"/>
      <c r="G390" s="82">
        <f>B390/31</f>
        <v>1</v>
      </c>
      <c r="H390" s="82">
        <f t="shared" si="27"/>
        <v>0.54838709677419351</v>
      </c>
      <c r="I390" s="82">
        <f t="shared" si="28"/>
        <v>0.41935483870967744</v>
      </c>
      <c r="J390" s="82">
        <f t="shared" si="29"/>
        <v>3.2258064516129031E-2</v>
      </c>
      <c r="K390" s="81"/>
      <c r="L390" s="81"/>
    </row>
    <row r="391" spans="1:13" x14ac:dyDescent="0.2">
      <c r="A391" s="80" t="s">
        <v>25</v>
      </c>
      <c r="B391" s="94">
        <v>500</v>
      </c>
      <c r="C391" s="93">
        <v>327</v>
      </c>
      <c r="D391" s="93">
        <v>134</v>
      </c>
      <c r="E391" s="94">
        <v>39</v>
      </c>
      <c r="F391" s="79"/>
      <c r="G391" s="82">
        <f>B391/500</f>
        <v>1</v>
      </c>
      <c r="H391" s="82">
        <f t="shared" si="27"/>
        <v>0.65400000000000003</v>
      </c>
      <c r="I391" s="82">
        <f t="shared" si="28"/>
        <v>0.26800000000000002</v>
      </c>
      <c r="J391" s="82">
        <f t="shared" si="29"/>
        <v>7.8E-2</v>
      </c>
      <c r="K391" s="82"/>
      <c r="L391" s="82"/>
    </row>
    <row r="392" spans="1:13" x14ac:dyDescent="0.2">
      <c r="A392" s="80"/>
      <c r="B392" s="94"/>
      <c r="C392" s="93"/>
      <c r="D392" s="93"/>
      <c r="E392" s="94"/>
      <c r="F392" s="79"/>
      <c r="G392" s="82"/>
      <c r="H392" s="82"/>
      <c r="I392" s="82"/>
      <c r="J392" s="82"/>
      <c r="K392" s="82"/>
      <c r="L392" s="82"/>
      <c r="M392"/>
    </row>
    <row r="393" spans="1:13" x14ac:dyDescent="0.2">
      <c r="A393" s="80"/>
      <c r="B393" s="94"/>
      <c r="C393" s="93"/>
      <c r="D393" s="93"/>
      <c r="E393" s="94"/>
      <c r="F393" s="93"/>
      <c r="G393" s="82"/>
      <c r="H393" s="82"/>
      <c r="I393" s="82"/>
      <c r="J393" s="82"/>
      <c r="K393" s="82"/>
      <c r="L393" s="82"/>
      <c r="M393"/>
    </row>
    <row r="394" spans="1:13" x14ac:dyDescent="0.2">
      <c r="A394" s="114" t="s">
        <v>260</v>
      </c>
      <c r="B394" s="79"/>
      <c r="C394" s="79"/>
      <c r="D394" s="79"/>
      <c r="E394" s="79"/>
      <c r="F394" s="81"/>
      <c r="G394" s="79"/>
      <c r="H394" s="79"/>
      <c r="I394" s="79"/>
      <c r="J394" s="79"/>
      <c r="K394" s="82"/>
      <c r="L394" s="82"/>
      <c r="M394"/>
    </row>
    <row r="395" spans="1:13" x14ac:dyDescent="0.2">
      <c r="A395" s="80" t="s">
        <v>187</v>
      </c>
      <c r="B395" s="79" t="s">
        <v>149</v>
      </c>
      <c r="C395" s="79"/>
      <c r="D395" s="79"/>
      <c r="E395" s="79"/>
      <c r="F395" s="93"/>
      <c r="G395" s="79" t="s">
        <v>156</v>
      </c>
      <c r="H395" s="79"/>
      <c r="I395" s="79"/>
      <c r="J395" s="79"/>
      <c r="K395" s="82"/>
      <c r="L395" s="82"/>
      <c r="M395"/>
    </row>
    <row r="396" spans="1:13" x14ac:dyDescent="0.2">
      <c r="A396" s="80" t="s">
        <v>145</v>
      </c>
      <c r="B396" s="81" t="s">
        <v>117</v>
      </c>
      <c r="C396" s="81" t="s">
        <v>118</v>
      </c>
      <c r="D396" s="81" t="s">
        <v>119</v>
      </c>
      <c r="E396" s="81" t="s">
        <v>120</v>
      </c>
      <c r="F396" s="93"/>
      <c r="G396" s="81" t="s">
        <v>117</v>
      </c>
      <c r="H396" s="81" t="s">
        <v>118</v>
      </c>
      <c r="I396" s="81" t="s">
        <v>119</v>
      </c>
      <c r="J396" s="81" t="s">
        <v>120</v>
      </c>
      <c r="K396" s="82"/>
      <c r="L396" s="82"/>
      <c r="M396"/>
    </row>
    <row r="397" spans="1:13" x14ac:dyDescent="0.2">
      <c r="A397" s="80" t="s">
        <v>135</v>
      </c>
      <c r="B397" s="93">
        <v>43</v>
      </c>
      <c r="C397" s="93">
        <v>31</v>
      </c>
      <c r="D397" s="93">
        <v>11</v>
      </c>
      <c r="E397" s="93">
        <v>1</v>
      </c>
      <c r="F397" s="93"/>
      <c r="G397" s="82">
        <f>B397/43</f>
        <v>1</v>
      </c>
      <c r="H397" s="82">
        <f>C397/B397</f>
        <v>0.72093023255813948</v>
      </c>
      <c r="I397" s="82">
        <f>D397/B397</f>
        <v>0.2558139534883721</v>
      </c>
      <c r="J397" s="82">
        <f>E397/B397</f>
        <v>2.3255813953488372E-2</v>
      </c>
      <c r="K397" s="82"/>
      <c r="L397" s="82"/>
    </row>
    <row r="398" spans="1:13" x14ac:dyDescent="0.2">
      <c r="A398" s="80" t="s">
        <v>136</v>
      </c>
      <c r="B398" s="93">
        <v>30</v>
      </c>
      <c r="C398" s="93">
        <v>15</v>
      </c>
      <c r="D398" s="93">
        <v>10</v>
      </c>
      <c r="E398" s="93">
        <v>5</v>
      </c>
      <c r="F398" s="93"/>
      <c r="G398" s="82">
        <f>B398/30</f>
        <v>1</v>
      </c>
      <c r="H398" s="82">
        <f t="shared" ref="H398:H407" si="30">C398/B398</f>
        <v>0.5</v>
      </c>
      <c r="I398" s="82">
        <f t="shared" ref="I398:I407" si="31">D398/B398</f>
        <v>0.33333333333333331</v>
      </c>
      <c r="J398" s="82">
        <f t="shared" ref="J398:J407" si="32">E398/B398</f>
        <v>0.16666666666666666</v>
      </c>
      <c r="K398" s="82"/>
      <c r="L398" s="82"/>
    </row>
    <row r="399" spans="1:13" x14ac:dyDescent="0.2">
      <c r="A399" s="80" t="s">
        <v>137</v>
      </c>
      <c r="B399" s="93">
        <v>61</v>
      </c>
      <c r="C399" s="93">
        <v>34</v>
      </c>
      <c r="D399" s="93">
        <v>20</v>
      </c>
      <c r="E399" s="93">
        <v>7</v>
      </c>
      <c r="F399" s="93"/>
      <c r="G399" s="82">
        <f>B399/60</f>
        <v>1.0166666666666666</v>
      </c>
      <c r="H399" s="82">
        <f t="shared" si="30"/>
        <v>0.55737704918032782</v>
      </c>
      <c r="I399" s="82">
        <f t="shared" si="31"/>
        <v>0.32786885245901637</v>
      </c>
      <c r="J399" s="82">
        <f t="shared" si="32"/>
        <v>0.11475409836065574</v>
      </c>
      <c r="K399" s="82"/>
      <c r="L399" s="82"/>
    </row>
    <row r="400" spans="1:13" x14ac:dyDescent="0.2">
      <c r="A400" s="80" t="s">
        <v>138</v>
      </c>
      <c r="B400" s="93">
        <v>81</v>
      </c>
      <c r="C400" s="93">
        <v>57</v>
      </c>
      <c r="D400" s="93">
        <v>15</v>
      </c>
      <c r="E400" s="93">
        <v>9</v>
      </c>
      <c r="F400" s="93"/>
      <c r="G400" s="82">
        <f>B400/82</f>
        <v>0.98780487804878048</v>
      </c>
      <c r="H400" s="82">
        <f t="shared" si="30"/>
        <v>0.70370370370370372</v>
      </c>
      <c r="I400" s="82">
        <f t="shared" si="31"/>
        <v>0.18518518518518517</v>
      </c>
      <c r="J400" s="82">
        <f t="shared" si="32"/>
        <v>0.1111111111111111</v>
      </c>
      <c r="K400" s="82"/>
      <c r="L400" s="82"/>
    </row>
    <row r="401" spans="1:12" x14ac:dyDescent="0.2">
      <c r="A401" s="80" t="s">
        <v>139</v>
      </c>
      <c r="B401" s="93">
        <v>41</v>
      </c>
      <c r="C401" s="93">
        <v>25</v>
      </c>
      <c r="D401" s="93">
        <v>11</v>
      </c>
      <c r="E401" s="93">
        <v>5</v>
      </c>
      <c r="F401" s="93"/>
      <c r="G401" s="82">
        <f>B401/42</f>
        <v>0.97619047619047616</v>
      </c>
      <c r="H401" s="82">
        <f t="shared" si="30"/>
        <v>0.6097560975609756</v>
      </c>
      <c r="I401" s="82">
        <f t="shared" si="31"/>
        <v>0.26829268292682928</v>
      </c>
      <c r="J401" s="82">
        <f t="shared" si="32"/>
        <v>0.12195121951219512</v>
      </c>
      <c r="K401" s="82"/>
      <c r="L401" s="82"/>
    </row>
    <row r="402" spans="1:12" x14ac:dyDescent="0.2">
      <c r="A402" s="80" t="s">
        <v>140</v>
      </c>
      <c r="B402" s="93">
        <v>53</v>
      </c>
      <c r="C402" s="93">
        <v>38</v>
      </c>
      <c r="D402" s="93">
        <v>12</v>
      </c>
      <c r="E402" s="93">
        <v>3</v>
      </c>
      <c r="F402" s="93"/>
      <c r="G402" s="82">
        <f>B402/53</f>
        <v>1</v>
      </c>
      <c r="H402" s="82">
        <f t="shared" si="30"/>
        <v>0.71698113207547165</v>
      </c>
      <c r="I402" s="82">
        <f t="shared" si="31"/>
        <v>0.22641509433962265</v>
      </c>
      <c r="J402" s="82">
        <f t="shared" si="32"/>
        <v>5.6603773584905662E-2</v>
      </c>
      <c r="K402" s="82"/>
      <c r="L402" s="82"/>
    </row>
    <row r="403" spans="1:12" x14ac:dyDescent="0.2">
      <c r="A403" s="80" t="s">
        <v>141</v>
      </c>
      <c r="B403" s="93">
        <v>81</v>
      </c>
      <c r="C403" s="93">
        <v>60</v>
      </c>
      <c r="D403" s="93">
        <v>16</v>
      </c>
      <c r="E403" s="93">
        <v>5</v>
      </c>
      <c r="F403" s="94"/>
      <c r="G403" s="82">
        <f>B403/81</f>
        <v>1</v>
      </c>
      <c r="H403" s="82">
        <f t="shared" si="30"/>
        <v>0.7407407407407407</v>
      </c>
      <c r="I403" s="82">
        <f t="shared" si="31"/>
        <v>0.19753086419753085</v>
      </c>
      <c r="J403" s="82">
        <f t="shared" si="32"/>
        <v>6.1728395061728392E-2</v>
      </c>
      <c r="K403" s="82"/>
      <c r="L403" s="82"/>
    </row>
    <row r="404" spans="1:12" x14ac:dyDescent="0.2">
      <c r="A404" s="80" t="s">
        <v>142</v>
      </c>
      <c r="B404" s="93">
        <v>70</v>
      </c>
      <c r="C404" s="93">
        <v>47</v>
      </c>
      <c r="D404" s="93">
        <v>19</v>
      </c>
      <c r="E404" s="93">
        <v>4</v>
      </c>
      <c r="F404" s="94"/>
      <c r="G404" s="82">
        <f>B404/70</f>
        <v>1</v>
      </c>
      <c r="H404" s="82">
        <f t="shared" si="30"/>
        <v>0.67142857142857137</v>
      </c>
      <c r="I404" s="82">
        <f t="shared" si="31"/>
        <v>0.27142857142857141</v>
      </c>
      <c r="J404" s="82">
        <f t="shared" si="32"/>
        <v>5.7142857142857141E-2</v>
      </c>
      <c r="K404" s="79"/>
      <c r="L404" s="82"/>
    </row>
    <row r="405" spans="1:12" x14ac:dyDescent="0.2">
      <c r="A405" s="80" t="s">
        <v>143</v>
      </c>
      <c r="B405" s="93">
        <v>8</v>
      </c>
      <c r="C405" s="93">
        <v>5</v>
      </c>
      <c r="D405" s="93">
        <v>2</v>
      </c>
      <c r="E405" s="93">
        <v>1</v>
      </c>
      <c r="F405" s="94"/>
      <c r="G405" s="82">
        <f>B405/8</f>
        <v>1</v>
      </c>
      <c r="H405" s="82">
        <f t="shared" si="30"/>
        <v>0.625</v>
      </c>
      <c r="I405" s="82">
        <f t="shared" si="31"/>
        <v>0.25</v>
      </c>
      <c r="J405" s="82">
        <f t="shared" si="32"/>
        <v>0.125</v>
      </c>
      <c r="K405" s="79"/>
      <c r="L405" s="79"/>
    </row>
    <row r="406" spans="1:12" x14ac:dyDescent="0.2">
      <c r="A406" s="80" t="s">
        <v>144</v>
      </c>
      <c r="B406" s="93">
        <v>31</v>
      </c>
      <c r="C406" s="93">
        <v>17</v>
      </c>
      <c r="D406" s="93">
        <v>13</v>
      </c>
      <c r="E406" s="93">
        <v>1</v>
      </c>
      <c r="F406" s="94"/>
      <c r="G406" s="82">
        <f>B406/31</f>
        <v>1</v>
      </c>
      <c r="H406" s="82">
        <f t="shared" si="30"/>
        <v>0.54838709677419351</v>
      </c>
      <c r="I406" s="82">
        <f t="shared" si="31"/>
        <v>0.41935483870967744</v>
      </c>
      <c r="J406" s="82">
        <f t="shared" si="32"/>
        <v>3.2258064516129031E-2</v>
      </c>
      <c r="K406" s="81"/>
      <c r="L406" s="81"/>
    </row>
    <row r="407" spans="1:12" x14ac:dyDescent="0.2">
      <c r="A407" s="80" t="s">
        <v>25</v>
      </c>
      <c r="B407" s="94">
        <v>499</v>
      </c>
      <c r="C407" s="93">
        <v>329</v>
      </c>
      <c r="D407" s="93">
        <v>129</v>
      </c>
      <c r="E407" s="94">
        <v>41</v>
      </c>
      <c r="F407" s="79"/>
      <c r="G407" s="82">
        <f>B407/500</f>
        <v>0.998</v>
      </c>
      <c r="H407" s="82">
        <f t="shared" si="30"/>
        <v>0.65931863727454909</v>
      </c>
      <c r="I407" s="82">
        <f t="shared" si="31"/>
        <v>0.25851703406813625</v>
      </c>
      <c r="J407" s="82">
        <f t="shared" si="32"/>
        <v>8.2164328657314628E-2</v>
      </c>
      <c r="K407" s="82"/>
      <c r="L407" s="82"/>
    </row>
    <row r="408" spans="1:12" x14ac:dyDescent="0.2">
      <c r="A408" s="80"/>
      <c r="B408" s="94"/>
      <c r="C408" s="93"/>
      <c r="D408" s="93"/>
      <c r="E408" s="94"/>
      <c r="F408" s="79"/>
      <c r="G408" s="82"/>
      <c r="H408" s="82"/>
      <c r="I408" s="82"/>
      <c r="J408" s="82"/>
      <c r="K408" s="82"/>
      <c r="L408" s="82"/>
    </row>
    <row r="409" spans="1:12" x14ac:dyDescent="0.2">
      <c r="A409" s="80"/>
      <c r="B409" s="94"/>
      <c r="C409" s="93"/>
      <c r="D409" s="93"/>
      <c r="E409" s="94"/>
      <c r="F409" s="93"/>
      <c r="G409" s="82"/>
      <c r="H409" s="82"/>
      <c r="I409" s="82"/>
      <c r="J409" s="82"/>
      <c r="K409" s="82"/>
      <c r="L409" s="82"/>
    </row>
    <row r="410" spans="1:12" x14ac:dyDescent="0.2">
      <c r="A410" s="114" t="s">
        <v>263</v>
      </c>
      <c r="B410" s="79"/>
      <c r="C410" s="79"/>
      <c r="D410" s="79"/>
      <c r="E410" s="79"/>
      <c r="F410" s="93"/>
      <c r="G410" s="79"/>
      <c r="H410" s="79"/>
      <c r="I410" s="79"/>
      <c r="J410" s="79"/>
      <c r="K410" s="82"/>
      <c r="L410" s="82"/>
    </row>
    <row r="411" spans="1:12" x14ac:dyDescent="0.2">
      <c r="A411" s="80" t="s">
        <v>180</v>
      </c>
      <c r="B411" s="79" t="s">
        <v>149</v>
      </c>
      <c r="C411" s="79"/>
      <c r="D411" s="79"/>
      <c r="E411" s="79"/>
      <c r="F411" s="93"/>
      <c r="G411" s="79" t="s">
        <v>156</v>
      </c>
      <c r="H411" s="79"/>
      <c r="I411" s="79"/>
      <c r="J411" s="79"/>
      <c r="K411" s="82"/>
      <c r="L411" s="82"/>
    </row>
    <row r="412" spans="1:12" x14ac:dyDescent="0.2">
      <c r="A412" s="80" t="s">
        <v>145</v>
      </c>
      <c r="B412" s="81" t="s">
        <v>117</v>
      </c>
      <c r="C412" s="81" t="s">
        <v>118</v>
      </c>
      <c r="D412" s="81" t="s">
        <v>119</v>
      </c>
      <c r="E412" s="81" t="s">
        <v>120</v>
      </c>
      <c r="F412" s="93"/>
      <c r="G412" s="81" t="s">
        <v>117</v>
      </c>
      <c r="H412" s="81" t="s">
        <v>118</v>
      </c>
      <c r="I412" s="81" t="s">
        <v>119</v>
      </c>
      <c r="J412" s="81" t="s">
        <v>120</v>
      </c>
      <c r="K412" s="82"/>
      <c r="L412" s="82"/>
    </row>
    <row r="413" spans="1:12" x14ac:dyDescent="0.2">
      <c r="A413" s="80" t="s">
        <v>135</v>
      </c>
      <c r="B413" s="93">
        <v>43</v>
      </c>
      <c r="C413" s="93">
        <v>23</v>
      </c>
      <c r="D413" s="93">
        <v>16</v>
      </c>
      <c r="E413" s="93">
        <v>4</v>
      </c>
      <c r="F413" s="93"/>
      <c r="G413" s="82">
        <f>B413/43</f>
        <v>1</v>
      </c>
      <c r="H413" s="82">
        <f>C413/B413</f>
        <v>0.53488372093023251</v>
      </c>
      <c r="I413" s="82">
        <f>D413/B413</f>
        <v>0.37209302325581395</v>
      </c>
      <c r="J413" s="82">
        <f>E413/B413</f>
        <v>9.3023255813953487E-2</v>
      </c>
      <c r="K413" s="82"/>
      <c r="L413" s="82"/>
    </row>
    <row r="414" spans="1:12" x14ac:dyDescent="0.2">
      <c r="A414" s="80" t="s">
        <v>136</v>
      </c>
      <c r="B414" s="93">
        <v>30</v>
      </c>
      <c r="C414" s="93">
        <v>15</v>
      </c>
      <c r="D414" s="93">
        <v>10</v>
      </c>
      <c r="E414" s="93">
        <v>5</v>
      </c>
      <c r="F414" s="93"/>
      <c r="G414" s="82">
        <f>B414/30</f>
        <v>1</v>
      </c>
      <c r="H414" s="82">
        <f t="shared" ref="H414:H423" si="33">C414/B414</f>
        <v>0.5</v>
      </c>
      <c r="I414" s="82">
        <f t="shared" ref="I414:I423" si="34">D414/B414</f>
        <v>0.33333333333333331</v>
      </c>
      <c r="J414" s="82">
        <f t="shared" ref="J414:J423" si="35">E414/B414</f>
        <v>0.16666666666666666</v>
      </c>
      <c r="K414" s="82"/>
      <c r="L414" s="82"/>
    </row>
    <row r="415" spans="1:12" x14ac:dyDescent="0.2">
      <c r="A415" s="80" t="s">
        <v>137</v>
      </c>
      <c r="B415" s="93">
        <v>60</v>
      </c>
      <c r="C415" s="93">
        <v>36</v>
      </c>
      <c r="D415" s="93">
        <v>19</v>
      </c>
      <c r="E415" s="93">
        <v>5</v>
      </c>
      <c r="F415" s="93"/>
      <c r="G415" s="82">
        <f>B415/60</f>
        <v>1</v>
      </c>
      <c r="H415" s="82">
        <f t="shared" si="33"/>
        <v>0.6</v>
      </c>
      <c r="I415" s="82">
        <f t="shared" si="34"/>
        <v>0.31666666666666665</v>
      </c>
      <c r="J415" s="82">
        <f t="shared" si="35"/>
        <v>8.3333333333333329E-2</v>
      </c>
      <c r="K415" s="82"/>
      <c r="L415" s="82"/>
    </row>
    <row r="416" spans="1:12" x14ac:dyDescent="0.2">
      <c r="A416" s="80" t="s">
        <v>138</v>
      </c>
      <c r="B416" s="93">
        <v>83</v>
      </c>
      <c r="C416" s="93">
        <v>59</v>
      </c>
      <c r="D416" s="93">
        <v>18</v>
      </c>
      <c r="E416" s="93">
        <v>6</v>
      </c>
      <c r="F416" s="93"/>
      <c r="G416" s="82">
        <f>B416/83</f>
        <v>1</v>
      </c>
      <c r="H416" s="82">
        <f t="shared" si="33"/>
        <v>0.71084337349397586</v>
      </c>
      <c r="I416" s="82">
        <f t="shared" si="34"/>
        <v>0.21686746987951808</v>
      </c>
      <c r="J416" s="82">
        <f t="shared" si="35"/>
        <v>7.2289156626506021E-2</v>
      </c>
      <c r="K416" s="82"/>
      <c r="L416" s="82"/>
    </row>
    <row r="417" spans="1:12" x14ac:dyDescent="0.2">
      <c r="A417" s="80" t="s">
        <v>139</v>
      </c>
      <c r="B417" s="93">
        <v>42</v>
      </c>
      <c r="C417" s="93">
        <v>30</v>
      </c>
      <c r="D417" s="93">
        <v>11</v>
      </c>
      <c r="E417" s="93">
        <v>1</v>
      </c>
      <c r="F417" s="93"/>
      <c r="G417" s="82">
        <f>B417/42</f>
        <v>1</v>
      </c>
      <c r="H417" s="82">
        <f t="shared" si="33"/>
        <v>0.7142857142857143</v>
      </c>
      <c r="I417" s="82">
        <f t="shared" si="34"/>
        <v>0.26190476190476192</v>
      </c>
      <c r="J417" s="82">
        <f t="shared" si="35"/>
        <v>2.3809523809523808E-2</v>
      </c>
      <c r="K417" s="82"/>
      <c r="L417" s="82"/>
    </row>
    <row r="418" spans="1:12" x14ac:dyDescent="0.2">
      <c r="A418" s="80" t="s">
        <v>140</v>
      </c>
      <c r="B418" s="93">
        <v>52</v>
      </c>
      <c r="C418" s="93">
        <v>32</v>
      </c>
      <c r="D418" s="93">
        <v>11</v>
      </c>
      <c r="E418" s="93">
        <v>9</v>
      </c>
      <c r="F418" s="93"/>
      <c r="G418" s="82">
        <f>B418/52</f>
        <v>1</v>
      </c>
      <c r="H418" s="82">
        <f t="shared" si="33"/>
        <v>0.61538461538461542</v>
      </c>
      <c r="I418" s="82">
        <f t="shared" si="34"/>
        <v>0.21153846153846154</v>
      </c>
      <c r="J418" s="82">
        <f t="shared" si="35"/>
        <v>0.17307692307692307</v>
      </c>
      <c r="K418" s="82"/>
      <c r="L418" s="82"/>
    </row>
    <row r="419" spans="1:12" x14ac:dyDescent="0.2">
      <c r="A419" s="80" t="s">
        <v>141</v>
      </c>
      <c r="B419" s="93">
        <v>81</v>
      </c>
      <c r="C419" s="93">
        <v>53</v>
      </c>
      <c r="D419" s="93">
        <v>20</v>
      </c>
      <c r="E419" s="93">
        <v>8</v>
      </c>
      <c r="F419" s="94"/>
      <c r="G419" s="82">
        <f>B419/81</f>
        <v>1</v>
      </c>
      <c r="H419" s="82">
        <f t="shared" si="33"/>
        <v>0.65432098765432101</v>
      </c>
      <c r="I419" s="82">
        <f t="shared" si="34"/>
        <v>0.24691358024691357</v>
      </c>
      <c r="J419" s="82">
        <f t="shared" si="35"/>
        <v>9.8765432098765427E-2</v>
      </c>
      <c r="K419" s="82"/>
      <c r="L419" s="81"/>
    </row>
    <row r="420" spans="1:12" x14ac:dyDescent="0.2">
      <c r="A420" s="80" t="s">
        <v>142</v>
      </c>
      <c r="B420" s="93">
        <v>70</v>
      </c>
      <c r="C420" s="93">
        <v>56</v>
      </c>
      <c r="D420" s="93">
        <v>8</v>
      </c>
      <c r="E420" s="93">
        <v>6</v>
      </c>
      <c r="F420" s="94"/>
      <c r="G420" s="82">
        <f>B420/70</f>
        <v>1</v>
      </c>
      <c r="H420" s="82">
        <f t="shared" si="33"/>
        <v>0.8</v>
      </c>
      <c r="I420" s="82">
        <f t="shared" si="34"/>
        <v>0.11428571428571428</v>
      </c>
      <c r="J420" s="82">
        <f t="shared" si="35"/>
        <v>8.5714285714285715E-2</v>
      </c>
      <c r="K420" s="79"/>
      <c r="L420" s="141"/>
    </row>
    <row r="421" spans="1:12" x14ac:dyDescent="0.2">
      <c r="A421" s="80" t="s">
        <v>143</v>
      </c>
      <c r="B421" s="93">
        <v>8</v>
      </c>
      <c r="C421" s="93">
        <v>2</v>
      </c>
      <c r="D421" s="93">
        <v>3</v>
      </c>
      <c r="E421" s="93">
        <v>3</v>
      </c>
      <c r="F421" s="94"/>
      <c r="G421" s="82">
        <f>B421/8</f>
        <v>1</v>
      </c>
      <c r="H421" s="82">
        <f t="shared" si="33"/>
        <v>0.25</v>
      </c>
      <c r="I421" s="82">
        <f t="shared" si="34"/>
        <v>0.375</v>
      </c>
      <c r="J421" s="82">
        <f t="shared" si="35"/>
        <v>0.375</v>
      </c>
      <c r="K421" s="79"/>
      <c r="L421" s="141"/>
    </row>
    <row r="422" spans="1:12" x14ac:dyDescent="0.2">
      <c r="A422" s="80" t="s">
        <v>144</v>
      </c>
      <c r="B422" s="93">
        <v>31</v>
      </c>
      <c r="C422" s="93">
        <v>18</v>
      </c>
      <c r="D422" s="93">
        <v>8</v>
      </c>
      <c r="E422" s="93">
        <v>5</v>
      </c>
      <c r="F422" s="94"/>
      <c r="G422" s="82">
        <f>B422/31</f>
        <v>1</v>
      </c>
      <c r="H422" s="82">
        <f t="shared" si="33"/>
        <v>0.58064516129032262</v>
      </c>
      <c r="I422" s="82">
        <f t="shared" si="34"/>
        <v>0.25806451612903225</v>
      </c>
      <c r="J422" s="82">
        <f t="shared" si="35"/>
        <v>0.16129032258064516</v>
      </c>
      <c r="K422" s="81"/>
      <c r="L422" s="141"/>
    </row>
    <row r="423" spans="1:12" x14ac:dyDescent="0.2">
      <c r="A423" s="80" t="s">
        <v>25</v>
      </c>
      <c r="B423" s="94">
        <v>500</v>
      </c>
      <c r="C423" s="93">
        <v>324</v>
      </c>
      <c r="D423" s="93">
        <v>124</v>
      </c>
      <c r="E423" s="94">
        <v>52</v>
      </c>
      <c r="F423" s="79"/>
      <c r="G423" s="82">
        <f>B423/500</f>
        <v>1</v>
      </c>
      <c r="H423" s="82">
        <f t="shared" si="33"/>
        <v>0.64800000000000002</v>
      </c>
      <c r="I423" s="82">
        <f t="shared" si="34"/>
        <v>0.248</v>
      </c>
      <c r="J423" s="82">
        <f t="shared" si="35"/>
        <v>0.104</v>
      </c>
      <c r="K423" s="82"/>
      <c r="L423" s="141"/>
    </row>
    <row r="424" spans="1:12" x14ac:dyDescent="0.2">
      <c r="A424" s="80"/>
      <c r="B424" s="94"/>
      <c r="C424" s="93"/>
      <c r="D424" s="93"/>
      <c r="E424" s="94"/>
      <c r="F424" s="79"/>
      <c r="G424" s="82"/>
      <c r="H424" s="82"/>
      <c r="I424" s="82"/>
      <c r="J424" s="82"/>
      <c r="K424" s="82"/>
      <c r="L424" s="141"/>
    </row>
    <row r="425" spans="1:12" x14ac:dyDescent="0.2">
      <c r="A425" s="80"/>
      <c r="B425" s="94"/>
      <c r="C425" s="93"/>
      <c r="D425" s="93"/>
      <c r="E425" s="94"/>
      <c r="F425" s="93"/>
      <c r="G425" s="82"/>
      <c r="H425" s="82"/>
      <c r="I425" s="82"/>
      <c r="J425" s="82"/>
      <c r="K425" s="82"/>
      <c r="L425" s="141"/>
    </row>
    <row r="426" spans="1:12" x14ac:dyDescent="0.2">
      <c r="A426" s="114" t="s">
        <v>262</v>
      </c>
      <c r="B426" s="79"/>
      <c r="C426" s="79"/>
      <c r="D426" s="79"/>
      <c r="E426" s="79"/>
      <c r="F426" s="93"/>
      <c r="G426" s="79"/>
      <c r="H426" s="79"/>
      <c r="I426" s="79"/>
      <c r="J426" s="79"/>
      <c r="K426" s="82"/>
      <c r="L426" s="141"/>
    </row>
    <row r="427" spans="1:12" x14ac:dyDescent="0.2">
      <c r="A427" s="80" t="s">
        <v>167</v>
      </c>
      <c r="B427" s="79" t="s">
        <v>149</v>
      </c>
      <c r="C427" s="79"/>
      <c r="D427" s="79"/>
      <c r="E427" s="79"/>
      <c r="F427" s="93"/>
      <c r="G427" s="79" t="s">
        <v>156</v>
      </c>
      <c r="H427" s="79"/>
      <c r="I427" s="79"/>
      <c r="J427" s="79"/>
      <c r="K427" s="82"/>
      <c r="L427" s="141"/>
    </row>
    <row r="428" spans="1:12" x14ac:dyDescent="0.2">
      <c r="A428" s="80" t="s">
        <v>145</v>
      </c>
      <c r="B428" s="81" t="s">
        <v>117</v>
      </c>
      <c r="C428" s="81" t="s">
        <v>118</v>
      </c>
      <c r="D428" s="81" t="s">
        <v>119</v>
      </c>
      <c r="E428" s="81" t="s">
        <v>120</v>
      </c>
      <c r="F428" s="93"/>
      <c r="G428" s="81" t="s">
        <v>117</v>
      </c>
      <c r="H428" s="81" t="s">
        <v>118</v>
      </c>
      <c r="I428" s="81" t="s">
        <v>119</v>
      </c>
      <c r="J428" s="81" t="s">
        <v>120</v>
      </c>
      <c r="K428" s="82"/>
      <c r="L428" s="141"/>
    </row>
    <row r="429" spans="1:12" x14ac:dyDescent="0.2">
      <c r="A429" s="80" t="s">
        <v>135</v>
      </c>
      <c r="B429" s="93">
        <v>44</v>
      </c>
      <c r="C429" s="93">
        <v>26</v>
      </c>
      <c r="D429" s="93">
        <v>16</v>
      </c>
      <c r="E429" s="93">
        <v>2</v>
      </c>
      <c r="F429" s="93"/>
      <c r="G429" s="82">
        <f>B429/44</f>
        <v>1</v>
      </c>
      <c r="H429" s="82">
        <f>C429/B429</f>
        <v>0.59090909090909094</v>
      </c>
      <c r="I429" s="82">
        <f>D429/B429</f>
        <v>0.36363636363636365</v>
      </c>
      <c r="J429" s="82">
        <f>E429/B429</f>
        <v>4.5454545454545456E-2</v>
      </c>
      <c r="K429" s="82"/>
      <c r="L429" s="141"/>
    </row>
    <row r="430" spans="1:12" x14ac:dyDescent="0.2">
      <c r="A430" s="80" t="s">
        <v>136</v>
      </c>
      <c r="B430" s="93">
        <v>31</v>
      </c>
      <c r="C430" s="93">
        <v>12</v>
      </c>
      <c r="D430" s="93">
        <v>13</v>
      </c>
      <c r="E430" s="93">
        <v>6</v>
      </c>
      <c r="F430" s="93"/>
      <c r="G430" s="82">
        <f>B430/30</f>
        <v>1.0333333333333334</v>
      </c>
      <c r="H430" s="82">
        <f t="shared" ref="H430:H439" si="36">C430/B430</f>
        <v>0.38709677419354838</v>
      </c>
      <c r="I430" s="82">
        <f t="shared" ref="I430:I439" si="37">D430/B430</f>
        <v>0.41935483870967744</v>
      </c>
      <c r="J430" s="82">
        <f t="shared" ref="J430:J439" si="38">E430/B430</f>
        <v>0.19354838709677419</v>
      </c>
      <c r="K430" s="82"/>
      <c r="L430" s="141"/>
    </row>
    <row r="431" spans="1:12" x14ac:dyDescent="0.2">
      <c r="A431" s="80" t="s">
        <v>137</v>
      </c>
      <c r="B431" s="93">
        <v>59</v>
      </c>
      <c r="C431" s="93">
        <v>35</v>
      </c>
      <c r="D431" s="93">
        <v>17</v>
      </c>
      <c r="E431" s="93">
        <v>7</v>
      </c>
      <c r="F431" s="93"/>
      <c r="G431" s="82">
        <f>B431/61</f>
        <v>0.96721311475409832</v>
      </c>
      <c r="H431" s="82">
        <f t="shared" si="36"/>
        <v>0.59322033898305082</v>
      </c>
      <c r="I431" s="82">
        <f t="shared" si="37"/>
        <v>0.28813559322033899</v>
      </c>
      <c r="J431" s="82">
        <f t="shared" si="38"/>
        <v>0.11864406779661017</v>
      </c>
      <c r="K431" s="82"/>
      <c r="L431" s="141"/>
    </row>
    <row r="432" spans="1:12" x14ac:dyDescent="0.2">
      <c r="A432" s="80" t="s">
        <v>138</v>
      </c>
      <c r="B432" s="93">
        <v>78</v>
      </c>
      <c r="C432" s="93">
        <v>53</v>
      </c>
      <c r="D432" s="93">
        <v>16</v>
      </c>
      <c r="E432" s="93">
        <v>9</v>
      </c>
      <c r="F432" s="93"/>
      <c r="G432" s="82">
        <f>B432/81</f>
        <v>0.96296296296296291</v>
      </c>
      <c r="H432" s="82">
        <f t="shared" si="36"/>
        <v>0.67948717948717952</v>
      </c>
      <c r="I432" s="82">
        <f t="shared" si="37"/>
        <v>0.20512820512820512</v>
      </c>
      <c r="J432" s="82">
        <f t="shared" si="38"/>
        <v>0.11538461538461539</v>
      </c>
      <c r="K432" s="82"/>
      <c r="L432" s="141"/>
    </row>
    <row r="433" spans="1:11" x14ac:dyDescent="0.2">
      <c r="A433" s="80" t="s">
        <v>139</v>
      </c>
      <c r="B433" s="93">
        <v>40</v>
      </c>
      <c r="C433" s="93">
        <v>27</v>
      </c>
      <c r="D433" s="93">
        <v>6</v>
      </c>
      <c r="E433" s="93">
        <v>7</v>
      </c>
      <c r="F433" s="93"/>
      <c r="G433" s="82">
        <f>B433/41</f>
        <v>0.97560975609756095</v>
      </c>
      <c r="H433" s="82">
        <f t="shared" si="36"/>
        <v>0.67500000000000004</v>
      </c>
      <c r="I433" s="82">
        <f t="shared" si="37"/>
        <v>0.15</v>
      </c>
      <c r="J433" s="82">
        <f t="shared" si="38"/>
        <v>0.17499999999999999</v>
      </c>
      <c r="K433" s="82"/>
    </row>
    <row r="434" spans="1:11" x14ac:dyDescent="0.2">
      <c r="A434" s="80" t="s">
        <v>140</v>
      </c>
      <c r="B434" s="93">
        <v>51</v>
      </c>
      <c r="C434" s="93">
        <v>39</v>
      </c>
      <c r="D434" s="93">
        <v>6</v>
      </c>
      <c r="E434" s="93">
        <v>6</v>
      </c>
      <c r="F434" s="93"/>
      <c r="G434" s="82">
        <f>B434/52</f>
        <v>0.98076923076923073</v>
      </c>
      <c r="H434" s="82">
        <f t="shared" si="36"/>
        <v>0.76470588235294112</v>
      </c>
      <c r="I434" s="82">
        <f t="shared" si="37"/>
        <v>0.11764705882352941</v>
      </c>
      <c r="J434" s="82">
        <f t="shared" si="38"/>
        <v>0.11764705882352941</v>
      </c>
      <c r="K434" s="82"/>
    </row>
    <row r="435" spans="1:11" x14ac:dyDescent="0.2">
      <c r="A435" s="80" t="s">
        <v>141</v>
      </c>
      <c r="B435" s="93">
        <v>81</v>
      </c>
      <c r="C435" s="93">
        <v>53</v>
      </c>
      <c r="D435" s="93">
        <v>18</v>
      </c>
      <c r="E435" s="93">
        <v>10</v>
      </c>
      <c r="F435" s="94"/>
      <c r="G435" s="82">
        <f>B435/81</f>
        <v>1</v>
      </c>
      <c r="H435" s="82">
        <f t="shared" si="36"/>
        <v>0.65432098765432101</v>
      </c>
      <c r="I435" s="82">
        <f t="shared" si="37"/>
        <v>0.22222222222222221</v>
      </c>
      <c r="J435" s="82">
        <f t="shared" si="38"/>
        <v>0.12345679012345678</v>
      </c>
      <c r="K435" s="82"/>
    </row>
    <row r="436" spans="1:11" x14ac:dyDescent="0.2">
      <c r="A436" s="80" t="s">
        <v>142</v>
      </c>
      <c r="B436" s="93">
        <v>70</v>
      </c>
      <c r="C436" s="93">
        <v>45</v>
      </c>
      <c r="D436" s="93">
        <v>12</v>
      </c>
      <c r="E436" s="93">
        <v>13</v>
      </c>
      <c r="F436" s="94"/>
      <c r="G436" s="82">
        <f>B436/70</f>
        <v>1</v>
      </c>
      <c r="H436" s="82">
        <f t="shared" si="36"/>
        <v>0.6428571428571429</v>
      </c>
      <c r="I436" s="82">
        <f t="shared" si="37"/>
        <v>0.17142857142857143</v>
      </c>
      <c r="J436" s="82">
        <f t="shared" si="38"/>
        <v>0.18571428571428572</v>
      </c>
      <c r="K436" s="82"/>
    </row>
    <row r="437" spans="1:11" x14ac:dyDescent="0.2">
      <c r="A437" s="80" t="s">
        <v>143</v>
      </c>
      <c r="B437" s="93">
        <v>8</v>
      </c>
      <c r="C437" s="93">
        <v>4</v>
      </c>
      <c r="D437" s="93">
        <v>2</v>
      </c>
      <c r="E437" s="93">
        <v>2</v>
      </c>
      <c r="F437" s="94"/>
      <c r="G437" s="82">
        <f>B437/8</f>
        <v>1</v>
      </c>
      <c r="H437" s="82">
        <f t="shared" si="36"/>
        <v>0.5</v>
      </c>
      <c r="I437" s="82">
        <f t="shared" si="37"/>
        <v>0.25</v>
      </c>
      <c r="J437" s="82">
        <f t="shared" si="38"/>
        <v>0.25</v>
      </c>
      <c r="K437" s="79"/>
    </row>
    <row r="438" spans="1:11" x14ac:dyDescent="0.2">
      <c r="A438" s="80" t="s">
        <v>144</v>
      </c>
      <c r="B438" s="93">
        <v>31</v>
      </c>
      <c r="C438" s="93">
        <v>18</v>
      </c>
      <c r="D438" s="93">
        <v>11</v>
      </c>
      <c r="E438" s="93">
        <v>2</v>
      </c>
      <c r="F438" s="94"/>
      <c r="G438" s="82">
        <f>B438/32</f>
        <v>0.96875</v>
      </c>
      <c r="H438" s="82">
        <f t="shared" si="36"/>
        <v>0.58064516129032262</v>
      </c>
      <c r="I438" s="82">
        <f t="shared" si="37"/>
        <v>0.35483870967741937</v>
      </c>
      <c r="J438" s="82">
        <f t="shared" si="38"/>
        <v>6.4516129032258063E-2</v>
      </c>
      <c r="K438" s="81"/>
    </row>
    <row r="439" spans="1:11" x14ac:dyDescent="0.2">
      <c r="A439" s="80" t="s">
        <v>25</v>
      </c>
      <c r="B439" s="94">
        <v>493</v>
      </c>
      <c r="C439" s="93">
        <v>312</v>
      </c>
      <c r="D439" s="93">
        <v>117</v>
      </c>
      <c r="E439" s="94">
        <v>64</v>
      </c>
      <c r="F439" s="79"/>
      <c r="G439" s="82">
        <f>B439/500</f>
        <v>0.98599999999999999</v>
      </c>
      <c r="H439" s="82">
        <f t="shared" si="36"/>
        <v>0.63286004056795131</v>
      </c>
      <c r="I439" s="82">
        <f t="shared" si="37"/>
        <v>0.23732251521298176</v>
      </c>
      <c r="J439" s="82">
        <f t="shared" si="38"/>
        <v>0.12981744421906694</v>
      </c>
      <c r="K439" s="82"/>
    </row>
    <row r="440" spans="1:11" x14ac:dyDescent="0.2">
      <c r="A440" s="80"/>
      <c r="B440" s="94"/>
      <c r="C440" s="93"/>
      <c r="D440" s="93"/>
      <c r="E440" s="94"/>
      <c r="F440" s="81"/>
      <c r="G440" s="82"/>
      <c r="H440" s="82"/>
      <c r="I440" s="82"/>
      <c r="J440" s="82"/>
      <c r="K440" s="82"/>
    </row>
    <row r="441" spans="1:11" x14ac:dyDescent="0.2">
      <c r="A441" s="80"/>
      <c r="B441" s="94"/>
      <c r="C441" s="93"/>
      <c r="D441" s="93"/>
      <c r="E441" s="94"/>
      <c r="F441" s="93"/>
      <c r="G441" s="82"/>
      <c r="H441" s="82"/>
      <c r="I441" s="82"/>
      <c r="J441" s="82"/>
      <c r="K441" s="82"/>
    </row>
    <row r="442" spans="1:11" x14ac:dyDescent="0.2">
      <c r="A442" s="80" t="s">
        <v>261</v>
      </c>
      <c r="B442" s="94"/>
      <c r="C442" s="93"/>
      <c r="D442" s="93"/>
      <c r="E442" s="94"/>
      <c r="F442" s="93"/>
      <c r="G442" s="82"/>
      <c r="H442" s="82"/>
      <c r="I442" s="82"/>
      <c r="J442" s="82"/>
      <c r="K442" s="82"/>
    </row>
    <row r="443" spans="1:11" x14ac:dyDescent="0.2">
      <c r="A443" s="80" t="s">
        <v>163</v>
      </c>
      <c r="B443" s="79" t="s">
        <v>149</v>
      </c>
      <c r="C443" s="79"/>
      <c r="D443" s="79"/>
      <c r="E443" s="79"/>
      <c r="F443" s="93"/>
      <c r="G443" s="79" t="s">
        <v>156</v>
      </c>
      <c r="H443" s="79"/>
      <c r="I443" s="79"/>
      <c r="J443" s="79"/>
      <c r="K443" s="82"/>
    </row>
    <row r="444" spans="1:11" x14ac:dyDescent="0.2">
      <c r="A444" s="80" t="s">
        <v>145</v>
      </c>
      <c r="B444" s="81" t="s">
        <v>117</v>
      </c>
      <c r="C444" s="81" t="s">
        <v>118</v>
      </c>
      <c r="D444" s="81" t="s">
        <v>119</v>
      </c>
      <c r="E444" s="81" t="s">
        <v>120</v>
      </c>
      <c r="F444" s="93"/>
      <c r="G444" s="81" t="s">
        <v>117</v>
      </c>
      <c r="H444" s="81" t="s">
        <v>118</v>
      </c>
      <c r="I444" s="81" t="s">
        <v>119</v>
      </c>
      <c r="J444" s="81" t="s">
        <v>120</v>
      </c>
      <c r="K444" s="82"/>
    </row>
    <row r="445" spans="1:11" x14ac:dyDescent="0.2">
      <c r="A445" s="80" t="s">
        <v>135</v>
      </c>
      <c r="B445" s="93">
        <v>44</v>
      </c>
      <c r="C445" s="93">
        <v>21</v>
      </c>
      <c r="D445" s="93">
        <v>18</v>
      </c>
      <c r="E445" s="93">
        <v>5</v>
      </c>
      <c r="F445" s="93"/>
      <c r="G445" s="82">
        <f>B445/44</f>
        <v>1</v>
      </c>
      <c r="H445" s="82">
        <f>C445/B445</f>
        <v>0.47727272727272729</v>
      </c>
      <c r="I445" s="82">
        <f>D445/B445</f>
        <v>0.40909090909090912</v>
      </c>
      <c r="J445" s="82">
        <f>E445/B445</f>
        <v>0.11363636363636363</v>
      </c>
      <c r="K445" s="82"/>
    </row>
    <row r="446" spans="1:11" x14ac:dyDescent="0.2">
      <c r="A446" s="80" t="s">
        <v>136</v>
      </c>
      <c r="B446" s="93">
        <v>30</v>
      </c>
      <c r="C446" s="93">
        <v>16</v>
      </c>
      <c r="D446" s="93">
        <v>6</v>
      </c>
      <c r="E446" s="93">
        <v>8</v>
      </c>
      <c r="F446" s="93"/>
      <c r="G446" s="82">
        <f>B446/30</f>
        <v>1</v>
      </c>
      <c r="H446" s="82">
        <f t="shared" ref="H446:H455" si="39">C446/B446</f>
        <v>0.53333333333333333</v>
      </c>
      <c r="I446" s="82">
        <f t="shared" ref="I446:I455" si="40">D446/B446</f>
        <v>0.2</v>
      </c>
      <c r="J446" s="82">
        <f t="shared" ref="J446:J455" si="41">E446/B446</f>
        <v>0.26666666666666666</v>
      </c>
      <c r="K446" s="82"/>
    </row>
    <row r="447" spans="1:11" x14ac:dyDescent="0.2">
      <c r="A447" s="80" t="s">
        <v>137</v>
      </c>
      <c r="B447" s="93">
        <v>60</v>
      </c>
      <c r="C447" s="93">
        <v>46</v>
      </c>
      <c r="D447" s="93">
        <v>10</v>
      </c>
      <c r="E447" s="93">
        <v>4</v>
      </c>
      <c r="F447" s="93"/>
      <c r="G447" s="82">
        <f>B447/61</f>
        <v>0.98360655737704916</v>
      </c>
      <c r="H447" s="82">
        <f t="shared" si="39"/>
        <v>0.76666666666666672</v>
      </c>
      <c r="I447" s="82">
        <f t="shared" si="40"/>
        <v>0.16666666666666666</v>
      </c>
      <c r="J447" s="82">
        <f t="shared" si="41"/>
        <v>6.6666666666666666E-2</v>
      </c>
      <c r="K447" s="82"/>
    </row>
    <row r="448" spans="1:11" x14ac:dyDescent="0.2">
      <c r="A448" s="80" t="s">
        <v>138</v>
      </c>
      <c r="B448" s="93">
        <v>81</v>
      </c>
      <c r="C448" s="93">
        <v>51</v>
      </c>
      <c r="D448" s="93">
        <v>22</v>
      </c>
      <c r="E448" s="93">
        <v>8</v>
      </c>
      <c r="F448" s="93"/>
      <c r="G448" s="82">
        <f>B448/81</f>
        <v>1</v>
      </c>
      <c r="H448" s="82">
        <f t="shared" si="39"/>
        <v>0.62962962962962965</v>
      </c>
      <c r="I448" s="82">
        <f t="shared" si="40"/>
        <v>0.27160493827160492</v>
      </c>
      <c r="J448" s="82">
        <f t="shared" si="41"/>
        <v>9.8765432098765427E-2</v>
      </c>
      <c r="K448" s="82"/>
    </row>
    <row r="449" spans="1:11" x14ac:dyDescent="0.2">
      <c r="A449" s="80" t="s">
        <v>139</v>
      </c>
      <c r="B449" s="93">
        <v>41</v>
      </c>
      <c r="C449" s="93">
        <v>30</v>
      </c>
      <c r="D449" s="93">
        <v>7</v>
      </c>
      <c r="E449" s="93">
        <v>4</v>
      </c>
      <c r="F449" s="93"/>
      <c r="G449" s="82">
        <f>B449/41</f>
        <v>1</v>
      </c>
      <c r="H449" s="82">
        <f t="shared" si="39"/>
        <v>0.73170731707317072</v>
      </c>
      <c r="I449" s="82">
        <f t="shared" si="40"/>
        <v>0.17073170731707318</v>
      </c>
      <c r="J449" s="82">
        <f t="shared" si="41"/>
        <v>9.7560975609756101E-2</v>
      </c>
      <c r="K449" s="82"/>
    </row>
    <row r="450" spans="1:11" x14ac:dyDescent="0.2">
      <c r="A450" s="80" t="s">
        <v>140</v>
      </c>
      <c r="B450" s="93">
        <v>52</v>
      </c>
      <c r="C450" s="93">
        <v>38</v>
      </c>
      <c r="D450" s="93">
        <v>8</v>
      </c>
      <c r="E450" s="93">
        <v>6</v>
      </c>
      <c r="F450" s="93"/>
      <c r="G450" s="82">
        <f>B450/52</f>
        <v>1</v>
      </c>
      <c r="H450" s="82">
        <f t="shared" si="39"/>
        <v>0.73076923076923073</v>
      </c>
      <c r="I450" s="82">
        <f t="shared" si="40"/>
        <v>0.15384615384615385</v>
      </c>
      <c r="J450" s="82">
        <f t="shared" si="41"/>
        <v>0.11538461538461539</v>
      </c>
      <c r="K450" s="82"/>
    </row>
    <row r="451" spans="1:11" x14ac:dyDescent="0.2">
      <c r="A451" s="80" t="s">
        <v>141</v>
      </c>
      <c r="B451" s="93">
        <v>81</v>
      </c>
      <c r="C451" s="93">
        <v>48</v>
      </c>
      <c r="D451" s="93">
        <v>28</v>
      </c>
      <c r="E451" s="93">
        <v>5</v>
      </c>
      <c r="F451" s="94"/>
      <c r="G451" s="82">
        <f>B451/81</f>
        <v>1</v>
      </c>
      <c r="H451" s="82">
        <f t="shared" si="39"/>
        <v>0.59259259259259256</v>
      </c>
      <c r="I451" s="82">
        <f t="shared" si="40"/>
        <v>0.34567901234567899</v>
      </c>
      <c r="J451" s="82">
        <f t="shared" si="41"/>
        <v>6.1728395061728392E-2</v>
      </c>
    </row>
    <row r="452" spans="1:11" x14ac:dyDescent="0.2">
      <c r="A452" s="80" t="s">
        <v>142</v>
      </c>
      <c r="B452" s="93">
        <v>70</v>
      </c>
      <c r="C452" s="93">
        <v>48</v>
      </c>
      <c r="D452" s="93">
        <v>11</v>
      </c>
      <c r="E452" s="93">
        <v>11</v>
      </c>
      <c r="F452" s="94"/>
      <c r="G452" s="82">
        <f>B452/70</f>
        <v>1</v>
      </c>
      <c r="H452" s="82">
        <f t="shared" si="39"/>
        <v>0.68571428571428572</v>
      </c>
      <c r="I452" s="82">
        <f t="shared" si="40"/>
        <v>0.15714285714285714</v>
      </c>
      <c r="J452" s="82">
        <f t="shared" si="41"/>
        <v>0.15714285714285714</v>
      </c>
    </row>
    <row r="453" spans="1:11" x14ac:dyDescent="0.2">
      <c r="A453" s="80" t="s">
        <v>143</v>
      </c>
      <c r="B453" s="93">
        <v>8</v>
      </c>
      <c r="C453" s="93">
        <v>5</v>
      </c>
      <c r="D453" s="93">
        <v>1</v>
      </c>
      <c r="E453" s="93">
        <v>2</v>
      </c>
      <c r="F453" s="81"/>
      <c r="G453" s="82">
        <f>B453/8</f>
        <v>1</v>
      </c>
      <c r="H453" s="82">
        <f t="shared" si="39"/>
        <v>0.625</v>
      </c>
      <c r="I453" s="82">
        <f t="shared" si="40"/>
        <v>0.125</v>
      </c>
      <c r="J453" s="82">
        <f t="shared" si="41"/>
        <v>0.25</v>
      </c>
    </row>
    <row r="454" spans="1:11" x14ac:dyDescent="0.2">
      <c r="A454" s="80" t="s">
        <v>144</v>
      </c>
      <c r="B454" s="93">
        <v>32</v>
      </c>
      <c r="C454" s="93">
        <v>19</v>
      </c>
      <c r="D454" s="93">
        <v>12</v>
      </c>
      <c r="E454" s="93">
        <v>1</v>
      </c>
      <c r="F454" s="93"/>
      <c r="G454" s="82">
        <f>B454/32</f>
        <v>1</v>
      </c>
      <c r="H454" s="82">
        <f t="shared" si="39"/>
        <v>0.59375</v>
      </c>
      <c r="I454" s="82">
        <f t="shared" si="40"/>
        <v>0.375</v>
      </c>
      <c r="J454" s="82">
        <f t="shared" si="41"/>
        <v>3.125E-2</v>
      </c>
    </row>
    <row r="455" spans="1:11" x14ac:dyDescent="0.2">
      <c r="A455" s="80" t="s">
        <v>25</v>
      </c>
      <c r="B455" s="94">
        <v>499</v>
      </c>
      <c r="C455" s="93">
        <v>322</v>
      </c>
      <c r="D455" s="93">
        <v>123</v>
      </c>
      <c r="E455" s="94">
        <v>54</v>
      </c>
      <c r="F455" s="93"/>
      <c r="G455" s="82">
        <f>B455/500</f>
        <v>0.998</v>
      </c>
      <c r="H455" s="82">
        <f t="shared" si="39"/>
        <v>0.64529058116232463</v>
      </c>
      <c r="I455" s="82">
        <f t="shared" si="40"/>
        <v>0.24649298597194388</v>
      </c>
      <c r="J455" s="82">
        <f t="shared" si="41"/>
        <v>0.10821643286573146</v>
      </c>
    </row>
    <row r="456" spans="1:11" x14ac:dyDescent="0.2">
      <c r="A456" s="80"/>
      <c r="B456" s="94"/>
      <c r="C456" s="93"/>
      <c r="D456" s="93"/>
      <c r="E456" s="94"/>
      <c r="F456" s="93"/>
      <c r="G456" s="82"/>
      <c r="H456" s="82"/>
      <c r="I456" s="82"/>
      <c r="J456" s="82"/>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0"/>
  <sheetViews>
    <sheetView zoomScale="85" zoomScaleNormal="85" workbookViewId="0"/>
  </sheetViews>
  <sheetFormatPr defaultColWidth="9.140625" defaultRowHeight="15" x14ac:dyDescent="0.2"/>
  <cols>
    <col min="1" max="1" width="42.28515625" style="206" customWidth="1"/>
    <col min="2" max="3" width="16.5703125" style="206" bestFit="1" customWidth="1"/>
    <col min="4" max="4" width="13.7109375" style="206" bestFit="1" customWidth="1"/>
    <col min="5" max="7" width="10.5703125" style="206" bestFit="1" customWidth="1"/>
    <col min="8" max="9" width="10.5703125" style="206" customWidth="1"/>
    <col min="10" max="31" width="10.5703125" style="206" bestFit="1" customWidth="1"/>
    <col min="32" max="34" width="10.5703125" style="207" bestFit="1" customWidth="1"/>
    <col min="35" max="16384" width="9.140625" style="207"/>
  </cols>
  <sheetData>
    <row r="1" spans="1:37" s="205" customFormat="1" ht="15.75" x14ac:dyDescent="0.25">
      <c r="A1" s="204" t="s">
        <v>157</v>
      </c>
      <c r="B1" s="204"/>
      <c r="C1" s="204"/>
      <c r="D1" s="204"/>
      <c r="E1" s="204"/>
      <c r="F1" s="204"/>
      <c r="G1" s="204"/>
      <c r="H1" s="204"/>
      <c r="I1" s="204"/>
      <c r="J1" s="204"/>
      <c r="K1" s="204"/>
      <c r="L1" s="204"/>
      <c r="M1" s="204"/>
      <c r="N1" s="204"/>
      <c r="O1" s="204"/>
      <c r="P1" s="204"/>
      <c r="Q1" s="204"/>
      <c r="R1" s="204"/>
      <c r="S1" s="204"/>
      <c r="T1" s="204"/>
      <c r="U1" s="204"/>
      <c r="V1" s="204"/>
      <c r="W1" s="204"/>
      <c r="AD1" s="206"/>
      <c r="AE1" s="206"/>
      <c r="AF1" s="206"/>
      <c r="AG1" s="206"/>
      <c r="AH1" s="206"/>
      <c r="AI1" s="207"/>
    </row>
    <row r="2" spans="1:37" s="205" customFormat="1" ht="15.75" x14ac:dyDescent="0.25">
      <c r="A2" s="204" t="s">
        <v>158</v>
      </c>
      <c r="B2" s="204"/>
      <c r="C2" s="204"/>
      <c r="D2" s="204"/>
      <c r="E2" s="204"/>
      <c r="F2" s="204"/>
      <c r="G2" s="204"/>
      <c r="H2" s="204"/>
      <c r="I2" s="204"/>
      <c r="J2" s="204"/>
      <c r="K2" s="204"/>
      <c r="L2" s="204"/>
      <c r="M2" s="204"/>
      <c r="N2" s="204"/>
      <c r="O2" s="204"/>
      <c r="P2" s="204"/>
      <c r="Q2" s="204"/>
      <c r="R2" s="204"/>
      <c r="S2" s="204"/>
      <c r="T2" s="204"/>
      <c r="U2" s="204"/>
      <c r="V2" s="204"/>
      <c r="W2" s="204"/>
      <c r="AD2" s="206"/>
      <c r="AE2" s="206"/>
      <c r="AF2" s="206"/>
      <c r="AG2" s="206"/>
      <c r="AH2" s="206"/>
      <c r="AI2" s="207"/>
    </row>
    <row r="3" spans="1:37" s="205" customFormat="1" ht="16.5" customHeight="1" x14ac:dyDescent="0.25">
      <c r="A3" s="205" t="s">
        <v>453</v>
      </c>
      <c r="AD3" s="206"/>
      <c r="AE3" s="206"/>
      <c r="AF3" s="206"/>
      <c r="AG3" s="206"/>
      <c r="AH3" s="206"/>
      <c r="AI3" s="207"/>
    </row>
    <row r="4" spans="1:37" s="245" customFormat="1" ht="15.75" x14ac:dyDescent="0.25">
      <c r="A4" s="206"/>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c r="AE4" s="206"/>
      <c r="AF4" s="206"/>
      <c r="AG4" s="206"/>
      <c r="AH4" s="206"/>
      <c r="AI4" s="244"/>
    </row>
    <row r="5" spans="1:37" s="245" customFormat="1" ht="15.75" x14ac:dyDescent="0.25">
      <c r="A5" s="229" t="s">
        <v>210</v>
      </c>
      <c r="B5" s="229" t="s">
        <v>451</v>
      </c>
      <c r="C5" s="229" t="s">
        <v>452</v>
      </c>
      <c r="D5" s="229" t="s">
        <v>450</v>
      </c>
      <c r="E5" s="229">
        <v>43160</v>
      </c>
      <c r="F5" s="229">
        <v>43070</v>
      </c>
      <c r="G5" s="229">
        <v>42979</v>
      </c>
      <c r="H5" s="229">
        <v>42887</v>
      </c>
      <c r="I5" s="229">
        <v>42795</v>
      </c>
      <c r="J5" s="229">
        <v>42705</v>
      </c>
      <c r="K5" s="229">
        <v>42614</v>
      </c>
      <c r="L5" s="229">
        <v>42522</v>
      </c>
      <c r="M5" s="229">
        <v>42430</v>
      </c>
      <c r="N5" s="229">
        <v>42339</v>
      </c>
      <c r="O5" s="229">
        <v>42248</v>
      </c>
      <c r="P5" s="229">
        <v>42156</v>
      </c>
      <c r="Q5" s="229">
        <v>42064</v>
      </c>
      <c r="R5" s="229">
        <v>41974</v>
      </c>
      <c r="S5" s="229">
        <v>41883</v>
      </c>
      <c r="T5" s="229">
        <v>41791</v>
      </c>
      <c r="U5" s="229">
        <v>41699</v>
      </c>
      <c r="V5" s="229">
        <v>41609</v>
      </c>
      <c r="W5" s="229">
        <v>41518</v>
      </c>
      <c r="X5" s="229">
        <v>41426</v>
      </c>
      <c r="Y5" s="229">
        <v>41334</v>
      </c>
      <c r="Z5" s="229">
        <v>41244</v>
      </c>
      <c r="AA5" s="229">
        <v>41153</v>
      </c>
      <c r="AB5" s="229">
        <v>41061</v>
      </c>
      <c r="AC5" s="229">
        <v>40969</v>
      </c>
      <c r="AD5" s="229">
        <v>40878</v>
      </c>
      <c r="AE5" s="229">
        <v>40787</v>
      </c>
      <c r="AF5" s="229">
        <v>40695</v>
      </c>
      <c r="AG5" s="229">
        <v>40603</v>
      </c>
      <c r="AH5" s="229">
        <v>40513</v>
      </c>
    </row>
    <row r="6" spans="1:37" x14ac:dyDescent="0.2">
      <c r="A6" s="211" t="s">
        <v>124</v>
      </c>
      <c r="B6" s="212">
        <f>D6/E6-1</f>
        <v>0.11003788870993247</v>
      </c>
      <c r="C6" s="212">
        <f>D6/H6-1</f>
        <v>0.32782849060601027</v>
      </c>
      <c r="D6" s="213">
        <v>105.128593769465</v>
      </c>
      <c r="E6" s="213">
        <v>94.707212103943306</v>
      </c>
      <c r="F6" s="213">
        <v>94.697051918106197</v>
      </c>
      <c r="G6" s="213">
        <v>84.488649869875502</v>
      </c>
      <c r="H6" s="213">
        <v>79.173322844944494</v>
      </c>
      <c r="I6" s="213">
        <v>78.522233167826499</v>
      </c>
      <c r="J6" s="213">
        <v>74.172185163956797</v>
      </c>
      <c r="K6" s="213">
        <v>70.965468536305494</v>
      </c>
      <c r="L6" s="213">
        <v>69.285013313122505</v>
      </c>
      <c r="M6" s="213">
        <v>59.056575266402</v>
      </c>
      <c r="N6" s="213">
        <v>75.088711295293194</v>
      </c>
      <c r="O6" s="213">
        <v>86.470322787455103</v>
      </c>
      <c r="P6" s="213">
        <v>96.044884402133206</v>
      </c>
      <c r="Q6" s="213">
        <v>87.587172383939702</v>
      </c>
      <c r="R6" s="213">
        <v>117.741631896813</v>
      </c>
      <c r="S6" s="210">
        <v>140.54682157668901</v>
      </c>
      <c r="T6" s="210">
        <v>144.23028213520001</v>
      </c>
      <c r="U6" s="210">
        <v>137.38053003420799</v>
      </c>
      <c r="V6" s="210">
        <v>139.27352892401501</v>
      </c>
      <c r="W6" s="210">
        <v>142.88599656396701</v>
      </c>
      <c r="X6" s="210">
        <v>138.058581465895</v>
      </c>
      <c r="Y6" s="213">
        <v>134.07322586672601</v>
      </c>
      <c r="Z6" s="213">
        <v>140.72494032489499</v>
      </c>
      <c r="AA6" s="213">
        <v>140.92669980590901</v>
      </c>
      <c r="AB6" s="213">
        <v>145.38977254168799</v>
      </c>
      <c r="AC6" s="213">
        <v>145.19728893641499</v>
      </c>
      <c r="AD6" s="214">
        <v>143.47080570745899</v>
      </c>
      <c r="AE6" s="214">
        <v>145.57753138512899</v>
      </c>
      <c r="AF6" s="214">
        <v>139.32923769057501</v>
      </c>
      <c r="AG6" s="214">
        <v>128.523320336946</v>
      </c>
      <c r="AH6" s="215">
        <v>117.58509680908894</v>
      </c>
      <c r="AI6" s="215"/>
      <c r="AJ6" s="216"/>
      <c r="AK6" s="210"/>
    </row>
    <row r="7" spans="1:37" x14ac:dyDescent="0.2">
      <c r="A7" s="211" t="s">
        <v>125</v>
      </c>
      <c r="B7" s="212">
        <f t="shared" ref="B7:B17" si="0">D7/E7-1</f>
        <v>0.12759592783159279</v>
      </c>
      <c r="C7" s="212">
        <f t="shared" ref="C7:C17" si="1">D7/H7-1</f>
        <v>0.19516968785377897</v>
      </c>
      <c r="D7" s="213">
        <v>55.615434041495298</v>
      </c>
      <c r="E7" s="213">
        <v>49.322130976870199</v>
      </c>
      <c r="F7" s="213">
        <v>46.993305549469</v>
      </c>
      <c r="G7" s="213">
        <v>43.912873758259899</v>
      </c>
      <c r="H7" s="213">
        <v>46.533504494551302</v>
      </c>
      <c r="I7" s="213">
        <v>44.521801692501199</v>
      </c>
      <c r="J7" s="213">
        <v>42.3616616126153</v>
      </c>
      <c r="K7" s="213">
        <v>44.982439801970401</v>
      </c>
      <c r="L7" s="213">
        <v>47.181408587525802</v>
      </c>
      <c r="M7" s="213">
        <v>44.343465968179103</v>
      </c>
      <c r="N7" s="213">
        <v>43.378620448108599</v>
      </c>
      <c r="O7" s="213">
        <v>44.027386860275001</v>
      </c>
      <c r="P7" s="213">
        <v>49.1224642337774</v>
      </c>
      <c r="Q7" s="213">
        <v>46.216385007361801</v>
      </c>
      <c r="R7" s="213">
        <v>48.4734291441317</v>
      </c>
      <c r="S7" s="210">
        <v>49.894905487995501</v>
      </c>
      <c r="T7" s="210">
        <v>54.411441421561101</v>
      </c>
      <c r="U7" s="210">
        <v>52.300938588412599</v>
      </c>
      <c r="V7" s="210">
        <v>50.895264215852698</v>
      </c>
      <c r="W7" s="210">
        <v>50.361637036806101</v>
      </c>
      <c r="X7" s="210">
        <v>52.116842280278803</v>
      </c>
      <c r="Y7" s="213">
        <v>51.016637747551897</v>
      </c>
      <c r="Z7" s="213">
        <v>48.6287293251699</v>
      </c>
      <c r="AA7" s="213">
        <v>48.382563750107998</v>
      </c>
      <c r="AB7" s="213">
        <v>50.7345735161582</v>
      </c>
      <c r="AC7" s="213">
        <v>50.2553092610204</v>
      </c>
      <c r="AD7" s="214">
        <v>46.475864514264401</v>
      </c>
      <c r="AE7" s="214">
        <v>50.090198234893897</v>
      </c>
      <c r="AF7" s="214">
        <v>53.5032420603047</v>
      </c>
      <c r="AG7" s="214">
        <v>49.875023451608499</v>
      </c>
      <c r="AH7" s="215">
        <v>45.417926797732484</v>
      </c>
      <c r="AI7" s="215"/>
      <c r="AJ7" s="216"/>
      <c r="AK7" s="210"/>
    </row>
    <row r="8" spans="1:37" x14ac:dyDescent="0.2">
      <c r="A8" s="211" t="s">
        <v>126</v>
      </c>
      <c r="B8" s="212">
        <f t="shared" si="0"/>
        <v>7.8993955872896926E-2</v>
      </c>
      <c r="C8" s="212">
        <f t="shared" si="1"/>
        <v>0.10287019356293214</v>
      </c>
      <c r="D8" s="213">
        <v>93.743081878254003</v>
      </c>
      <c r="E8" s="213">
        <v>86.880080623265997</v>
      </c>
      <c r="F8" s="213">
        <v>88.914747579979604</v>
      </c>
      <c r="G8" s="213">
        <v>86.365782739767496</v>
      </c>
      <c r="H8" s="213">
        <v>84.999197934081096</v>
      </c>
      <c r="I8" s="213">
        <v>79.061283269753005</v>
      </c>
      <c r="J8" s="213">
        <v>81.943973467306506</v>
      </c>
      <c r="K8" s="213">
        <v>79.654084150377898</v>
      </c>
      <c r="L8" s="213">
        <v>78.635676132900699</v>
      </c>
      <c r="M8" s="213">
        <v>74.561695185475003</v>
      </c>
      <c r="N8" s="213">
        <v>77.197389327710397</v>
      </c>
      <c r="O8" s="213">
        <v>77.045091567613298</v>
      </c>
      <c r="P8" s="213">
        <v>75.015805924561704</v>
      </c>
      <c r="Q8" s="213">
        <v>71.058684755455005</v>
      </c>
      <c r="R8" s="213">
        <v>76.951451467075103</v>
      </c>
      <c r="S8" s="210">
        <v>74.932017994875295</v>
      </c>
      <c r="T8" s="210">
        <v>74.165583680227797</v>
      </c>
      <c r="U8" s="210">
        <v>69.188550154859897</v>
      </c>
      <c r="V8" s="210">
        <v>72.820429914635298</v>
      </c>
      <c r="W8" s="210">
        <v>70.820088458887398</v>
      </c>
      <c r="X8" s="210">
        <v>70.0882125602824</v>
      </c>
      <c r="Y8" s="213">
        <v>66.596117353328296</v>
      </c>
      <c r="Z8" s="213">
        <v>69.750700452733895</v>
      </c>
      <c r="AA8" s="213">
        <v>68.181925025530305</v>
      </c>
      <c r="AB8" s="213">
        <v>68.888686294677697</v>
      </c>
      <c r="AC8" s="213">
        <v>66.161771738247097</v>
      </c>
      <c r="AD8" s="214">
        <v>68.046780188167105</v>
      </c>
      <c r="AE8" s="214">
        <v>66.589854085708495</v>
      </c>
      <c r="AF8" s="214">
        <v>64.868512336473103</v>
      </c>
      <c r="AG8" s="214">
        <v>60.499241549248303</v>
      </c>
      <c r="AH8" s="215">
        <v>63.911389481222194</v>
      </c>
      <c r="AI8" s="215"/>
      <c r="AJ8" s="216"/>
      <c r="AK8" s="210"/>
    </row>
    <row r="9" spans="1:37" x14ac:dyDescent="0.2">
      <c r="A9" s="211" t="s">
        <v>127</v>
      </c>
      <c r="B9" s="212">
        <f t="shared" si="0"/>
        <v>5.926016203347273E-2</v>
      </c>
      <c r="C9" s="212">
        <f t="shared" si="1"/>
        <v>8.6683314465847427E-2</v>
      </c>
      <c r="D9" s="213">
        <v>126.131370369354</v>
      </c>
      <c r="E9" s="213">
        <v>119.07496844516299</v>
      </c>
      <c r="F9" s="213">
        <v>129.019932187183</v>
      </c>
      <c r="G9" s="213">
        <v>114.119351222635</v>
      </c>
      <c r="H9" s="213">
        <v>116.070035023362</v>
      </c>
      <c r="I9" s="213">
        <v>111.842922394181</v>
      </c>
      <c r="J9" s="213">
        <v>121.608105915433</v>
      </c>
      <c r="K9" s="213">
        <v>112.227270449918</v>
      </c>
      <c r="L9" s="213">
        <v>112.089612123129</v>
      </c>
      <c r="M9" s="213">
        <v>105.24907095903001</v>
      </c>
      <c r="N9" s="213">
        <v>113.767739784515</v>
      </c>
      <c r="O9" s="213">
        <v>104.682497124058</v>
      </c>
      <c r="P9" s="213">
        <v>101.611497373728</v>
      </c>
      <c r="Q9" s="213">
        <v>95.114282287360695</v>
      </c>
      <c r="R9" s="213">
        <v>106.38300021166501</v>
      </c>
      <c r="S9" s="210">
        <v>98.292401938630704</v>
      </c>
      <c r="T9" s="210">
        <v>96.786701999504601</v>
      </c>
      <c r="U9" s="210">
        <v>91.430566381922503</v>
      </c>
      <c r="V9" s="210">
        <v>99.917355999993802</v>
      </c>
      <c r="W9" s="210">
        <v>91.9367294708033</v>
      </c>
      <c r="X9" s="210">
        <v>89.553920683305904</v>
      </c>
      <c r="Y9" s="213">
        <v>81.202704034317094</v>
      </c>
      <c r="Z9" s="213">
        <v>89.7931522076438</v>
      </c>
      <c r="AA9" s="213">
        <v>79.095963347905695</v>
      </c>
      <c r="AB9" s="213">
        <v>78.2154831506775</v>
      </c>
      <c r="AC9" s="213">
        <v>76.236453695092095</v>
      </c>
      <c r="AD9" s="214">
        <v>82.926230670206806</v>
      </c>
      <c r="AE9" s="214">
        <v>74.694049806457997</v>
      </c>
      <c r="AF9" s="214">
        <v>74.6071173630787</v>
      </c>
      <c r="AG9" s="214">
        <v>70.263555046704198</v>
      </c>
      <c r="AH9" s="215">
        <v>74.53942758984482</v>
      </c>
      <c r="AI9" s="215"/>
      <c r="AJ9" s="216"/>
      <c r="AK9" s="210"/>
    </row>
    <row r="10" spans="1:37" x14ac:dyDescent="0.2">
      <c r="A10" s="211" t="s">
        <v>128</v>
      </c>
      <c r="B10" s="212">
        <f t="shared" si="0"/>
        <v>-8.5855028691035451E-2</v>
      </c>
      <c r="C10" s="212">
        <f t="shared" si="1"/>
        <v>-1.8228992680263012E-2</v>
      </c>
      <c r="D10" s="213">
        <v>96.144902104976097</v>
      </c>
      <c r="E10" s="213">
        <v>105.17467701792</v>
      </c>
      <c r="F10" s="213">
        <v>108.564256773162</v>
      </c>
      <c r="G10" s="213">
        <v>105.814292118556</v>
      </c>
      <c r="H10" s="213">
        <v>97.930068608824001</v>
      </c>
      <c r="I10" s="213">
        <v>95.904780085350595</v>
      </c>
      <c r="J10" s="213">
        <v>98.302988165754797</v>
      </c>
      <c r="K10" s="213">
        <v>96.509859017154298</v>
      </c>
      <c r="L10" s="213">
        <v>93.452743180732298</v>
      </c>
      <c r="M10" s="213">
        <v>93.235736366015402</v>
      </c>
      <c r="N10" s="213">
        <v>95.116698525038004</v>
      </c>
      <c r="O10" s="213">
        <v>94.361274111650701</v>
      </c>
      <c r="P10" s="213">
        <v>91.0682093095581</v>
      </c>
      <c r="Q10" s="213">
        <v>89.397424149199495</v>
      </c>
      <c r="R10" s="213">
        <v>97.262250331009298</v>
      </c>
      <c r="S10" s="210">
        <v>94.222885226432794</v>
      </c>
      <c r="T10" s="210">
        <v>92.612120327387402</v>
      </c>
      <c r="U10" s="210">
        <v>90.138226239916804</v>
      </c>
      <c r="V10" s="210">
        <v>94.439782597039795</v>
      </c>
      <c r="W10" s="210">
        <v>90.2904027883948</v>
      </c>
      <c r="X10" s="210">
        <v>88.054049610453902</v>
      </c>
      <c r="Y10" s="213">
        <v>87.301380591408503</v>
      </c>
      <c r="Z10" s="213">
        <v>99.046934782741999</v>
      </c>
      <c r="AA10" s="213">
        <v>87.107188177890194</v>
      </c>
      <c r="AB10" s="213">
        <v>84.242780005852595</v>
      </c>
      <c r="AC10" s="213">
        <v>85.427756856283906</v>
      </c>
      <c r="AD10" s="214">
        <v>88.412244682913098</v>
      </c>
      <c r="AE10" s="214">
        <v>85.247311680811904</v>
      </c>
      <c r="AF10" s="214">
        <v>84.125515193947095</v>
      </c>
      <c r="AG10" s="214">
        <v>79.444394396484498</v>
      </c>
      <c r="AH10" s="215">
        <v>81.592710476968421</v>
      </c>
      <c r="AI10" s="215"/>
      <c r="AJ10" s="216"/>
      <c r="AK10" s="210"/>
    </row>
    <row r="11" spans="1:37" x14ac:dyDescent="0.2">
      <c r="A11" s="211" t="s">
        <v>129</v>
      </c>
      <c r="B11" s="212">
        <f t="shared" si="0"/>
        <v>0.11691245716365906</v>
      </c>
      <c r="C11" s="212">
        <f t="shared" si="1"/>
        <v>0.15829338710834517</v>
      </c>
      <c r="D11" s="213">
        <v>149.56573208353501</v>
      </c>
      <c r="E11" s="213">
        <v>133.90998652065301</v>
      </c>
      <c r="F11" s="213">
        <v>134.22854463428101</v>
      </c>
      <c r="G11" s="213">
        <v>129.074177177872</v>
      </c>
      <c r="H11" s="213">
        <v>129.12594835486601</v>
      </c>
      <c r="I11" s="213">
        <v>125.074797395144</v>
      </c>
      <c r="J11" s="213">
        <v>126.76458496931301</v>
      </c>
      <c r="K11" s="213">
        <v>123.89737709788</v>
      </c>
      <c r="L11" s="213">
        <v>126.098048838314</v>
      </c>
      <c r="M11" s="213">
        <v>121.423135589663</v>
      </c>
      <c r="N11" s="213">
        <v>121.808925717016</v>
      </c>
      <c r="O11" s="213">
        <v>117.833345003582</v>
      </c>
      <c r="P11" s="213">
        <v>114.851763704532</v>
      </c>
      <c r="Q11" s="213">
        <v>109.75842739071101</v>
      </c>
      <c r="R11" s="213">
        <v>109.14359313669</v>
      </c>
      <c r="S11" s="210">
        <v>104.817729976716</v>
      </c>
      <c r="T11" s="210">
        <v>104.61395621155199</v>
      </c>
      <c r="U11" s="210">
        <v>96.7009244005406</v>
      </c>
      <c r="V11" s="210">
        <v>96.616857193602002</v>
      </c>
      <c r="W11" s="210">
        <v>92.930288523044197</v>
      </c>
      <c r="X11" s="210">
        <v>92.217690757796106</v>
      </c>
      <c r="Y11" s="213">
        <v>90.844011880614104</v>
      </c>
      <c r="Z11" s="213">
        <v>91.127389389358399</v>
      </c>
      <c r="AA11" s="213">
        <v>87.034847121216998</v>
      </c>
      <c r="AB11" s="213">
        <v>88.428171693948201</v>
      </c>
      <c r="AC11" s="213">
        <v>88.435346769979901</v>
      </c>
      <c r="AD11" s="214">
        <v>88.656183128700604</v>
      </c>
      <c r="AE11" s="214">
        <v>85.873704670892906</v>
      </c>
      <c r="AF11" s="214">
        <v>85.022508996384602</v>
      </c>
      <c r="AG11" s="214">
        <v>82.193681390382494</v>
      </c>
      <c r="AH11" s="215">
        <v>81.992865290605479</v>
      </c>
      <c r="AI11" s="215"/>
      <c r="AJ11" s="216"/>
      <c r="AK11" s="210"/>
    </row>
    <row r="12" spans="1:37" x14ac:dyDescent="0.2">
      <c r="A12" s="211" t="s">
        <v>130</v>
      </c>
      <c r="B12" s="212">
        <f t="shared" si="0"/>
        <v>7.2090817978786692E-2</v>
      </c>
      <c r="C12" s="212">
        <f t="shared" si="1"/>
        <v>0.13630934251937865</v>
      </c>
      <c r="D12" s="213">
        <v>54.434367379384902</v>
      </c>
      <c r="E12" s="213">
        <v>50.774026291923697</v>
      </c>
      <c r="F12" s="213">
        <v>49.808945081791798</v>
      </c>
      <c r="G12" s="213">
        <v>49.4860258315544</v>
      </c>
      <c r="H12" s="213">
        <v>47.904532104519397</v>
      </c>
      <c r="I12" s="213">
        <v>47.450309202909601</v>
      </c>
      <c r="J12" s="213">
        <v>45.2274147926016</v>
      </c>
      <c r="K12" s="213">
        <v>46.249737587533701</v>
      </c>
      <c r="L12" s="213">
        <v>38.2220932721387</v>
      </c>
      <c r="M12" s="213">
        <v>36.859879766390698</v>
      </c>
      <c r="N12" s="213">
        <v>37.364893296564702</v>
      </c>
      <c r="O12" s="213">
        <v>37.690936468703299</v>
      </c>
      <c r="P12" s="213">
        <v>37.700213241690101</v>
      </c>
      <c r="Q12" s="213">
        <v>37.6580172223468</v>
      </c>
      <c r="R12" s="213">
        <v>36.952628806675698</v>
      </c>
      <c r="S12" s="210">
        <v>37.268855295182298</v>
      </c>
      <c r="T12" s="210">
        <v>37.435928676236799</v>
      </c>
      <c r="U12" s="210">
        <v>36.467039012235297</v>
      </c>
      <c r="V12" s="210">
        <v>36.7885285047605</v>
      </c>
      <c r="W12" s="210">
        <v>35.706574944841002</v>
      </c>
      <c r="X12" s="210">
        <v>36.826414214321503</v>
      </c>
      <c r="Y12" s="213">
        <v>36.973733562176697</v>
      </c>
      <c r="Z12" s="213">
        <v>40.4788530750074</v>
      </c>
      <c r="AA12" s="213">
        <v>36.518890299300701</v>
      </c>
      <c r="AB12" s="213">
        <v>35.259198050948797</v>
      </c>
      <c r="AC12" s="213">
        <v>35.459509578709799</v>
      </c>
      <c r="AD12" s="214">
        <v>35.0489958772704</v>
      </c>
      <c r="AE12" s="214">
        <v>35.8364870608779</v>
      </c>
      <c r="AF12" s="214">
        <v>37.093206908758297</v>
      </c>
      <c r="AG12" s="214">
        <v>36.086854722935698</v>
      </c>
      <c r="AH12" s="215">
        <v>37.672175524349882</v>
      </c>
      <c r="AI12" s="215"/>
      <c r="AJ12" s="216"/>
      <c r="AK12" s="210"/>
    </row>
    <row r="13" spans="1:37" x14ac:dyDescent="0.2">
      <c r="A13" s="211" t="s">
        <v>131</v>
      </c>
      <c r="B13" s="212">
        <f t="shared" si="0"/>
        <v>1.0580280352395333E-2</v>
      </c>
      <c r="C13" s="212">
        <f t="shared" si="1"/>
        <v>0.15346686585161717</v>
      </c>
      <c r="D13" s="213">
        <v>67.471519215516906</v>
      </c>
      <c r="E13" s="213">
        <v>66.765125470278505</v>
      </c>
      <c r="F13" s="213">
        <v>73.753008928510198</v>
      </c>
      <c r="G13" s="213">
        <v>61.717074021621798</v>
      </c>
      <c r="H13" s="213">
        <v>58.494544761545399</v>
      </c>
      <c r="I13" s="213">
        <v>56.677592334911203</v>
      </c>
      <c r="J13" s="213">
        <v>64.011329003532794</v>
      </c>
      <c r="K13" s="213">
        <v>55.042040410928401</v>
      </c>
      <c r="L13" s="213">
        <v>53.053468303616697</v>
      </c>
      <c r="M13" s="213">
        <v>52.947592908068799</v>
      </c>
      <c r="N13" s="213">
        <v>59.973307115115603</v>
      </c>
      <c r="O13" s="213">
        <v>52.8757593118222</v>
      </c>
      <c r="P13" s="213">
        <v>52.226359133909199</v>
      </c>
      <c r="Q13" s="213">
        <v>52.933228683001701</v>
      </c>
      <c r="R13" s="213">
        <v>62.420591685595902</v>
      </c>
      <c r="S13" s="210">
        <v>54.510108904078798</v>
      </c>
      <c r="T13" s="210">
        <v>53.517487626812802</v>
      </c>
      <c r="U13" s="210">
        <v>50.230567658759597</v>
      </c>
      <c r="V13" s="210">
        <v>54.666409748134299</v>
      </c>
      <c r="W13" s="210">
        <v>48.8580472335533</v>
      </c>
      <c r="X13" s="210">
        <v>50.499135368111801</v>
      </c>
      <c r="Y13" s="213">
        <v>51.408111499766797</v>
      </c>
      <c r="Z13" s="213">
        <v>55.242552659187098</v>
      </c>
      <c r="AA13" s="213">
        <v>49.1745919840113</v>
      </c>
      <c r="AB13" s="213">
        <v>49.368115256853102</v>
      </c>
      <c r="AC13" s="213">
        <v>49.522280867304801</v>
      </c>
      <c r="AD13" s="214">
        <v>52.444985697905203</v>
      </c>
      <c r="AE13" s="214">
        <v>46.896310241337801</v>
      </c>
      <c r="AF13" s="214">
        <v>46.259175347561097</v>
      </c>
      <c r="AG13" s="214">
        <v>44.092128909488203</v>
      </c>
      <c r="AH13" s="215">
        <v>45.73015003916413</v>
      </c>
      <c r="AI13" s="215"/>
      <c r="AJ13" s="216"/>
      <c r="AK13" s="210"/>
    </row>
    <row r="14" spans="1:37" x14ac:dyDescent="0.2">
      <c r="A14" s="211" t="s">
        <v>132</v>
      </c>
      <c r="B14" s="212">
        <f t="shared" si="0"/>
        <v>-6.4470844439270203E-2</v>
      </c>
      <c r="C14" s="212">
        <f t="shared" si="1"/>
        <v>-6.4175083315694881E-2</v>
      </c>
      <c r="D14" s="213">
        <v>24.686557987156402</v>
      </c>
      <c r="E14" s="213">
        <v>26.387801855688799</v>
      </c>
      <c r="F14" s="213">
        <v>28.437282230863602</v>
      </c>
      <c r="G14" s="213">
        <v>26.719334000140599</v>
      </c>
      <c r="H14" s="213">
        <v>26.379462169721499</v>
      </c>
      <c r="I14" s="213">
        <v>26.0266869209355</v>
      </c>
      <c r="J14" s="213">
        <v>28.452940797607699</v>
      </c>
      <c r="K14" s="213">
        <v>27.6898902228005</v>
      </c>
      <c r="L14" s="213">
        <v>27.462677082029099</v>
      </c>
      <c r="M14" s="213">
        <v>27.625431232752799</v>
      </c>
      <c r="N14" s="213">
        <v>28.9417571240587</v>
      </c>
      <c r="O14" s="213">
        <v>27.542792072410599</v>
      </c>
      <c r="P14" s="213">
        <v>27.0733293345113</v>
      </c>
      <c r="Q14" s="213">
        <v>26.887504717682098</v>
      </c>
      <c r="R14" s="213">
        <v>28.002618508545801</v>
      </c>
      <c r="S14" s="210">
        <v>27.082855948226801</v>
      </c>
      <c r="T14" s="210">
        <v>26.913462901798798</v>
      </c>
      <c r="U14" s="210">
        <v>26.581313377381399</v>
      </c>
      <c r="V14" s="210">
        <v>29.6733580908265</v>
      </c>
      <c r="W14" s="210">
        <v>29.0051533263109</v>
      </c>
      <c r="X14" s="210">
        <v>30.527483191517501</v>
      </c>
      <c r="Y14" s="213">
        <v>29.929453929065101</v>
      </c>
      <c r="Z14" s="213">
        <v>30.257294064057099</v>
      </c>
      <c r="AA14" s="213">
        <v>29.139064759065601</v>
      </c>
      <c r="AB14" s="213">
        <v>28.952899395079999</v>
      </c>
      <c r="AC14" s="213">
        <v>28.7666277608656</v>
      </c>
      <c r="AD14" s="214">
        <v>28.226138018075801</v>
      </c>
      <c r="AE14" s="214">
        <v>27.475894373695599</v>
      </c>
      <c r="AF14" s="214">
        <v>27.3205839238199</v>
      </c>
      <c r="AG14" s="214">
        <v>27.137827556825499</v>
      </c>
      <c r="AH14" s="215">
        <v>26.962709796633579</v>
      </c>
      <c r="AI14" s="215"/>
      <c r="AJ14" s="216"/>
      <c r="AK14" s="210"/>
    </row>
    <row r="15" spans="1:37" x14ac:dyDescent="0.2">
      <c r="A15" s="211" t="s">
        <v>133</v>
      </c>
      <c r="B15" s="212">
        <f t="shared" si="0"/>
        <v>-0.12068894752492942</v>
      </c>
      <c r="C15" s="212">
        <f>D15/H15-1</f>
        <v>-2.3945257655808128E-2</v>
      </c>
      <c r="D15" s="213">
        <v>29.924647191155501</v>
      </c>
      <c r="E15" s="213">
        <v>34.031924319527299</v>
      </c>
      <c r="F15" s="213">
        <v>31.932723906133699</v>
      </c>
      <c r="G15" s="213">
        <v>34.1824695289895</v>
      </c>
      <c r="H15" s="213">
        <v>30.658779567307299</v>
      </c>
      <c r="I15" s="213">
        <v>33.4822141960179</v>
      </c>
      <c r="J15" s="213">
        <v>31.020874235656699</v>
      </c>
      <c r="K15" s="213">
        <v>35.674449215691801</v>
      </c>
      <c r="L15" s="213">
        <v>29.109462520475098</v>
      </c>
      <c r="M15" s="213">
        <v>31.957078094687098</v>
      </c>
      <c r="N15" s="213">
        <v>30.044663255604199</v>
      </c>
      <c r="O15" s="213">
        <v>35.418182429417499</v>
      </c>
      <c r="P15" s="213">
        <v>30.571747165652699</v>
      </c>
      <c r="Q15" s="213">
        <v>36.322496512953997</v>
      </c>
      <c r="R15" s="213">
        <v>34.546477851430403</v>
      </c>
      <c r="S15" s="210">
        <v>36.074858223646501</v>
      </c>
      <c r="T15" s="210">
        <v>32.418779330744698</v>
      </c>
      <c r="U15" s="210">
        <v>38.378789881585497</v>
      </c>
      <c r="V15" s="210">
        <v>33.096026320134001</v>
      </c>
      <c r="W15" s="210">
        <v>35.2414055462474</v>
      </c>
      <c r="X15" s="210">
        <v>32.093211773712497</v>
      </c>
      <c r="Y15" s="213">
        <v>33.485667066603497</v>
      </c>
      <c r="Z15" s="213">
        <v>32.286476911593098</v>
      </c>
      <c r="AA15" s="213">
        <v>34.668533234826903</v>
      </c>
      <c r="AB15" s="213">
        <v>30.552423713946801</v>
      </c>
      <c r="AC15" s="213">
        <v>33.088869517190297</v>
      </c>
      <c r="AD15" s="214">
        <v>33.754825911967103</v>
      </c>
      <c r="AE15" s="214">
        <v>38.247227269169699</v>
      </c>
      <c r="AF15" s="214">
        <v>33.825877447552003</v>
      </c>
      <c r="AG15" s="214">
        <v>36.555921283806498</v>
      </c>
      <c r="AH15" s="215">
        <v>34.095351338970524</v>
      </c>
      <c r="AI15" s="215"/>
      <c r="AJ15" s="216"/>
      <c r="AK15" s="210"/>
    </row>
    <row r="16" spans="1:37" x14ac:dyDescent="0.2">
      <c r="A16" s="211" t="s">
        <v>339</v>
      </c>
      <c r="B16" s="212">
        <f t="shared" si="0"/>
        <v>3.4765907619547898E-2</v>
      </c>
      <c r="C16" s="212">
        <f t="shared" si="1"/>
        <v>8.3325490267439406E-2</v>
      </c>
      <c r="D16" s="213">
        <v>8.1932964362999492</v>
      </c>
      <c r="E16" s="213">
        <v>7.9180193084911501</v>
      </c>
      <c r="F16" s="213">
        <v>7.7948609102117201</v>
      </c>
      <c r="G16" s="213">
        <v>7.4212054825060498</v>
      </c>
      <c r="H16" s="213">
        <v>7.5630976192365598</v>
      </c>
      <c r="I16" s="213">
        <v>7.1922116007977399</v>
      </c>
      <c r="J16" s="213">
        <v>8.2125205615901002</v>
      </c>
      <c r="K16" s="213">
        <v>7.4977508663965997</v>
      </c>
      <c r="L16" s="213">
        <v>7.5046999862809898</v>
      </c>
      <c r="M16" s="213">
        <v>7.2212901005908403</v>
      </c>
      <c r="N16" s="213">
        <v>7.9420000000000002</v>
      </c>
      <c r="O16" s="213">
        <v>7.3769999999999998</v>
      </c>
      <c r="P16" s="213">
        <v>7.1360000000000001</v>
      </c>
      <c r="Q16" s="213">
        <v>6.8890000000000002</v>
      </c>
      <c r="R16" s="213">
        <v>7.3339999999999996</v>
      </c>
      <c r="S16" s="210">
        <v>6.87</v>
      </c>
      <c r="T16" s="210">
        <v>6.7629999999999999</v>
      </c>
      <c r="U16" s="210">
        <v>6.6</v>
      </c>
      <c r="V16" s="210">
        <v>6.9139999999999997</v>
      </c>
      <c r="W16" s="210">
        <v>6.7110000000000003</v>
      </c>
      <c r="X16" s="210">
        <v>6.7439999999999998</v>
      </c>
      <c r="Y16" s="213">
        <v>6.415</v>
      </c>
      <c r="Z16" s="213">
        <v>7.0110000000000001</v>
      </c>
      <c r="AA16" s="213">
        <v>6.4050000000000002</v>
      </c>
      <c r="AB16" s="213">
        <v>6.5</v>
      </c>
      <c r="AC16" s="213">
        <v>6.0439999999999996</v>
      </c>
      <c r="AD16" s="214">
        <v>7.0579999999999998</v>
      </c>
      <c r="AE16" s="214">
        <v>6.4530000000000003</v>
      </c>
      <c r="AF16" s="214">
        <v>6.407</v>
      </c>
      <c r="AG16" s="214">
        <v>5.9779999999999998</v>
      </c>
      <c r="AH16" s="215">
        <v>6.9249999999999998</v>
      </c>
      <c r="AI16" s="215"/>
      <c r="AJ16" s="216"/>
      <c r="AK16" s="210"/>
    </row>
    <row r="17" spans="1:43" s="205" customFormat="1" ht="15.75" x14ac:dyDescent="0.25">
      <c r="A17" s="217" t="s">
        <v>25</v>
      </c>
      <c r="B17" s="218">
        <f t="shared" si="0"/>
        <v>4.4476637736277747E-2</v>
      </c>
      <c r="C17" s="218">
        <f t="shared" si="1"/>
        <v>0.1118260814026506</v>
      </c>
      <c r="D17" s="143">
        <v>334.63780255154398</v>
      </c>
      <c r="E17" s="143">
        <v>320.388020623241</v>
      </c>
      <c r="F17" s="143">
        <v>329.593203077623</v>
      </c>
      <c r="G17" s="143">
        <v>308.22206192952501</v>
      </c>
      <c r="H17" s="143">
        <v>300.98034948898999</v>
      </c>
      <c r="I17" s="143">
        <v>292.77906197216203</v>
      </c>
      <c r="J17" s="143">
        <v>301.11551213454698</v>
      </c>
      <c r="K17" s="143">
        <v>290.85199553764397</v>
      </c>
      <c r="L17" s="143">
        <v>284.59270983317998</v>
      </c>
      <c r="M17" s="143">
        <v>274.03042801957099</v>
      </c>
      <c r="N17" s="143">
        <v>288.87468018814099</v>
      </c>
      <c r="O17" s="143">
        <v>283.717152096576</v>
      </c>
      <c r="P17" s="143">
        <v>281.348521023773</v>
      </c>
      <c r="Q17" s="143">
        <v>273.18781634784602</v>
      </c>
      <c r="R17" s="143">
        <v>297.91047359153703</v>
      </c>
      <c r="S17" s="219">
        <v>293.089996133196</v>
      </c>
      <c r="T17" s="219">
        <v>292.35472100317702</v>
      </c>
      <c r="U17" s="219">
        <v>279.96134939466799</v>
      </c>
      <c r="V17" s="219">
        <v>289.458286214927</v>
      </c>
      <c r="W17" s="219">
        <v>279.41131033663498</v>
      </c>
      <c r="X17" s="219">
        <v>277.16721895853601</v>
      </c>
      <c r="Y17" s="143">
        <v>270.77348697590099</v>
      </c>
      <c r="Z17" s="143">
        <v>288.02527242203701</v>
      </c>
      <c r="AA17" s="143">
        <v>268.990078023313</v>
      </c>
      <c r="AB17" s="143">
        <v>268.02612885919899</v>
      </c>
      <c r="AC17" s="143">
        <v>267.32911421688101</v>
      </c>
      <c r="AD17" s="220">
        <v>272.64031390908002</v>
      </c>
      <c r="AE17" s="220">
        <v>265.98951123115501</v>
      </c>
      <c r="AF17" s="220">
        <v>263.31438175987398</v>
      </c>
      <c r="AG17" s="220">
        <v>250.89030199550999</v>
      </c>
      <c r="AH17" s="221">
        <v>252.73245271247052</v>
      </c>
      <c r="AI17" s="221"/>
      <c r="AJ17" s="222"/>
      <c r="AK17" s="219"/>
    </row>
    <row r="18" spans="1:43" s="205" customFormat="1" ht="15.75" x14ac:dyDescent="0.25">
      <c r="A18" s="217" t="s">
        <v>340</v>
      </c>
      <c r="B18" s="218"/>
      <c r="C18" s="218"/>
      <c r="D18" s="218"/>
      <c r="E18" s="218"/>
      <c r="F18" s="218"/>
      <c r="G18" s="218"/>
      <c r="H18" s="218"/>
      <c r="I18" s="143"/>
      <c r="J18" s="218"/>
      <c r="K18" s="143"/>
      <c r="L18" s="143"/>
      <c r="M18" s="143"/>
      <c r="N18" s="143"/>
      <c r="O18" s="143"/>
      <c r="P18" s="143"/>
      <c r="Q18" s="143"/>
      <c r="R18" s="143"/>
      <c r="S18" s="219"/>
      <c r="T18" s="219"/>
      <c r="U18" s="219"/>
      <c r="V18" s="219"/>
      <c r="W18" s="219"/>
      <c r="X18" s="219"/>
      <c r="Y18" s="143"/>
      <c r="Z18" s="143"/>
      <c r="AA18" s="143"/>
      <c r="AB18" s="143"/>
      <c r="AC18" s="143"/>
      <c r="AD18" s="220"/>
      <c r="AE18" s="220"/>
      <c r="AF18" s="220"/>
      <c r="AG18" s="220"/>
      <c r="AH18" s="221"/>
      <c r="AI18" s="221"/>
      <c r="AJ18" s="222"/>
      <c r="AK18" s="219"/>
    </row>
    <row r="19" spans="1:43" x14ac:dyDescent="0.2">
      <c r="A19" s="223"/>
      <c r="B19" s="212"/>
      <c r="C19" s="212"/>
      <c r="D19" s="212"/>
      <c r="E19" s="212"/>
      <c r="F19" s="212"/>
      <c r="G19" s="212"/>
      <c r="H19" s="212"/>
      <c r="I19" s="212"/>
      <c r="J19" s="212"/>
      <c r="K19" s="212"/>
      <c r="L19" s="212"/>
      <c r="M19" s="212"/>
      <c r="N19" s="212"/>
      <c r="O19" s="212"/>
      <c r="P19" s="212"/>
      <c r="Q19" s="212"/>
      <c r="R19" s="212"/>
      <c r="S19" s="216"/>
      <c r="T19" s="216"/>
      <c r="U19" s="216"/>
      <c r="AF19" s="206"/>
      <c r="AG19" s="206"/>
      <c r="AH19" s="206"/>
      <c r="AI19" s="206"/>
      <c r="AJ19" s="206"/>
    </row>
    <row r="20" spans="1:43" ht="15.75" x14ac:dyDescent="0.25">
      <c r="A20" s="209" t="s">
        <v>134</v>
      </c>
      <c r="B20" s="208" t="str">
        <f t="shared" ref="B20:AE20" si="2">B5</f>
        <v>% CHG Q2/Q1</v>
      </c>
      <c r="C20" s="208" t="str">
        <f t="shared" si="2"/>
        <v>% CHG Q2/Q2</v>
      </c>
      <c r="D20" s="208" t="str">
        <f t="shared" si="2"/>
        <v>Jun-18 Est</v>
      </c>
      <c r="E20" s="208">
        <f t="shared" si="2"/>
        <v>43160</v>
      </c>
      <c r="F20" s="208">
        <f t="shared" si="2"/>
        <v>43070</v>
      </c>
      <c r="G20" s="208">
        <f t="shared" ref="G20:H20" si="3">G5</f>
        <v>42979</v>
      </c>
      <c r="H20" s="208">
        <f t="shared" si="3"/>
        <v>42887</v>
      </c>
      <c r="I20" s="208">
        <v>42811</v>
      </c>
      <c r="J20" s="208">
        <f t="shared" si="2"/>
        <v>42705</v>
      </c>
      <c r="K20" s="208">
        <f t="shared" si="2"/>
        <v>42614</v>
      </c>
      <c r="L20" s="208">
        <f>K5</f>
        <v>42614</v>
      </c>
      <c r="M20" s="208">
        <f t="shared" si="2"/>
        <v>42430</v>
      </c>
      <c r="N20" s="208">
        <f t="shared" si="2"/>
        <v>42339</v>
      </c>
      <c r="O20" s="208">
        <f t="shared" si="2"/>
        <v>42248</v>
      </c>
      <c r="P20" s="208">
        <f t="shared" si="2"/>
        <v>42156</v>
      </c>
      <c r="Q20" s="208">
        <f t="shared" si="2"/>
        <v>42064</v>
      </c>
      <c r="R20" s="208">
        <f t="shared" si="2"/>
        <v>41974</v>
      </c>
      <c r="S20" s="208">
        <f t="shared" si="2"/>
        <v>41883</v>
      </c>
      <c r="T20" s="208">
        <f t="shared" si="2"/>
        <v>41791</v>
      </c>
      <c r="U20" s="208">
        <f t="shared" si="2"/>
        <v>41699</v>
      </c>
      <c r="V20" s="208">
        <f t="shared" si="2"/>
        <v>41609</v>
      </c>
      <c r="W20" s="208">
        <f t="shared" si="2"/>
        <v>41518</v>
      </c>
      <c r="X20" s="208">
        <f t="shared" si="2"/>
        <v>41426</v>
      </c>
      <c r="Y20" s="208">
        <f t="shared" si="2"/>
        <v>41334</v>
      </c>
      <c r="Z20" s="208">
        <f t="shared" si="2"/>
        <v>41244</v>
      </c>
      <c r="AA20" s="208">
        <f t="shared" si="2"/>
        <v>41153</v>
      </c>
      <c r="AB20" s="208">
        <f t="shared" si="2"/>
        <v>41061</v>
      </c>
      <c r="AC20" s="208">
        <f t="shared" si="2"/>
        <v>40969</v>
      </c>
      <c r="AD20" s="208">
        <f t="shared" si="2"/>
        <v>40878</v>
      </c>
      <c r="AE20" s="208">
        <f t="shared" si="2"/>
        <v>40787</v>
      </c>
      <c r="AF20" s="208">
        <v>40695</v>
      </c>
      <c r="AG20" s="208">
        <v>40603</v>
      </c>
      <c r="AH20" s="208">
        <v>40513</v>
      </c>
      <c r="AI20" s="208"/>
      <c r="AJ20" s="208"/>
      <c r="AL20" s="224"/>
      <c r="AM20" s="208"/>
      <c r="AN20" s="208"/>
      <c r="AO20" s="208"/>
      <c r="AP20" s="208"/>
      <c r="AQ20" s="208"/>
    </row>
    <row r="21" spans="1:43" x14ac:dyDescent="0.2">
      <c r="A21" s="211" t="s">
        <v>124</v>
      </c>
      <c r="B21" s="212">
        <f>D21/E21-1</f>
        <v>-4.7651555055070571E-2</v>
      </c>
      <c r="C21" s="212">
        <f>D21/H21-1</f>
        <v>0.8238938228482231</v>
      </c>
      <c r="D21" s="212">
        <v>6.3350985314277283E-2</v>
      </c>
      <c r="E21" s="212">
        <v>6.6520805121848672E-2</v>
      </c>
      <c r="F21" s="212">
        <v>3.094077313551279E-2</v>
      </c>
      <c r="G21" s="212">
        <v>4.414794183295305E-2</v>
      </c>
      <c r="H21" s="212">
        <v>3.4733921745152538E-2</v>
      </c>
      <c r="I21" s="212">
        <v>4.941275666099855E-2</v>
      </c>
      <c r="J21" s="212">
        <v>5.5276785912899765E-3</v>
      </c>
      <c r="K21" s="212">
        <v>1.2259483632591158E-2</v>
      </c>
      <c r="L21" s="212">
        <v>-2.9732259568027511E-2</v>
      </c>
      <c r="M21" s="212">
        <v>-4.588820106440801E-2</v>
      </c>
      <c r="N21" s="212">
        <v>-0.10920416476123491</v>
      </c>
      <c r="O21" s="212">
        <v>-5.227226930920801E-2</v>
      </c>
      <c r="P21" s="212">
        <v>-5.3100173234075197E-3</v>
      </c>
      <c r="Q21" s="212">
        <v>-5.4802545502429592E-3</v>
      </c>
      <c r="R21" s="212">
        <v>5.7243983214933139E-2</v>
      </c>
      <c r="S21" s="216">
        <v>8.9365236859139274E-2</v>
      </c>
      <c r="T21" s="216">
        <v>8.2784279578733425E-2</v>
      </c>
      <c r="U21" s="216">
        <v>8.5164906534329704E-2</v>
      </c>
      <c r="V21" s="216">
        <v>6.7636686402477622E-2</v>
      </c>
      <c r="W21" s="216">
        <v>7.1805497016685024E-2</v>
      </c>
      <c r="X21" s="216">
        <v>8.3225540042495702E-2</v>
      </c>
      <c r="Y21" s="216">
        <v>8.3387267873403406E-2</v>
      </c>
      <c r="Z21" s="216">
        <v>7.4258336694787985E-2</v>
      </c>
      <c r="AA21" s="216">
        <v>7.1881339830929994E-2</v>
      </c>
      <c r="AB21" s="216">
        <v>8.3981147962103014E-2</v>
      </c>
      <c r="AC21" s="216">
        <v>7.9340324357191377E-2</v>
      </c>
      <c r="AD21" s="212">
        <v>6.9979393720502561E-2</v>
      </c>
      <c r="AE21" s="212">
        <v>9.6924297765921319E-2</v>
      </c>
      <c r="AF21" s="216">
        <v>9.3160633153152164E-2</v>
      </c>
      <c r="AG21" s="216">
        <v>8.4109249369373015E-2</v>
      </c>
      <c r="AH21" s="216">
        <v>7.7387793397235713E-2</v>
      </c>
      <c r="AI21" s="216"/>
      <c r="AJ21" s="216"/>
      <c r="AL21" s="225"/>
      <c r="AM21" s="216"/>
      <c r="AN21" s="216"/>
      <c r="AO21" s="216"/>
      <c r="AP21" s="216"/>
      <c r="AQ21" s="216"/>
    </row>
    <row r="22" spans="1:43" x14ac:dyDescent="0.2">
      <c r="A22" s="211" t="s">
        <v>125</v>
      </c>
      <c r="B22" s="212">
        <f t="shared" ref="B22:B32" si="4">D22/E22-1</f>
        <v>7.0995596398080396E-2</v>
      </c>
      <c r="C22" s="212">
        <f t="shared" ref="C22:C29" si="5">D22/H22-1</f>
        <v>0.13442319918071122</v>
      </c>
      <c r="D22" s="212">
        <v>0.11921151231245058</v>
      </c>
      <c r="E22" s="212">
        <v>0.11130905926539461</v>
      </c>
      <c r="F22" s="212">
        <v>7.5968267357611724E-2</v>
      </c>
      <c r="G22" s="212">
        <v>9.3366697487631406E-2</v>
      </c>
      <c r="H22" s="212">
        <v>0.10508557335441132</v>
      </c>
      <c r="I22" s="212">
        <v>0.10376938543298318</v>
      </c>
      <c r="J22" s="212">
        <v>6.3972939134969209E-2</v>
      </c>
      <c r="K22" s="212">
        <v>8.2921246967057841E-2</v>
      </c>
      <c r="L22" s="212">
        <v>0.10406641401753625</v>
      </c>
      <c r="M22" s="212">
        <v>3.7660565396453065E-2</v>
      </c>
      <c r="N22" s="212">
        <v>8.0684907999479891E-3</v>
      </c>
      <c r="O22" s="212">
        <v>2.8391419276528745E-2</v>
      </c>
      <c r="P22" s="212">
        <v>7.7154109817518773E-2</v>
      </c>
      <c r="Q22" s="212">
        <v>6.6859404938482192E-2</v>
      </c>
      <c r="R22" s="212">
        <v>6.2302173651059056E-2</v>
      </c>
      <c r="S22" s="216">
        <v>7.8364714027582022E-2</v>
      </c>
      <c r="T22" s="216">
        <v>8.2519409203167901E-2</v>
      </c>
      <c r="U22" s="216">
        <v>8.4702112802646279E-2</v>
      </c>
      <c r="V22" s="216">
        <v>5.9534026331986796E-2</v>
      </c>
      <c r="W22" s="216">
        <v>6.7114577660169664E-2</v>
      </c>
      <c r="X22" s="216">
        <v>6.0249237340846862E-2</v>
      </c>
      <c r="Y22" s="216">
        <v>8.7814489503769369E-2</v>
      </c>
      <c r="Z22" s="216">
        <v>5.7373491734564304E-2</v>
      </c>
      <c r="AA22" s="216">
        <v>6.5932843420123205E-2</v>
      </c>
      <c r="AB22" s="216">
        <v>8.7908494955211497E-2</v>
      </c>
      <c r="AC22" s="216">
        <v>8.4170211311005133E-2</v>
      </c>
      <c r="AD22" s="212">
        <v>4.023593793346348E-2</v>
      </c>
      <c r="AE22" s="212">
        <v>7.8258823844487096E-2</v>
      </c>
      <c r="AF22" s="216">
        <v>0.101676081495556</v>
      </c>
      <c r="AG22" s="216">
        <v>9.9448574792400157E-2</v>
      </c>
      <c r="AH22" s="216">
        <v>7.5195759839614379E-2</v>
      </c>
      <c r="AI22" s="216"/>
      <c r="AJ22" s="216"/>
      <c r="AL22" s="225"/>
      <c r="AM22" s="216"/>
      <c r="AN22" s="216"/>
      <c r="AO22" s="216"/>
      <c r="AP22" s="216"/>
      <c r="AQ22" s="216"/>
    </row>
    <row r="23" spans="1:43" x14ac:dyDescent="0.2">
      <c r="A23" s="211" t="s">
        <v>126</v>
      </c>
      <c r="B23" s="212">
        <f t="shared" si="4"/>
        <v>6.7027696449355467E-3</v>
      </c>
      <c r="C23" s="212">
        <f t="shared" si="5"/>
        <v>9.6662432520366437E-2</v>
      </c>
      <c r="D23" s="212">
        <v>0.10347430237676185</v>
      </c>
      <c r="E23" s="212">
        <v>0.10278535581386876</v>
      </c>
      <c r="F23" s="212">
        <v>8.8286816457965586E-2</v>
      </c>
      <c r="G23" s="212">
        <v>9.3208209833005359E-2</v>
      </c>
      <c r="H23" s="212">
        <v>9.4353831505794919E-2</v>
      </c>
      <c r="I23" s="212">
        <v>8.0570409896660672E-2</v>
      </c>
      <c r="J23" s="212">
        <v>7.9932662804218027E-2</v>
      </c>
      <c r="K23" s="212">
        <v>9.415713054764209E-2</v>
      </c>
      <c r="L23" s="212">
        <v>9.079848169592665E-2</v>
      </c>
      <c r="M23" s="212">
        <v>7.8860867974813079E-2</v>
      </c>
      <c r="N23" s="212">
        <v>9.1842484075494613E-2</v>
      </c>
      <c r="O23" s="212">
        <v>0.10033085616124293</v>
      </c>
      <c r="P23" s="212">
        <v>9.2780446923401705E-2</v>
      </c>
      <c r="Q23" s="212">
        <v>8.7392554778791806E-2</v>
      </c>
      <c r="R23" s="212">
        <v>8.7977547803586936E-2</v>
      </c>
      <c r="S23" s="216">
        <v>9.4352190014200976E-2</v>
      </c>
      <c r="T23" s="216">
        <v>9.6001401818646498E-2</v>
      </c>
      <c r="U23" s="216">
        <v>8.4696094756776544E-2</v>
      </c>
      <c r="V23" s="216">
        <v>9.1045878303274291E-2</v>
      </c>
      <c r="W23" s="216">
        <v>9.2064273596396337E-2</v>
      </c>
      <c r="X23" s="216">
        <v>8.9173339876864696E-2</v>
      </c>
      <c r="Y23" s="216">
        <v>8.2287079454281806E-2</v>
      </c>
      <c r="Z23" s="216">
        <v>6.9820087373891296E-2</v>
      </c>
      <c r="AA23" s="216">
        <v>8.4333201179740053E-2</v>
      </c>
      <c r="AB23" s="216">
        <v>8.956477952863344E-2</v>
      </c>
      <c r="AC23" s="216">
        <v>8.2827286150683549E-2</v>
      </c>
      <c r="AD23" s="212">
        <v>7.965108687012501E-2</v>
      </c>
      <c r="AE23" s="212">
        <v>8.1694127051218937E-2</v>
      </c>
      <c r="AF23" s="216">
        <v>8.540353093445413E-2</v>
      </c>
      <c r="AG23" s="216">
        <v>7.5372845728785123E-2</v>
      </c>
      <c r="AH23" s="216">
        <v>8.1919997482051643E-2</v>
      </c>
      <c r="AI23" s="216"/>
      <c r="AJ23" s="216"/>
      <c r="AL23" s="225"/>
      <c r="AM23" s="216"/>
      <c r="AN23" s="216"/>
      <c r="AO23" s="216"/>
      <c r="AP23" s="216"/>
      <c r="AQ23" s="216"/>
    </row>
    <row r="24" spans="1:43" x14ac:dyDescent="0.2">
      <c r="A24" s="211" t="s">
        <v>127</v>
      </c>
      <c r="B24" s="212">
        <f t="shared" si="4"/>
        <v>7.3209262781330997E-2</v>
      </c>
      <c r="C24" s="212">
        <f t="shared" si="5"/>
        <v>0.10617930184854285</v>
      </c>
      <c r="D24" s="212">
        <v>8.3008691409126908E-2</v>
      </c>
      <c r="E24" s="212">
        <v>7.734623086834104E-2</v>
      </c>
      <c r="F24" s="212">
        <v>7.456212258771952E-2</v>
      </c>
      <c r="G24" s="212">
        <v>7.7638015858634349E-2</v>
      </c>
      <c r="H24" s="212">
        <v>7.504090093749774E-2</v>
      </c>
      <c r="I24" s="212">
        <v>7.19759447238731E-2</v>
      </c>
      <c r="J24" s="212">
        <v>6.9896656444192545E-2</v>
      </c>
      <c r="K24" s="212">
        <v>7.6095586801347176E-2</v>
      </c>
      <c r="L24" s="212">
        <v>7.6367469187037157E-2</v>
      </c>
      <c r="M24" s="212">
        <v>7.3159790674041728E-2</v>
      </c>
      <c r="N24" s="212">
        <v>7.3307248749044429E-2</v>
      </c>
      <c r="O24" s="212">
        <v>7.7185778157589105E-2</v>
      </c>
      <c r="P24" s="212">
        <v>7.489309966578242E-2</v>
      </c>
      <c r="Q24" s="212">
        <v>6.7392612821637152E-2</v>
      </c>
      <c r="R24" s="212">
        <v>7.2379985379992018E-2</v>
      </c>
      <c r="S24" s="216">
        <v>7.0198711842529252E-2</v>
      </c>
      <c r="T24" s="216">
        <v>7.1807385275257887E-2</v>
      </c>
      <c r="U24" s="216">
        <v>6.726415730938716E-2</v>
      </c>
      <c r="V24" s="216">
        <v>6.6955334566703453E-2</v>
      </c>
      <c r="W24" s="216">
        <v>7.102710785544919E-2</v>
      </c>
      <c r="X24" s="216">
        <v>7.0907001631517932E-2</v>
      </c>
      <c r="Y24" s="216">
        <v>6.8347477661021158E-2</v>
      </c>
      <c r="Z24" s="216">
        <v>7.0495353424747553E-2</v>
      </c>
      <c r="AA24" s="216">
        <v>7.2443646394398709E-2</v>
      </c>
      <c r="AB24" s="216">
        <v>6.7761519669831405E-2</v>
      </c>
      <c r="AC24" s="216">
        <v>6.4404884566608492E-2</v>
      </c>
      <c r="AD24" s="212">
        <v>6.7288721010259858E-2</v>
      </c>
      <c r="AE24" s="212">
        <v>6.9349566845311697E-2</v>
      </c>
      <c r="AF24" s="216">
        <v>7.2111082563584408E-2</v>
      </c>
      <c r="AG24" s="216">
        <v>6.6464043797611005E-2</v>
      </c>
      <c r="AH24" s="216">
        <v>6.7760952920040515E-2</v>
      </c>
      <c r="AI24" s="216"/>
      <c r="AJ24" s="216"/>
      <c r="AL24" s="225"/>
      <c r="AM24" s="216"/>
      <c r="AN24" s="216"/>
      <c r="AO24" s="216"/>
      <c r="AP24" s="216"/>
      <c r="AQ24" s="216"/>
    </row>
    <row r="25" spans="1:43" x14ac:dyDescent="0.2">
      <c r="A25" s="211" t="s">
        <v>128</v>
      </c>
      <c r="B25" s="212">
        <f t="shared" si="4"/>
        <v>0.23287996387330923</v>
      </c>
      <c r="C25" s="212">
        <f t="shared" si="5"/>
        <v>0.1564984687889559</v>
      </c>
      <c r="D25" s="212">
        <v>7.935938185957235E-2</v>
      </c>
      <c r="E25" s="212">
        <v>6.4369106632450171E-2</v>
      </c>
      <c r="F25" s="212">
        <v>6.8438731317661067E-2</v>
      </c>
      <c r="G25" s="212">
        <v>6.7760222711376453E-2</v>
      </c>
      <c r="H25" s="212">
        <v>6.8620395098901152E-2</v>
      </c>
      <c r="I25" s="212">
        <v>6.2457783591904292E-2</v>
      </c>
      <c r="J25" s="212">
        <v>6.642727878209928E-2</v>
      </c>
      <c r="K25" s="212">
        <v>7.0355506361200887E-2</v>
      </c>
      <c r="L25" s="212">
        <v>6.7413751438159045E-2</v>
      </c>
      <c r="M25" s="212">
        <v>6.1242611712576181E-2</v>
      </c>
      <c r="N25" s="212">
        <v>6.3080406416972018E-2</v>
      </c>
      <c r="O25" s="212">
        <v>6.602284738788608E-2</v>
      </c>
      <c r="P25" s="212">
        <v>7.0057378402085091E-2</v>
      </c>
      <c r="Q25" s="212">
        <v>6.3872086409003423E-2</v>
      </c>
      <c r="R25" s="212">
        <v>6.0146665125379008E-2</v>
      </c>
      <c r="S25" s="216">
        <v>6.8348575662097816E-2</v>
      </c>
      <c r="T25" s="216">
        <v>6.8241607876577681E-2</v>
      </c>
      <c r="U25" s="216">
        <v>6.157210133276661E-2</v>
      </c>
      <c r="V25" s="216">
        <v>6.9568139817021729E-2</v>
      </c>
      <c r="W25" s="216">
        <v>6.8335058981407515E-2</v>
      </c>
      <c r="X25" s="216">
        <v>6.5641501164005411E-2</v>
      </c>
      <c r="Y25" s="216">
        <v>6.2198329089590325E-2</v>
      </c>
      <c r="Z25" s="216">
        <v>6.390909535852636E-2</v>
      </c>
      <c r="AA25" s="216">
        <v>6.578102358554154E-2</v>
      </c>
      <c r="AB25" s="216">
        <v>6.5050084999798072E-2</v>
      </c>
      <c r="AC25" s="216">
        <v>5.9231334009067986E-2</v>
      </c>
      <c r="AD25" s="212">
        <v>6.2887216809625321E-2</v>
      </c>
      <c r="AE25" s="212">
        <v>6.4635469334574119E-2</v>
      </c>
      <c r="AF25" s="216">
        <v>6.4070930056994352E-2</v>
      </c>
      <c r="AG25" s="216">
        <v>6.193010894444826E-2</v>
      </c>
      <c r="AH25" s="216">
        <v>6.4441174359278278E-2</v>
      </c>
      <c r="AI25" s="216"/>
      <c r="AJ25" s="216"/>
      <c r="AL25" s="225"/>
      <c r="AM25" s="216"/>
      <c r="AN25" s="216"/>
      <c r="AO25" s="216"/>
      <c r="AP25" s="216"/>
      <c r="AQ25" s="216"/>
    </row>
    <row r="26" spans="1:43" x14ac:dyDescent="0.2">
      <c r="A26" s="211" t="s">
        <v>129</v>
      </c>
      <c r="B26" s="212">
        <f t="shared" si="4"/>
        <v>-7.9620311778811348E-2</v>
      </c>
      <c r="C26" s="212">
        <f t="shared" si="5"/>
        <v>-8.4626003515371084E-2</v>
      </c>
      <c r="D26" s="212">
        <v>8.3508433556318387E-2</v>
      </c>
      <c r="E26" s="212">
        <v>9.0732590717766223E-2</v>
      </c>
      <c r="F26" s="212">
        <v>8.5078773900997912E-2</v>
      </c>
      <c r="G26" s="212">
        <v>8.8088882289223916E-2</v>
      </c>
      <c r="H26" s="212">
        <v>9.1228758821007949E-2</v>
      </c>
      <c r="I26" s="212">
        <v>8.4109670525905927E-2</v>
      </c>
      <c r="J26" s="212">
        <v>8.1410750506525548E-2</v>
      </c>
      <c r="K26" s="212">
        <v>8.6281083993850871E-2</v>
      </c>
      <c r="L26" s="212">
        <v>8.6757884842671398E-2</v>
      </c>
      <c r="M26" s="212">
        <v>8.639210269985019E-2</v>
      </c>
      <c r="N26" s="212">
        <v>7.6349084808494005E-2</v>
      </c>
      <c r="O26" s="212">
        <v>8.1386130553354613E-2</v>
      </c>
      <c r="P26" s="212">
        <v>8.4282554205286714E-2</v>
      </c>
      <c r="Q26" s="212">
        <v>9.247581476243899E-2</v>
      </c>
      <c r="R26" s="212">
        <v>7.9253392264325165E-2</v>
      </c>
      <c r="S26" s="216">
        <v>8.5672528893678573E-2</v>
      </c>
      <c r="T26" s="216">
        <v>9.1192421599160828E-2</v>
      </c>
      <c r="U26" s="216">
        <v>8.9037411517773099E-2</v>
      </c>
      <c r="V26" s="216">
        <v>8.1041758420170446E-2</v>
      </c>
      <c r="W26" s="216">
        <v>8.8991437898627235E-2</v>
      </c>
      <c r="X26" s="216">
        <v>8.88115927941691E-2</v>
      </c>
      <c r="Y26" s="216">
        <v>8.9604144857643134E-2</v>
      </c>
      <c r="Z26" s="216">
        <v>7.9339483424774815E-2</v>
      </c>
      <c r="AA26" s="216">
        <v>9.1112930766174188E-2</v>
      </c>
      <c r="AB26" s="216">
        <v>9.0695078800875711E-2</v>
      </c>
      <c r="AC26" s="216">
        <v>9.4419260001527755E-2</v>
      </c>
      <c r="AD26" s="212">
        <v>8.3468515549079664E-2</v>
      </c>
      <c r="AE26" s="212">
        <v>8.9666563583228442E-2</v>
      </c>
      <c r="AF26" s="216">
        <v>9.7268359845175387E-2</v>
      </c>
      <c r="AG26" s="216">
        <v>9.3681167089091827E-2</v>
      </c>
      <c r="AH26" s="216">
        <v>8.7159175107408129E-2</v>
      </c>
      <c r="AI26" s="216"/>
      <c r="AJ26" s="216"/>
      <c r="AL26" s="225"/>
      <c r="AM26" s="216"/>
      <c r="AN26" s="216"/>
      <c r="AO26" s="216"/>
      <c r="AP26" s="216"/>
      <c r="AQ26" s="216"/>
    </row>
    <row r="27" spans="1:43" x14ac:dyDescent="0.2">
      <c r="A27" s="211" t="s">
        <v>130</v>
      </c>
      <c r="B27" s="212">
        <f t="shared" si="4"/>
        <v>7.8352086568519441E-2</v>
      </c>
      <c r="C27" s="212">
        <f t="shared" si="5"/>
        <v>0.14859356012110836</v>
      </c>
      <c r="D27" s="212">
        <v>0.16735750663743529</v>
      </c>
      <c r="E27" s="212">
        <v>0.15519746168433016</v>
      </c>
      <c r="F27" s="212">
        <v>0.13330938828550545</v>
      </c>
      <c r="G27" s="212">
        <v>0.12407543133287688</v>
      </c>
      <c r="H27" s="212">
        <v>0.14570646436480891</v>
      </c>
      <c r="I27" s="212">
        <v>0.14394005254619482</v>
      </c>
      <c r="J27" s="212">
        <v>0.12956743220615369</v>
      </c>
      <c r="K27" s="212">
        <v>0.15135221009095631</v>
      </c>
      <c r="L27" s="212">
        <v>0.14284931913919974</v>
      </c>
      <c r="M27" s="212">
        <v>0.1483998329529988</v>
      </c>
      <c r="N27" s="212">
        <v>0.13461834241240705</v>
      </c>
      <c r="O27" s="212">
        <v>0.15839351736344345</v>
      </c>
      <c r="P27" s="212">
        <v>0.15437578463254045</v>
      </c>
      <c r="Q27" s="212">
        <v>0.16410848089826408</v>
      </c>
      <c r="R27" s="212">
        <v>0.13314343685099814</v>
      </c>
      <c r="S27" s="216">
        <v>0.15294271731326378</v>
      </c>
      <c r="T27" s="216">
        <v>0.15599986981776295</v>
      </c>
      <c r="U27" s="216">
        <v>0.15082112913402865</v>
      </c>
      <c r="V27" s="216">
        <v>0.14325117677153226</v>
      </c>
      <c r="W27" s="216">
        <v>0.14423113972582488</v>
      </c>
      <c r="X27" s="216">
        <v>0.14772005681412304</v>
      </c>
      <c r="Y27" s="216">
        <v>0.14091084394381295</v>
      </c>
      <c r="Z27" s="216">
        <v>9.5358433027917355E-2</v>
      </c>
      <c r="AA27" s="216">
        <v>0.11692578731182765</v>
      </c>
      <c r="AB27" s="216">
        <v>0.12422290472037942</v>
      </c>
      <c r="AC27" s="216">
        <v>0.11083063603224808</v>
      </c>
      <c r="AD27" s="212">
        <v>0.1155525257893754</v>
      </c>
      <c r="AE27" s="212">
        <v>0.12501225336036753</v>
      </c>
      <c r="AF27" s="216">
        <v>0.10648850097313485</v>
      </c>
      <c r="AG27" s="216">
        <v>0.10391595579031206</v>
      </c>
      <c r="AH27" s="216">
        <v>9.0949786226141416E-2</v>
      </c>
      <c r="AI27" s="216"/>
      <c r="AJ27" s="216"/>
      <c r="AL27" s="225"/>
      <c r="AM27" s="216"/>
      <c r="AN27" s="216"/>
      <c r="AO27" s="216"/>
      <c r="AP27" s="216"/>
      <c r="AQ27" s="216"/>
    </row>
    <row r="28" spans="1:43" x14ac:dyDescent="0.2">
      <c r="A28" s="211" t="s">
        <v>131</v>
      </c>
      <c r="B28" s="212">
        <f t="shared" si="4"/>
        <v>-5.6388898752995908E-2</v>
      </c>
      <c r="C28" s="212">
        <f t="shared" si="5"/>
        <v>0.17010402784344203</v>
      </c>
      <c r="D28" s="212">
        <v>0.21623938766513848</v>
      </c>
      <c r="E28" s="212">
        <v>0.22916155541130565</v>
      </c>
      <c r="F28" s="212">
        <v>0.23429552571542867</v>
      </c>
      <c r="G28" s="212">
        <v>0.19767625399295313</v>
      </c>
      <c r="H28" s="212">
        <v>0.18480355807652252</v>
      </c>
      <c r="I28" s="212">
        <v>0.18172966732843376</v>
      </c>
      <c r="J28" s="212">
        <v>0.19449682101293167</v>
      </c>
      <c r="K28" s="212">
        <v>0.1676900044237353</v>
      </c>
      <c r="L28" s="212">
        <v>0.15588047802402066</v>
      </c>
      <c r="M28" s="212">
        <v>0.15165939675373402</v>
      </c>
      <c r="N28" s="212">
        <v>0.18324819038085183</v>
      </c>
      <c r="O28" s="212">
        <v>0.16983207649166016</v>
      </c>
      <c r="P28" s="212">
        <v>0.16964613553249655</v>
      </c>
      <c r="Q28" s="212">
        <v>0.17285928381199075</v>
      </c>
      <c r="R28" s="212">
        <v>0.18599631446106765</v>
      </c>
      <c r="S28" s="216">
        <v>0.1588696147211697</v>
      </c>
      <c r="T28" s="216">
        <v>0.16200312055860117</v>
      </c>
      <c r="U28" s="216">
        <v>0.16384445535058151</v>
      </c>
      <c r="V28" s="216">
        <v>0.17945206288830418</v>
      </c>
      <c r="W28" s="216">
        <v>0.16517238115194097</v>
      </c>
      <c r="X28" s="216">
        <v>0.14851739431435795</v>
      </c>
      <c r="Y28" s="216">
        <v>0.15950790178388866</v>
      </c>
      <c r="Z28" s="216">
        <v>0.16979664313973483</v>
      </c>
      <c r="AA28" s="216">
        <v>0.14031636504972886</v>
      </c>
      <c r="AB28" s="216">
        <v>0.16488375052701723</v>
      </c>
      <c r="AC28" s="216">
        <v>0.16699553928381258</v>
      </c>
      <c r="AD28" s="212">
        <v>0.17656597435910579</v>
      </c>
      <c r="AE28" s="212">
        <v>0.1560890390380355</v>
      </c>
      <c r="AF28" s="216">
        <v>0.16623729113678282</v>
      </c>
      <c r="AG28" s="216">
        <v>0.16284085567151949</v>
      </c>
      <c r="AH28" s="216">
        <v>0.17277438384070834</v>
      </c>
      <c r="AI28" s="216"/>
      <c r="AJ28" s="216"/>
      <c r="AL28" s="225"/>
      <c r="AM28" s="216"/>
      <c r="AN28" s="216"/>
      <c r="AO28" s="216"/>
      <c r="AP28" s="216"/>
      <c r="AQ28" s="216"/>
    </row>
    <row r="29" spans="1:43" x14ac:dyDescent="0.2">
      <c r="A29" s="211" t="s">
        <v>132</v>
      </c>
      <c r="B29" s="212">
        <f t="shared" si="4"/>
        <v>0.16121552008631301</v>
      </c>
      <c r="C29" s="212">
        <f t="shared" si="5"/>
        <v>0.48837364556624108</v>
      </c>
      <c r="D29" s="212">
        <v>0.15798071169050951</v>
      </c>
      <c r="E29" s="212">
        <v>0.13604770945428529</v>
      </c>
      <c r="F29" s="212">
        <v>6.8220302638290653E-2</v>
      </c>
      <c r="G29" s="212">
        <v>0.10254746619004733</v>
      </c>
      <c r="H29" s="212">
        <v>0.10614317994753722</v>
      </c>
      <c r="I29" s="212">
        <v>0.10373967336688399</v>
      </c>
      <c r="J29" s="212">
        <v>8.9270209995782279E-2</v>
      </c>
      <c r="K29" s="212">
        <v>9.3897085870679964E-2</v>
      </c>
      <c r="L29" s="212">
        <v>6.9913067625020461E-2</v>
      </c>
      <c r="M29" s="212">
        <v>0.10135588387414242</v>
      </c>
      <c r="N29" s="212">
        <v>0.1195504469603807</v>
      </c>
      <c r="O29" s="212">
        <v>0.10383841959380871</v>
      </c>
      <c r="P29" s="212">
        <v>0.10859395841841592</v>
      </c>
      <c r="Q29" s="212">
        <v>0.10785679186112297</v>
      </c>
      <c r="R29" s="212">
        <v>-4.5710010998056175E-2</v>
      </c>
      <c r="S29" s="216">
        <v>0.10154025134044443</v>
      </c>
      <c r="T29" s="216">
        <v>0.10849588589377837</v>
      </c>
      <c r="U29" s="216">
        <v>0.10608956600314556</v>
      </c>
      <c r="V29" s="216">
        <v>0.1880474728515831</v>
      </c>
      <c r="W29" s="216">
        <v>8.584681390879921E-2</v>
      </c>
      <c r="X29" s="216">
        <v>7.0755914807945491E-2</v>
      </c>
      <c r="Y29" s="216">
        <v>7.016499549163667E-2</v>
      </c>
      <c r="Z29" s="216">
        <v>-9.5844657947946998E-2</v>
      </c>
      <c r="AA29" s="216">
        <v>7.1725019909905291E-2</v>
      </c>
      <c r="AB29" s="216">
        <v>7.9093978421696257E-2</v>
      </c>
      <c r="AC29" s="216">
        <v>6.6048756767547789E-2</v>
      </c>
      <c r="AD29" s="212">
        <v>4.2868067860545617E-2</v>
      </c>
      <c r="AE29" s="212">
        <v>7.0971302097698322E-2</v>
      </c>
      <c r="AF29" s="216">
        <v>6.5152340995467448E-2</v>
      </c>
      <c r="AG29" s="216">
        <v>7.0381462775549672E-2</v>
      </c>
      <c r="AH29" s="216">
        <v>6.0414448333259783E-2</v>
      </c>
      <c r="AI29" s="216"/>
      <c r="AJ29" s="216"/>
      <c r="AL29" s="225"/>
      <c r="AM29" s="216"/>
      <c r="AN29" s="216"/>
      <c r="AO29" s="216"/>
      <c r="AP29" s="216"/>
      <c r="AQ29" s="216"/>
    </row>
    <row r="30" spans="1:43" x14ac:dyDescent="0.2">
      <c r="A30" s="211" t="s">
        <v>133</v>
      </c>
      <c r="B30" s="212">
        <f t="shared" si="4"/>
        <v>-0.10808619917400253</v>
      </c>
      <c r="C30" s="212">
        <f>D30/H30-1</f>
        <v>0.1685029807629419</v>
      </c>
      <c r="D30" s="212">
        <v>0.1166262705690813</v>
      </c>
      <c r="E30" s="212">
        <v>0.13075957616203968</v>
      </c>
      <c r="F30" s="212">
        <v>9.5826463442169094E-2</v>
      </c>
      <c r="G30" s="212">
        <v>0.13632718946909156</v>
      </c>
      <c r="H30" s="212">
        <v>9.9808278189357613E-2</v>
      </c>
      <c r="I30" s="212">
        <v>0.1119997613672155</v>
      </c>
      <c r="J30" s="212">
        <v>7.7367258632619035E-2</v>
      </c>
      <c r="K30" s="212">
        <v>0.13819414478392239</v>
      </c>
      <c r="L30" s="212">
        <v>9.2066282505729333E-2</v>
      </c>
      <c r="M30" s="212">
        <v>0.11452861832848478</v>
      </c>
      <c r="N30" s="212">
        <v>5.325405002505907E-3</v>
      </c>
      <c r="O30" s="212">
        <v>0.1208418870315924</v>
      </c>
      <c r="P30" s="212">
        <v>9.7148520295784399E-2</v>
      </c>
      <c r="Q30" s="212">
        <v>0.10571960544150671</v>
      </c>
      <c r="R30" s="212">
        <v>7.9313440049766176E-2</v>
      </c>
      <c r="S30" s="216">
        <v>0.12529501770951412</v>
      </c>
      <c r="T30" s="216">
        <v>8.1434281441199352E-2</v>
      </c>
      <c r="U30" s="216">
        <v>8.6506114711891083E-2</v>
      </c>
      <c r="V30" s="216">
        <v>7.7954977889005794E-2</v>
      </c>
      <c r="W30" s="216">
        <v>0.11719169357703933</v>
      </c>
      <c r="X30" s="216">
        <v>8.9738603300496197E-2</v>
      </c>
      <c r="Y30" s="216">
        <v>7.5853349283677152E-2</v>
      </c>
      <c r="Z30" s="216">
        <v>8.2077707247409981E-2</v>
      </c>
      <c r="AA30" s="216">
        <v>0.10557123877174246</v>
      </c>
      <c r="AB30" s="216">
        <v>8.7718081717248944E-2</v>
      </c>
      <c r="AC30" s="216">
        <v>9.0060495975900087E-2</v>
      </c>
      <c r="AD30" s="212">
        <v>6.8730912908589167E-2</v>
      </c>
      <c r="AE30" s="212">
        <v>0.10798168376846255</v>
      </c>
      <c r="AF30" s="216">
        <v>8.4846283868024341E-2</v>
      </c>
      <c r="AG30" s="216">
        <v>8.6169350665370417E-2</v>
      </c>
      <c r="AH30" s="216">
        <v>6.3213697010877423E-2</v>
      </c>
      <c r="AI30" s="216"/>
      <c r="AJ30" s="216"/>
      <c r="AL30" s="225"/>
      <c r="AM30" s="216"/>
      <c r="AN30" s="216"/>
      <c r="AO30" s="216"/>
      <c r="AP30" s="216"/>
      <c r="AQ30" s="216"/>
    </row>
    <row r="31" spans="1:43" x14ac:dyDescent="0.2">
      <c r="A31" s="211" t="s">
        <v>339</v>
      </c>
      <c r="B31" s="212">
        <f t="shared" si="4"/>
        <v>-5.9541529876236732E-2</v>
      </c>
      <c r="C31" s="212">
        <f t="shared" ref="C31:C32" si="6">D31/H31-1</f>
        <v>3.7574595862642779E-2</v>
      </c>
      <c r="D31" s="212">
        <v>0.17697394586821669</v>
      </c>
      <c r="E31" s="212">
        <v>0.18817837415503005</v>
      </c>
      <c r="F31" s="212">
        <v>0.17703972090023054</v>
      </c>
      <c r="G31" s="212">
        <v>0.21020843630827579</v>
      </c>
      <c r="H31" s="212">
        <v>0.17056503366013889</v>
      </c>
      <c r="I31" s="212">
        <v>0.19048382834676938</v>
      </c>
      <c r="J31" s="212">
        <v>0.22283049232885904</v>
      </c>
      <c r="K31" s="212">
        <v>0.19739252828912468</v>
      </c>
      <c r="L31" s="212">
        <v>0.20120724382858265</v>
      </c>
      <c r="M31" s="212">
        <v>0.3535379363572605</v>
      </c>
      <c r="N31" s="212">
        <v>0.1653235960715185</v>
      </c>
      <c r="O31" s="212">
        <v>0.17473227599295105</v>
      </c>
      <c r="P31" s="212">
        <v>0.18862107623318386</v>
      </c>
      <c r="Q31" s="212">
        <v>0.21831905937001014</v>
      </c>
      <c r="R31" s="212">
        <v>0.2774747750204527</v>
      </c>
      <c r="S31" s="216">
        <v>0.18122270742358079</v>
      </c>
      <c r="T31" s="216">
        <v>0.16782492976489724</v>
      </c>
      <c r="U31" s="216">
        <v>0.1393939393939394</v>
      </c>
      <c r="V31" s="216">
        <v>0.1191784784495227</v>
      </c>
      <c r="W31" s="216">
        <v>0.11771718074802563</v>
      </c>
      <c r="X31" s="216">
        <v>0.12752075919335706</v>
      </c>
      <c r="Y31" s="216">
        <v>0.13094310210444271</v>
      </c>
      <c r="Z31" s="216">
        <v>0.10426472685779489</v>
      </c>
      <c r="AA31" s="216">
        <v>0.13036690085870412</v>
      </c>
      <c r="AB31" s="216">
        <v>9.1230769230769226E-2</v>
      </c>
      <c r="AC31" s="216">
        <v>0.16065519523494376</v>
      </c>
      <c r="AD31" s="212">
        <v>0.10357041654859733</v>
      </c>
      <c r="AE31" s="212">
        <v>0.11281574461490779</v>
      </c>
      <c r="AF31" s="216">
        <v>9.1462462931169025E-2</v>
      </c>
      <c r="AG31" s="216">
        <v>7.3937771830043492E-2</v>
      </c>
      <c r="AH31" s="216">
        <v>-2.252707581227437E-2</v>
      </c>
      <c r="AI31" s="216"/>
      <c r="AJ31" s="216"/>
      <c r="AL31" s="225"/>
      <c r="AM31" s="216"/>
      <c r="AN31" s="216"/>
      <c r="AO31" s="216"/>
      <c r="AP31" s="216"/>
      <c r="AQ31" s="216"/>
    </row>
    <row r="32" spans="1:43" s="205" customFormat="1" ht="15.75" x14ac:dyDescent="0.25">
      <c r="A32" s="217" t="s">
        <v>25</v>
      </c>
      <c r="B32" s="218">
        <f t="shared" si="4"/>
        <v>1.2703299278919999E-2</v>
      </c>
      <c r="C32" s="218">
        <f t="shared" si="6"/>
        <v>0.13938483042634786</v>
      </c>
      <c r="D32" s="218">
        <v>0.11549800920667584</v>
      </c>
      <c r="E32" s="218">
        <v>0.1140492079851171</v>
      </c>
      <c r="F32" s="218">
        <v>0.10270236061885031</v>
      </c>
      <c r="G32" s="218">
        <v>0.10164749338145562</v>
      </c>
      <c r="H32" s="218">
        <v>0.10136874401202751</v>
      </c>
      <c r="I32" s="218">
        <v>9.8436000873383014E-2</v>
      </c>
      <c r="J32" s="218">
        <v>9.2655472320979218E-2</v>
      </c>
      <c r="K32" s="218">
        <v>9.8641234855432691E-2</v>
      </c>
      <c r="L32" s="218">
        <v>9.0304491689420285E-2</v>
      </c>
      <c r="M32" s="218">
        <v>8.7472037952982667E-2</v>
      </c>
      <c r="N32" s="218">
        <v>7.9827003131535332E-2</v>
      </c>
      <c r="O32" s="218">
        <v>8.9666767807327852E-2</v>
      </c>
      <c r="P32" s="218">
        <v>9.2909676243833034E-2</v>
      </c>
      <c r="Q32" s="218">
        <v>9.4477126926980182E-2</v>
      </c>
      <c r="R32" s="218">
        <v>8.9825643514267486E-2</v>
      </c>
      <c r="S32" s="222">
        <v>0.10099287041700378</v>
      </c>
      <c r="T32" s="222">
        <v>0.10073379317750085</v>
      </c>
      <c r="U32" s="222">
        <v>9.7584898983632068E-2</v>
      </c>
      <c r="V32" s="222">
        <v>9.7596100527673146E-2</v>
      </c>
      <c r="W32" s="222">
        <v>9.6345419831311632E-2</v>
      </c>
      <c r="X32" s="222">
        <v>9.5105041999730258E-2</v>
      </c>
      <c r="Y32" s="222">
        <v>9.5171799454255815E-2</v>
      </c>
      <c r="Z32" s="222">
        <v>8.0374891429939588E-2</v>
      </c>
      <c r="AA32" s="222">
        <v>8.9222621802131877E-2</v>
      </c>
      <c r="AB32" s="222">
        <v>9.4878809421446483E-2</v>
      </c>
      <c r="AC32" s="222">
        <v>9.0674747758055146E-2</v>
      </c>
      <c r="AD32" s="218">
        <v>8.7037751900159097E-2</v>
      </c>
      <c r="AE32" s="218">
        <v>9.5078937071402136E-2</v>
      </c>
      <c r="AF32" s="222">
        <v>9.4411857923775475E-2</v>
      </c>
      <c r="AG32" s="222">
        <v>8.9919776972502266E-2</v>
      </c>
      <c r="AH32" s="222">
        <v>8.6759781005966805E-2</v>
      </c>
      <c r="AI32" s="222"/>
      <c r="AJ32" s="222"/>
      <c r="AL32" s="221"/>
      <c r="AM32" s="222"/>
      <c r="AN32" s="222"/>
      <c r="AO32" s="222"/>
      <c r="AP32" s="222"/>
      <c r="AQ32" s="222"/>
    </row>
    <row r="33" spans="1:43" ht="15.75" x14ac:dyDescent="0.25">
      <c r="A33" s="226" t="str">
        <f>A18</f>
        <v xml:space="preserve">   *Proforma Q2,'16 &amp; prior, RE in Financials; back data for FYI only</v>
      </c>
      <c r="B33" s="212"/>
      <c r="C33" s="212"/>
      <c r="D33" s="212"/>
      <c r="E33" s="212"/>
      <c r="F33" s="212"/>
      <c r="G33" s="212"/>
      <c r="H33" s="212"/>
      <c r="I33" s="212"/>
      <c r="J33" s="212"/>
      <c r="K33" s="212"/>
      <c r="L33" s="212"/>
      <c r="M33" s="212"/>
      <c r="N33" s="212"/>
      <c r="O33" s="212"/>
      <c r="P33" s="212"/>
      <c r="Q33" s="212"/>
      <c r="R33" s="212"/>
      <c r="AF33" s="206"/>
      <c r="AG33" s="206"/>
      <c r="AH33" s="206"/>
      <c r="AI33" s="206"/>
      <c r="AJ33" s="206"/>
      <c r="AL33" s="206"/>
      <c r="AM33" s="206"/>
      <c r="AN33" s="206"/>
      <c r="AO33" s="206"/>
      <c r="AP33" s="206"/>
      <c r="AQ33" s="206"/>
    </row>
    <row r="34" spans="1:43" x14ac:dyDescent="0.2">
      <c r="A34" s="223"/>
      <c r="B34" s="212"/>
      <c r="C34" s="212"/>
      <c r="D34" s="212"/>
      <c r="E34" s="212"/>
      <c r="F34" s="212"/>
      <c r="G34" s="212"/>
      <c r="H34" s="212"/>
      <c r="I34" s="212"/>
      <c r="J34" s="212"/>
      <c r="K34" s="212"/>
      <c r="L34" s="212"/>
      <c r="M34" s="212"/>
      <c r="N34" s="212"/>
      <c r="O34" s="212"/>
      <c r="P34" s="212"/>
      <c r="Q34" s="212"/>
      <c r="R34" s="212"/>
      <c r="AF34" s="206"/>
      <c r="AG34" s="206"/>
      <c r="AH34" s="206"/>
      <c r="AI34" s="206"/>
      <c r="AJ34" s="206"/>
      <c r="AL34" s="206"/>
      <c r="AM34" s="206"/>
      <c r="AN34" s="206"/>
      <c r="AO34" s="206"/>
      <c r="AP34" s="206"/>
      <c r="AQ34" s="206"/>
    </row>
    <row r="35" spans="1:43" ht="15.75" x14ac:dyDescent="0.25">
      <c r="A35" s="227" t="s">
        <v>146</v>
      </c>
      <c r="B35" s="208" t="str">
        <f t="shared" ref="B35:C35" si="7">B5</f>
        <v>% CHG Q2/Q1</v>
      </c>
      <c r="C35" s="208" t="str">
        <f t="shared" si="7"/>
        <v>% CHG Q2/Q2</v>
      </c>
      <c r="D35" s="208" t="str">
        <f>D5</f>
        <v>Jun-18 Est</v>
      </c>
      <c r="E35" s="208">
        <f>E5</f>
        <v>43160</v>
      </c>
      <c r="F35" s="208">
        <f t="shared" ref="F35:AH35" si="8">F5</f>
        <v>43070</v>
      </c>
      <c r="G35" s="208">
        <f t="shared" si="8"/>
        <v>42979</v>
      </c>
      <c r="H35" s="208">
        <f t="shared" si="8"/>
        <v>42887</v>
      </c>
      <c r="I35" s="208">
        <f t="shared" si="8"/>
        <v>42795</v>
      </c>
      <c r="J35" s="208">
        <f t="shared" si="8"/>
        <v>42705</v>
      </c>
      <c r="K35" s="208">
        <f t="shared" si="8"/>
        <v>42614</v>
      </c>
      <c r="L35" s="208">
        <f t="shared" si="8"/>
        <v>42522</v>
      </c>
      <c r="M35" s="208">
        <f t="shared" si="8"/>
        <v>42430</v>
      </c>
      <c r="N35" s="208">
        <f t="shared" si="8"/>
        <v>42339</v>
      </c>
      <c r="O35" s="208">
        <f t="shared" si="8"/>
        <v>42248</v>
      </c>
      <c r="P35" s="208">
        <f t="shared" si="8"/>
        <v>42156</v>
      </c>
      <c r="Q35" s="208">
        <f t="shared" si="8"/>
        <v>42064</v>
      </c>
      <c r="R35" s="208">
        <f t="shared" si="8"/>
        <v>41974</v>
      </c>
      <c r="S35" s="208">
        <f t="shared" si="8"/>
        <v>41883</v>
      </c>
      <c r="T35" s="208">
        <f t="shared" si="8"/>
        <v>41791</v>
      </c>
      <c r="U35" s="208">
        <f t="shared" si="8"/>
        <v>41699</v>
      </c>
      <c r="V35" s="208">
        <f t="shared" si="8"/>
        <v>41609</v>
      </c>
      <c r="W35" s="208">
        <f t="shared" si="8"/>
        <v>41518</v>
      </c>
      <c r="X35" s="208">
        <f t="shared" si="8"/>
        <v>41426</v>
      </c>
      <c r="Y35" s="208">
        <f t="shared" si="8"/>
        <v>41334</v>
      </c>
      <c r="Z35" s="208">
        <f t="shared" si="8"/>
        <v>41244</v>
      </c>
      <c r="AA35" s="208">
        <f t="shared" si="8"/>
        <v>41153</v>
      </c>
      <c r="AB35" s="208">
        <f t="shared" si="8"/>
        <v>41061</v>
      </c>
      <c r="AC35" s="208">
        <f t="shared" si="8"/>
        <v>40969</v>
      </c>
      <c r="AD35" s="208">
        <f t="shared" si="8"/>
        <v>40878</v>
      </c>
      <c r="AE35" s="208">
        <f t="shared" si="8"/>
        <v>40787</v>
      </c>
      <c r="AF35" s="208">
        <f t="shared" si="8"/>
        <v>40695</v>
      </c>
      <c r="AG35" s="208">
        <f t="shared" si="8"/>
        <v>40603</v>
      </c>
      <c r="AH35" s="208">
        <f t="shared" si="8"/>
        <v>40513</v>
      </c>
      <c r="AI35" s="208"/>
      <c r="AJ35" s="208"/>
    </row>
    <row r="36" spans="1:43" x14ac:dyDescent="0.2">
      <c r="A36" s="211" t="s">
        <v>124</v>
      </c>
      <c r="B36" s="212">
        <f>D36/E36-1</f>
        <v>7.1876111158386324E-2</v>
      </c>
      <c r="C36" s="212">
        <f>D36/H36-1</f>
        <v>0.2016839995596631</v>
      </c>
      <c r="D36" s="212">
        <v>9.6345158810898765E-2</v>
      </c>
      <c r="E36" s="212">
        <v>8.9884603087923717E-2</v>
      </c>
      <c r="F36" s="212">
        <v>8.7469796502554695E-2</v>
      </c>
      <c r="G36" s="212">
        <v>8.3382258717213567E-2</v>
      </c>
      <c r="H36" s="212">
        <v>8.0175119953500948E-2</v>
      </c>
      <c r="I36" s="212">
        <v>8.7454996431445969E-2</v>
      </c>
      <c r="J36" s="212">
        <v>7.5159923400991743E-2</v>
      </c>
      <c r="K36" s="212">
        <v>7.397436459966808E-2</v>
      </c>
      <c r="L36" s="212">
        <v>7.3793828699985561E-2</v>
      </c>
      <c r="M36" s="212">
        <v>6.4930110084942302E-2</v>
      </c>
      <c r="N36" s="212">
        <v>7.6976179256843358E-2</v>
      </c>
      <c r="O36" s="212">
        <v>8.9798368170894441E-2</v>
      </c>
      <c r="P36" s="212">
        <v>0.10051496704970346</v>
      </c>
      <c r="Q36" s="212">
        <v>9.4243406028850937E-2</v>
      </c>
      <c r="R36" s="212">
        <v>0.11708451823082563</v>
      </c>
      <c r="S36" s="216">
        <v>0.13874476611078126</v>
      </c>
      <c r="T36" s="216">
        <v>0.14429757722674313</v>
      </c>
      <c r="U36" s="216">
        <v>0.14281693558414194</v>
      </c>
      <c r="V36" s="216">
        <v>0.14023996957617801</v>
      </c>
      <c r="W36" s="216">
        <v>0.14878806339607939</v>
      </c>
      <c r="X36" s="216">
        <v>0.14566469522664643</v>
      </c>
      <c r="Y36" s="216">
        <v>0.14528702302803828</v>
      </c>
      <c r="Z36" s="216">
        <v>0.14364917384385989</v>
      </c>
      <c r="AA36" s="216">
        <v>0.15477381798806553</v>
      </c>
      <c r="AB36" s="216">
        <v>0.15858202920007106</v>
      </c>
      <c r="AC36" s="216">
        <v>0.15972739469305414</v>
      </c>
      <c r="AD36" s="216">
        <v>0.15586504620722091</v>
      </c>
      <c r="AE36" s="216">
        <v>0.16262523224734318</v>
      </c>
      <c r="AF36" s="216">
        <v>0.15832807457776898</v>
      </c>
      <c r="AG36" s="216">
        <v>0.15296539754144148</v>
      </c>
      <c r="AH36" s="216">
        <v>0.13892147074421446</v>
      </c>
      <c r="AI36" s="216"/>
      <c r="AJ36" s="216"/>
    </row>
    <row r="37" spans="1:43" x14ac:dyDescent="0.2">
      <c r="A37" s="211" t="s">
        <v>125</v>
      </c>
      <c r="B37" s="212">
        <f t="shared" ref="B37:B47" si="9">D37/E37-1</f>
        <v>-7.6620786762040538E-3</v>
      </c>
      <c r="C37" s="212">
        <f t="shared" ref="C37:C44" si="10">D37/H37-1</f>
        <v>2.2916668682195551E-2</v>
      </c>
      <c r="D37" s="212">
        <v>3.2346917710336709E-2</v>
      </c>
      <c r="E37" s="212">
        <v>3.2596676006481098E-2</v>
      </c>
      <c r="F37" s="212">
        <v>3.0128689285722956E-2</v>
      </c>
      <c r="G37" s="212">
        <v>3.0135801064970272E-2</v>
      </c>
      <c r="H37" s="212">
        <v>3.1622241283846358E-2</v>
      </c>
      <c r="I37" s="212">
        <v>3.1678313463406209E-2</v>
      </c>
      <c r="J37" s="212">
        <v>2.8647714792991989E-2</v>
      </c>
      <c r="K37" s="212">
        <v>3.2481229823391557E-2</v>
      </c>
      <c r="L37" s="212">
        <v>3.3752840413539785E-2</v>
      </c>
      <c r="M37" s="212">
        <v>3.3460911643972177E-2</v>
      </c>
      <c r="N37" s="212">
        <v>3.1007371903940099E-2</v>
      </c>
      <c r="O37" s="212">
        <v>3.3440582856518922E-2</v>
      </c>
      <c r="P37" s="212">
        <v>3.7186387713488603E-2</v>
      </c>
      <c r="Q37" s="212">
        <v>3.6030005017845222E-2</v>
      </c>
      <c r="R37" s="212">
        <v>3.4835105594320161E-2</v>
      </c>
      <c r="S37" s="216">
        <v>3.7095235211358518E-2</v>
      </c>
      <c r="T37" s="216">
        <v>4.0798532772598407E-2</v>
      </c>
      <c r="U37" s="216">
        <v>4.1265993679064236E-2</v>
      </c>
      <c r="V37" s="216">
        <v>3.8995660050487255E-2</v>
      </c>
      <c r="W37" s="216">
        <v>4.0276772438138778E-2</v>
      </c>
      <c r="X37" s="216">
        <v>4.0913719634299621E-2</v>
      </c>
      <c r="Y37" s="216">
        <v>4.097217111927802E-2</v>
      </c>
      <c r="Z37" s="216">
        <v>3.6709427343915892E-2</v>
      </c>
      <c r="AA37" s="216">
        <v>3.8981001803059974E-2</v>
      </c>
      <c r="AB37" s="216">
        <v>3.9424532011474625E-2</v>
      </c>
      <c r="AC37" s="216">
        <v>3.911016868432185E-2</v>
      </c>
      <c r="AD37" s="216">
        <v>3.54531226217569E-2</v>
      </c>
      <c r="AE37" s="216">
        <v>3.8765249136000476E-2</v>
      </c>
      <c r="AF37" s="216">
        <v>3.9982609178748248E-2</v>
      </c>
      <c r="AG37" s="216">
        <v>3.9058401572542291E-2</v>
      </c>
      <c r="AH37" s="216">
        <v>3.5288132340019915E-2</v>
      </c>
      <c r="AI37" s="216"/>
      <c r="AJ37" s="216"/>
    </row>
    <row r="38" spans="1:43" x14ac:dyDescent="0.2">
      <c r="A38" s="211" t="s">
        <v>126</v>
      </c>
      <c r="B38" s="212">
        <f t="shared" si="9"/>
        <v>2.8170964393409603E-2</v>
      </c>
      <c r="C38" s="212">
        <f t="shared" si="10"/>
        <v>-3.3665915284227799E-3</v>
      </c>
      <c r="D38" s="212">
        <v>0.12028578886027143</v>
      </c>
      <c r="E38" s="212">
        <v>0.11699006587998377</v>
      </c>
      <c r="F38" s="212">
        <v>0.11598856190909143</v>
      </c>
      <c r="G38" s="212">
        <v>0.11954397498220924</v>
      </c>
      <c r="H38" s="212">
        <v>0.12069210989499138</v>
      </c>
      <c r="I38" s="212">
        <v>0.12080166052558891</v>
      </c>
      <c r="J38" s="212">
        <v>0.11631112985601054</v>
      </c>
      <c r="K38" s="212">
        <v>0.11440951519888148</v>
      </c>
      <c r="L38" s="212">
        <v>0.12117576280172412</v>
      </c>
      <c r="M38" s="212">
        <v>0.11740380356301952</v>
      </c>
      <c r="N38" s="212">
        <v>0.11841956051719464</v>
      </c>
      <c r="O38" s="212">
        <v>0.12141606279002728</v>
      </c>
      <c r="P38" s="212">
        <v>0.11894779104904823</v>
      </c>
      <c r="Q38" s="212">
        <v>0.11630265200834079</v>
      </c>
      <c r="R38" s="212">
        <v>0.11383995030022923</v>
      </c>
      <c r="S38" s="216">
        <v>0.11348239827019015</v>
      </c>
      <c r="T38" s="216">
        <v>0.11219613940335088</v>
      </c>
      <c r="U38" s="216">
        <v>0.10938042041686237</v>
      </c>
      <c r="V38" s="216">
        <v>0.11240604833535871</v>
      </c>
      <c r="W38" s="216">
        <v>0.1141373785152088</v>
      </c>
      <c r="X38" s="216">
        <v>0.11159181579255008</v>
      </c>
      <c r="Y38" s="216">
        <v>0.10781330656989148</v>
      </c>
      <c r="Z38" s="216">
        <v>0.10636484198276594</v>
      </c>
      <c r="AA38" s="216">
        <v>0.11185800470593746</v>
      </c>
      <c r="AB38" s="216">
        <v>0.1181421899709814</v>
      </c>
      <c r="AC38" s="216">
        <v>0.11368922611246453</v>
      </c>
      <c r="AD38" s="216">
        <v>0.1147884859859994</v>
      </c>
      <c r="AE38" s="216">
        <v>0.11516659002686649</v>
      </c>
      <c r="AF38" s="216">
        <v>0.11378936542229785</v>
      </c>
      <c r="AG38" s="216">
        <v>0.11051253604858326</v>
      </c>
      <c r="AH38" s="216">
        <v>0.11562202855442059</v>
      </c>
      <c r="AI38" s="216"/>
      <c r="AJ38" s="216"/>
    </row>
    <row r="39" spans="1:43" x14ac:dyDescent="0.2">
      <c r="A39" s="211" t="s">
        <v>127</v>
      </c>
      <c r="B39" s="212">
        <f t="shared" si="9"/>
        <v>-1.2895457695863866E-2</v>
      </c>
      <c r="C39" s="212">
        <f t="shared" si="10"/>
        <v>-5.3102922106223915E-2</v>
      </c>
      <c r="D39" s="212">
        <v>0.15210666231163564</v>
      </c>
      <c r="E39" s="212">
        <v>0.15409377203004518</v>
      </c>
      <c r="F39" s="212">
        <v>0.16262043095418824</v>
      </c>
      <c r="G39" s="212">
        <v>0.15406342088335917</v>
      </c>
      <c r="H39" s="212">
        <v>0.16063695396544367</v>
      </c>
      <c r="I39" s="212">
        <v>0.16142374874963095</v>
      </c>
      <c r="J39" s="212">
        <v>0.16794837593158382</v>
      </c>
      <c r="K39" s="212">
        <v>0.16483830309060341</v>
      </c>
      <c r="L39" s="212">
        <v>0.16357668015869065</v>
      </c>
      <c r="M39" s="212">
        <v>0.16233030879795432</v>
      </c>
      <c r="N39" s="212">
        <v>0.16713120536996917</v>
      </c>
      <c r="O39" s="212">
        <v>0.15731684820018332</v>
      </c>
      <c r="P39" s="212">
        <v>0.15671235639579173</v>
      </c>
      <c r="Q39" s="212">
        <v>0.15167951152023509</v>
      </c>
      <c r="R39" s="212">
        <v>0.15574534359591605</v>
      </c>
      <c r="S39" s="216">
        <v>0.14629941997448687</v>
      </c>
      <c r="T39" s="216">
        <v>0.14524770916242991</v>
      </c>
      <c r="U39" s="216">
        <v>0.14354022341391426</v>
      </c>
      <c r="V39" s="216">
        <v>0.15093087192246452</v>
      </c>
      <c r="W39" s="216">
        <v>0.14377515695562912</v>
      </c>
      <c r="X39" s="216">
        <v>0.14170816749805148</v>
      </c>
      <c r="Y39" s="216">
        <v>0.13013528783354433</v>
      </c>
      <c r="Z39" s="216">
        <v>0.1359224482392003</v>
      </c>
      <c r="AA39" s="216">
        <v>0.12626775450895228</v>
      </c>
      <c r="AB39" s="216">
        <v>0.12593544909140719</v>
      </c>
      <c r="AC39" s="216">
        <v>0.12327404171207389</v>
      </c>
      <c r="AD39" s="216">
        <v>0.13226878090145411</v>
      </c>
      <c r="AE39" s="216">
        <v>0.12278893454937105</v>
      </c>
      <c r="AF39" s="216">
        <v>0.12537061159875382</v>
      </c>
      <c r="AG39" s="216">
        <v>0.12578426869824</v>
      </c>
      <c r="AH39" s="216">
        <v>0.13342093735350413</v>
      </c>
      <c r="AI39" s="216"/>
      <c r="AJ39" s="216"/>
    </row>
    <row r="40" spans="1:43" x14ac:dyDescent="0.2">
      <c r="A40" s="211" t="s">
        <v>128</v>
      </c>
      <c r="B40" s="212">
        <f t="shared" si="9"/>
        <v>-0.16072506868478598</v>
      </c>
      <c r="C40" s="212">
        <f t="shared" si="10"/>
        <v>-0.1834932717716522</v>
      </c>
      <c r="D40" s="212">
        <v>0.10275037118553207</v>
      </c>
      <c r="E40" s="212">
        <v>0.12242754710248958</v>
      </c>
      <c r="F40" s="212">
        <v>0.12291750693226877</v>
      </c>
      <c r="G40" s="212">
        <v>0.12883857567892343</v>
      </c>
      <c r="H40" s="212">
        <v>0.12584142620414079</v>
      </c>
      <c r="I40" s="212">
        <v>0.12736480461849392</v>
      </c>
      <c r="J40" s="212">
        <v>0.12879002025713659</v>
      </c>
      <c r="K40" s="212">
        <v>0.13012566100883802</v>
      </c>
      <c r="L40" s="212">
        <v>0.1288515091251704</v>
      </c>
      <c r="M40" s="212">
        <v>0.13407632939990374</v>
      </c>
      <c r="N40" s="212">
        <v>0.13062737182143497</v>
      </c>
      <c r="O40" s="212">
        <v>0.13080655038229377</v>
      </c>
      <c r="P40" s="212">
        <v>0.1281588372294184</v>
      </c>
      <c r="Q40" s="212">
        <v>0.13083613535847147</v>
      </c>
      <c r="R40" s="212">
        <v>0.13187224376661691</v>
      </c>
      <c r="S40" s="216">
        <v>0.13016042832933691</v>
      </c>
      <c r="T40" s="216">
        <v>0.1286030657241671</v>
      </c>
      <c r="U40" s="216">
        <v>0.13182436782894932</v>
      </c>
      <c r="V40" s="216">
        <v>0.13296940067819854</v>
      </c>
      <c r="W40" s="216">
        <v>0.13307150400488116</v>
      </c>
      <c r="X40" s="216">
        <v>0.1305933080018605</v>
      </c>
      <c r="Y40" s="216">
        <v>0.13512376159513653</v>
      </c>
      <c r="Z40" s="216">
        <v>0.1442758009021107</v>
      </c>
      <c r="AA40" s="216">
        <v>0.1369415040797623</v>
      </c>
      <c r="AB40" s="216">
        <v>0.13465902463834281</v>
      </c>
      <c r="AC40" s="216">
        <v>0.13780522122387617</v>
      </c>
      <c r="AD40" s="216">
        <v>0.1402123171327205</v>
      </c>
      <c r="AE40" s="216">
        <v>0.13808551287602838</v>
      </c>
      <c r="AF40" s="216">
        <v>0.13917290683996647</v>
      </c>
      <c r="AG40" s="216">
        <v>0.13889063059434842</v>
      </c>
      <c r="AH40" s="216">
        <v>0.14220643614417786</v>
      </c>
      <c r="AI40" s="216"/>
      <c r="AJ40" s="216"/>
    </row>
    <row r="41" spans="1:43" x14ac:dyDescent="0.2">
      <c r="A41" s="211" t="s">
        <v>129</v>
      </c>
      <c r="B41" s="212">
        <f t="shared" si="9"/>
        <v>0.10066476500343313</v>
      </c>
      <c r="C41" s="212">
        <f t="shared" si="10"/>
        <v>7.6483713000044196E-2</v>
      </c>
      <c r="D41" s="212">
        <v>0.17704861638014524</v>
      </c>
      <c r="E41" s="212">
        <v>0.16085607717222872</v>
      </c>
      <c r="F41" s="212">
        <v>0.15754903065950565</v>
      </c>
      <c r="G41" s="212">
        <v>0.16140365271730833</v>
      </c>
      <c r="H41" s="212">
        <v>0.16446938698842903</v>
      </c>
      <c r="I41" s="212">
        <v>0.16561194202285068</v>
      </c>
      <c r="J41" s="212">
        <v>0.16119947336806018</v>
      </c>
      <c r="K41" s="212">
        <v>0.16256520631176682</v>
      </c>
      <c r="L41" s="212">
        <v>0.16473210758775012</v>
      </c>
      <c r="M41" s="212">
        <v>0.16629413019671646</v>
      </c>
      <c r="N41" s="212">
        <v>0.15677618967554452</v>
      </c>
      <c r="O41" s="212">
        <v>0.1527246732982333</v>
      </c>
      <c r="P41" s="212">
        <v>0.15102280762729611</v>
      </c>
      <c r="Q41" s="212">
        <v>0.14752488807623571</v>
      </c>
      <c r="R41" s="212">
        <v>0.13537623478115543</v>
      </c>
      <c r="S41" s="216">
        <v>0.13244752428054773</v>
      </c>
      <c r="T41" s="216">
        <v>0.1326652284394442</v>
      </c>
      <c r="U41" s="216">
        <v>0.12771521331915625</v>
      </c>
      <c r="V41" s="216">
        <v>0.12443515277011502</v>
      </c>
      <c r="W41" s="216">
        <v>0.12416150006242449</v>
      </c>
      <c r="X41" s="216">
        <v>0.12336250247147476</v>
      </c>
      <c r="Y41" s="216">
        <v>0.12369220317205321</v>
      </c>
      <c r="Z41" s="216">
        <v>0.11706540755105746</v>
      </c>
      <c r="AA41" s="216">
        <v>0.12023612682796632</v>
      </c>
      <c r="AB41" s="216">
        <v>0.12222167374636009</v>
      </c>
      <c r="AC41" s="216">
        <v>0.12222964862710667</v>
      </c>
      <c r="AD41" s="216">
        <v>0.12057736576449052</v>
      </c>
      <c r="AE41" s="216">
        <v>0.12056624178541192</v>
      </c>
      <c r="AF41" s="216">
        <v>0.12152689121974707</v>
      </c>
      <c r="AG41" s="216">
        <v>0.1245762398706845</v>
      </c>
      <c r="AH41" s="216">
        <v>0.12200013759655715</v>
      </c>
      <c r="AI41" s="216"/>
      <c r="AJ41" s="216"/>
    </row>
    <row r="42" spans="1:43" x14ac:dyDescent="0.2">
      <c r="A42" s="211" t="s">
        <v>130</v>
      </c>
      <c r="B42" s="212">
        <f t="shared" si="9"/>
        <v>2.9556821883900852E-2</v>
      </c>
      <c r="C42" s="212">
        <f t="shared" si="10"/>
        <v>1.2893594839790579E-2</v>
      </c>
      <c r="D42" s="212">
        <v>0.13873684190491914</v>
      </c>
      <c r="E42" s="212">
        <v>0.13475394359590184</v>
      </c>
      <c r="F42" s="212">
        <v>0.12874971614049766</v>
      </c>
      <c r="G42" s="212">
        <v>0.13773383404599929</v>
      </c>
      <c r="H42" s="212">
        <v>0.1369707959569664</v>
      </c>
      <c r="I42" s="212">
        <v>0.1260482299960155</v>
      </c>
      <c r="J42" s="212">
        <v>0.1288434011259906</v>
      </c>
      <c r="K42" s="212">
        <v>0.13729912646084497</v>
      </c>
      <c r="L42" s="212">
        <v>0.14394795487118886</v>
      </c>
      <c r="M42" s="212">
        <v>0.14260032775481679</v>
      </c>
      <c r="N42" s="212">
        <v>0.13533246240378474</v>
      </c>
      <c r="O42" s="212">
        <v>0.13810462651512725</v>
      </c>
      <c r="P42" s="212">
        <v>0.13948866816144617</v>
      </c>
      <c r="Q42" s="212">
        <v>0.14218643851813742</v>
      </c>
      <c r="R42" s="212">
        <v>0.12757127870822724</v>
      </c>
      <c r="S42" s="216">
        <v>0.13093174140241132</v>
      </c>
      <c r="T42" s="216">
        <v>0.13143349366380663</v>
      </c>
      <c r="U42" s="216">
        <v>0.13317521054982878</v>
      </c>
      <c r="V42" s="216">
        <v>0.12897051802523576</v>
      </c>
      <c r="W42" s="216">
        <v>0.13021989712900106</v>
      </c>
      <c r="X42" s="216">
        <v>0.13565249677758329</v>
      </c>
      <c r="Y42" s="216">
        <v>0.13905789767778234</v>
      </c>
      <c r="Z42" s="216">
        <v>0.14141933727605924</v>
      </c>
      <c r="AA42" s="216">
        <v>0.1359301139297808</v>
      </c>
      <c r="AB42" s="216">
        <v>0.13082379679156525</v>
      </c>
      <c r="AC42" s="216">
        <v>0.13112598213013321</v>
      </c>
      <c r="AD42" s="216">
        <v>0.12390867797592958</v>
      </c>
      <c r="AE42" s="216">
        <v>0.13022567338942884</v>
      </c>
      <c r="AF42" s="216">
        <v>0.13609038004700508</v>
      </c>
      <c r="AG42" s="216">
        <v>0.13638780797416744</v>
      </c>
      <c r="AH42" s="216">
        <v>0.14018241971484496</v>
      </c>
      <c r="AI42" s="216"/>
      <c r="AJ42" s="216"/>
    </row>
    <row r="43" spans="1:43" x14ac:dyDescent="0.2">
      <c r="A43" s="211" t="s">
        <v>131</v>
      </c>
      <c r="B43" s="212">
        <f t="shared" si="9"/>
        <v>-2.6223657286287394E-2</v>
      </c>
      <c r="C43" s="212">
        <f t="shared" si="10"/>
        <v>4.7051906304566682E-2</v>
      </c>
      <c r="D43" s="212">
        <v>0.11675487834871463</v>
      </c>
      <c r="E43" s="212">
        <v>0.11989907048197845</v>
      </c>
      <c r="F43" s="212">
        <v>0.12851209618435006</v>
      </c>
      <c r="G43" s="212">
        <v>0.11467473538289735</v>
      </c>
      <c r="H43" s="212">
        <v>0.11150820474677876</v>
      </c>
      <c r="I43" s="212">
        <v>0.11132364762733624</v>
      </c>
      <c r="J43" s="212">
        <v>0.12233788678936798</v>
      </c>
      <c r="K43" s="212">
        <v>0.10871798581184235</v>
      </c>
      <c r="L43" s="212">
        <v>0.10850758484368005</v>
      </c>
      <c r="M43" s="212">
        <v>0.11248982399927161</v>
      </c>
      <c r="N43" s="212">
        <v>0.12170025805147848</v>
      </c>
      <c r="O43" s="212">
        <v>0.11006900207297861</v>
      </c>
      <c r="P43" s="212">
        <v>0.10856175867746823</v>
      </c>
      <c r="Q43" s="212">
        <v>0.11376017122915984</v>
      </c>
      <c r="R43" s="212">
        <v>0.12255621465358327</v>
      </c>
      <c r="S43" s="216">
        <v>0.10929316494555597</v>
      </c>
      <c r="T43" s="216">
        <v>0.10683092106731937</v>
      </c>
      <c r="U43" s="216">
        <v>0.10496935273810323</v>
      </c>
      <c r="V43" s="216">
        <v>0.11109265755071164</v>
      </c>
      <c r="W43" s="216">
        <v>0.10135802998093128</v>
      </c>
      <c r="X43" s="216">
        <v>0.10644006076775095</v>
      </c>
      <c r="Y43" s="216">
        <v>0.11106066422931031</v>
      </c>
      <c r="Z43" s="216">
        <v>0.11229884740889522</v>
      </c>
      <c r="AA43" s="216">
        <v>0.10718694712358073</v>
      </c>
      <c r="AB43" s="216">
        <v>0.10718313795122013</v>
      </c>
      <c r="AC43" s="216">
        <v>0.1078763083638003</v>
      </c>
      <c r="AD43" s="216">
        <v>0.11224383750523038</v>
      </c>
      <c r="AE43" s="216">
        <v>0.10252121057457943</v>
      </c>
      <c r="AF43" s="216">
        <v>0.10044563651524042</v>
      </c>
      <c r="AG43" s="216">
        <v>0.10097545389627545</v>
      </c>
      <c r="AH43" s="216">
        <v>0.1048854711190837</v>
      </c>
      <c r="AI43" s="216"/>
      <c r="AJ43" s="216"/>
    </row>
    <row r="44" spans="1:43" x14ac:dyDescent="0.2">
      <c r="A44" s="211" t="s">
        <v>132</v>
      </c>
      <c r="B44" s="212">
        <f t="shared" si="9"/>
        <v>-2.0457902544040119E-2</v>
      </c>
      <c r="C44" s="212">
        <f t="shared" si="10"/>
        <v>-8.574924933898842E-2</v>
      </c>
      <c r="D44" s="212">
        <v>2.6997368026239133E-2</v>
      </c>
      <c r="E44" s="212">
        <v>2.756121262818205E-2</v>
      </c>
      <c r="F44" s="212">
        <v>2.8659693841380139E-2</v>
      </c>
      <c r="G44" s="212">
        <v>2.9255509266266688E-2</v>
      </c>
      <c r="H44" s="212">
        <v>2.9529500530045823E-2</v>
      </c>
      <c r="I44" s="212">
        <v>2.9601212770538631E-2</v>
      </c>
      <c r="J44" s="212">
        <v>3.1840853603214321E-2</v>
      </c>
      <c r="K44" s="212">
        <v>3.196761815925183E-2</v>
      </c>
      <c r="L44" s="212">
        <v>3.2318106965250996E-2</v>
      </c>
      <c r="M44" s="212">
        <v>3.3535716809298191E-2</v>
      </c>
      <c r="N44" s="212">
        <v>3.3174678438464E-2</v>
      </c>
      <c r="O44" s="212">
        <v>3.1962584198654075E-2</v>
      </c>
      <c r="P44" s="212">
        <v>2.927515737635894E-2</v>
      </c>
      <c r="Q44" s="212">
        <v>3.0398259665474069E-2</v>
      </c>
      <c r="R44" s="212">
        <v>2.8951556791360439E-2</v>
      </c>
      <c r="S44" s="216">
        <v>2.7523767947745779E-2</v>
      </c>
      <c r="T44" s="216">
        <v>2.7434871395382279E-2</v>
      </c>
      <c r="U44" s="216">
        <v>2.8213399958758885E-2</v>
      </c>
      <c r="V44" s="216">
        <v>2.7966068379340805E-2</v>
      </c>
      <c r="W44" s="216">
        <v>2.8336713098118031E-2</v>
      </c>
      <c r="X44" s="216">
        <v>3.1870229051498986E-2</v>
      </c>
      <c r="Y44" s="216">
        <v>3.2604920548892212E-2</v>
      </c>
      <c r="Z44" s="216">
        <v>3.1387817354631233E-2</v>
      </c>
      <c r="AA44" s="216">
        <v>3.2565768879540394E-2</v>
      </c>
      <c r="AB44" s="216">
        <v>3.2192093235758903E-2</v>
      </c>
      <c r="AC44" s="216">
        <v>3.2174585165092119E-2</v>
      </c>
      <c r="AD44" s="216">
        <v>3.1789672447176363E-2</v>
      </c>
      <c r="AE44" s="216">
        <v>3.1475920543773343E-2</v>
      </c>
      <c r="AF44" s="216">
        <v>3.1538728043227805E-2</v>
      </c>
      <c r="AG44" s="216">
        <v>3.2810844133557622E-2</v>
      </c>
      <c r="AH44" s="216">
        <v>3.2370247939466842E-2</v>
      </c>
      <c r="AI44" s="216"/>
      <c r="AJ44" s="216"/>
    </row>
    <row r="45" spans="1:43" x14ac:dyDescent="0.2">
      <c r="A45" s="211" t="s">
        <v>133</v>
      </c>
      <c r="B45" s="212">
        <f t="shared" si="9"/>
        <v>-0.13142499777995009</v>
      </c>
      <c r="C45" s="212">
        <f>D45/H45-1</f>
        <v>-8.0619692037932844E-2</v>
      </c>
      <c r="D45" s="212">
        <v>2.7215681190380561E-2</v>
      </c>
      <c r="E45" s="212">
        <v>3.1333714556391966E-2</v>
      </c>
      <c r="F45" s="212">
        <v>2.8431056971091859E-2</v>
      </c>
      <c r="G45" s="212">
        <v>3.2539255309648248E-2</v>
      </c>
      <c r="H45" s="212">
        <v>2.9602201564125144E-2</v>
      </c>
      <c r="I45" s="212">
        <v>3.0107436739800007E-2</v>
      </c>
      <c r="J45" s="212">
        <v>2.9649889346306267E-2</v>
      </c>
      <c r="K45" s="212">
        <v>3.5103391615263969E-2</v>
      </c>
      <c r="L45" s="212">
        <v>2.9186918578434612E-2</v>
      </c>
      <c r="M45" s="212">
        <v>3.2849892936788423E-2</v>
      </c>
      <c r="N45" s="212">
        <v>2.88547225613449E-2</v>
      </c>
      <c r="O45" s="212">
        <v>3.4313016405974291E-2</v>
      </c>
      <c r="P45" s="212">
        <v>3.026225283010953E-2</v>
      </c>
      <c r="Q45" s="212">
        <v>3.7038532577250149E-2</v>
      </c>
      <c r="R45" s="212">
        <v>3.216755357776304E-2</v>
      </c>
      <c r="S45" s="216">
        <v>3.4021553527586033E-2</v>
      </c>
      <c r="T45" s="216">
        <v>3.0486487107982348E-2</v>
      </c>
      <c r="U45" s="216">
        <v>3.7400791375979271E-2</v>
      </c>
      <c r="V45" s="216">
        <v>3.1993652711909341E-2</v>
      </c>
      <c r="W45" s="216">
        <v>3.5288628113013115E-2</v>
      </c>
      <c r="X45" s="216">
        <v>3.2203004778282612E-2</v>
      </c>
      <c r="Y45" s="216">
        <v>3.4252764226075684E-2</v>
      </c>
      <c r="Z45" s="216">
        <v>3.0906898097498751E-2</v>
      </c>
      <c r="AA45" s="216">
        <v>3.52589601533599E-2</v>
      </c>
      <c r="AB45" s="216">
        <v>3.0836073362818621E-2</v>
      </c>
      <c r="AC45" s="216">
        <v>3.2987423288072283E-2</v>
      </c>
      <c r="AD45" s="216">
        <v>3.2892693458017978E-2</v>
      </c>
      <c r="AE45" s="216">
        <v>3.7779434871194083E-2</v>
      </c>
      <c r="AF45" s="216">
        <v>3.3754796557243671E-2</v>
      </c>
      <c r="AG45" s="216">
        <v>3.8038419670159918E-2</v>
      </c>
      <c r="AH45" s="216">
        <v>3.5106393504464137E-2</v>
      </c>
      <c r="AI45" s="216"/>
      <c r="AJ45" s="216"/>
    </row>
    <row r="46" spans="1:43" x14ac:dyDescent="0.2">
      <c r="A46" s="211" t="s">
        <v>339</v>
      </c>
      <c r="B46" s="212">
        <f t="shared" si="9"/>
        <v>-3.8095418841586071E-3</v>
      </c>
      <c r="C46" s="212">
        <f t="shared" ref="C46:C47" si="11">D46/H46-1</f>
        <v>5.1346440380723113E-2</v>
      </c>
      <c r="D46" s="212">
        <v>9.4117152709260535E-3</v>
      </c>
      <c r="E46" s="212">
        <v>9.4477067053292518E-3</v>
      </c>
      <c r="F46" s="212">
        <v>8.973420619349139E-3</v>
      </c>
      <c r="G46" s="212">
        <v>9.1179556106464801E-3</v>
      </c>
      <c r="H46" s="212">
        <v>8.9520589117301781E-3</v>
      </c>
      <c r="I46" s="212">
        <v>8.7791182096615822E-3</v>
      </c>
      <c r="J46" s="212">
        <v>8.2415016202009566E-3</v>
      </c>
      <c r="K46" s="212">
        <v>8.5175979196467303E-3</v>
      </c>
      <c r="L46" s="212"/>
      <c r="M46" s="212"/>
      <c r="N46" s="212"/>
      <c r="O46" s="212"/>
      <c r="P46" s="212"/>
      <c r="Q46" s="212"/>
      <c r="R46" s="212"/>
      <c r="S46" s="216"/>
      <c r="T46" s="216"/>
      <c r="U46" s="216"/>
      <c r="V46" s="216"/>
      <c r="W46" s="216"/>
      <c r="X46" s="216"/>
      <c r="Y46" s="216"/>
      <c r="Z46" s="216"/>
      <c r="AA46" s="216"/>
      <c r="AB46" s="216"/>
      <c r="AC46" s="216"/>
      <c r="AD46" s="216"/>
      <c r="AE46" s="216"/>
      <c r="AF46" s="216"/>
      <c r="AG46" s="216"/>
      <c r="AH46" s="216"/>
      <c r="AI46" s="216"/>
      <c r="AJ46" s="216"/>
    </row>
    <row r="47" spans="1:43" s="205" customFormat="1" ht="15.75" x14ac:dyDescent="0.25">
      <c r="A47" s="217" t="s">
        <v>25</v>
      </c>
      <c r="B47" s="218">
        <f t="shared" si="9"/>
        <v>0</v>
      </c>
      <c r="C47" s="218">
        <f t="shared" si="11"/>
        <v>0</v>
      </c>
      <c r="D47" s="218">
        <v>1</v>
      </c>
      <c r="E47" s="218">
        <v>1</v>
      </c>
      <c r="F47" s="218">
        <v>1</v>
      </c>
      <c r="G47" s="218">
        <v>1</v>
      </c>
      <c r="H47" s="218">
        <v>1</v>
      </c>
      <c r="I47" s="218">
        <v>1</v>
      </c>
      <c r="J47" s="218">
        <v>1</v>
      </c>
      <c r="K47" s="218">
        <v>1</v>
      </c>
      <c r="L47" s="218">
        <v>1</v>
      </c>
      <c r="M47" s="218">
        <v>1</v>
      </c>
      <c r="N47" s="218">
        <v>1</v>
      </c>
      <c r="O47" s="218">
        <v>1</v>
      </c>
      <c r="P47" s="218">
        <v>1</v>
      </c>
      <c r="Q47" s="218">
        <v>1</v>
      </c>
      <c r="R47" s="218">
        <v>1</v>
      </c>
      <c r="S47" s="222">
        <v>1</v>
      </c>
      <c r="T47" s="222">
        <v>1</v>
      </c>
      <c r="U47" s="222">
        <v>1</v>
      </c>
      <c r="V47" s="222">
        <v>1</v>
      </c>
      <c r="W47" s="222">
        <v>1</v>
      </c>
      <c r="X47" s="222">
        <v>1</v>
      </c>
      <c r="Y47" s="222">
        <v>1</v>
      </c>
      <c r="Z47" s="222">
        <v>1</v>
      </c>
      <c r="AA47" s="222">
        <v>1</v>
      </c>
      <c r="AB47" s="222">
        <f>SUM(AB36:AB45)</f>
        <v>1.0000000000000002</v>
      </c>
      <c r="AC47" s="222">
        <v>1</v>
      </c>
      <c r="AD47" s="222">
        <v>1</v>
      </c>
      <c r="AE47" s="222">
        <v>1</v>
      </c>
      <c r="AF47" s="222">
        <v>1</v>
      </c>
      <c r="AG47" s="222">
        <v>1</v>
      </c>
      <c r="AH47" s="222">
        <v>1</v>
      </c>
      <c r="AI47" s="222"/>
      <c r="AJ47" s="222"/>
    </row>
    <row r="48" spans="1:43" ht="15.75" x14ac:dyDescent="0.25">
      <c r="A48" s="217" t="str">
        <f>A18</f>
        <v xml:space="preserve">   *Proforma Q2,'16 &amp; prior, RE in Financials; back data for FYI only</v>
      </c>
      <c r="B48" s="225"/>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13"/>
      <c r="AB48" s="213"/>
      <c r="AC48" s="213"/>
      <c r="AD48" s="213"/>
      <c r="AE48" s="213"/>
    </row>
    <row r="49" spans="1:31" x14ac:dyDescent="0.2">
      <c r="A49" s="225"/>
      <c r="B49" s="225"/>
      <c r="C49" s="225"/>
      <c r="D49" s="225"/>
      <c r="E49" s="225"/>
      <c r="F49" s="225"/>
      <c r="G49" s="225"/>
      <c r="H49" s="225"/>
      <c r="I49" s="225"/>
      <c r="J49" s="225"/>
      <c r="K49" s="225"/>
      <c r="L49" s="225"/>
      <c r="M49" s="225"/>
      <c r="N49" s="225"/>
      <c r="O49" s="225"/>
      <c r="P49" s="225"/>
      <c r="Q49" s="225"/>
      <c r="R49" s="225"/>
      <c r="S49" s="225"/>
      <c r="T49" s="225"/>
      <c r="U49" s="225"/>
      <c r="V49" s="225"/>
      <c r="W49" s="225"/>
      <c r="X49" s="225"/>
      <c r="Y49" s="225"/>
      <c r="Z49" s="225"/>
      <c r="AA49" s="213"/>
      <c r="AB49" s="213"/>
      <c r="AC49" s="213"/>
      <c r="AD49" s="213"/>
      <c r="AE49" s="213"/>
    </row>
    <row r="50" spans="1:31" ht="12.75" customHeight="1" x14ac:dyDescent="0.2">
      <c r="A50" s="213"/>
      <c r="B50" s="213"/>
      <c r="C50" s="213"/>
      <c r="D50" s="213"/>
      <c r="E50" s="213"/>
      <c r="F50" s="213"/>
      <c r="G50" s="213"/>
      <c r="H50" s="213"/>
      <c r="I50" s="213"/>
      <c r="J50" s="213"/>
      <c r="K50" s="213"/>
      <c r="L50" s="213"/>
      <c r="M50" s="213"/>
      <c r="N50" s="213"/>
      <c r="O50" s="213"/>
      <c r="P50" s="213"/>
      <c r="Q50" s="213"/>
      <c r="R50" s="207"/>
      <c r="S50" s="207"/>
      <c r="T50" s="207"/>
      <c r="U50" s="207"/>
      <c r="V50" s="207"/>
      <c r="W50" s="207"/>
      <c r="X50" s="207"/>
      <c r="Y50" s="207"/>
      <c r="Z50" s="207"/>
      <c r="AA50" s="207"/>
      <c r="AB50" s="207"/>
      <c r="AC50" s="207"/>
      <c r="AD50" s="207"/>
      <c r="AE50" s="207"/>
    </row>
    <row r="51" spans="1:31" x14ac:dyDescent="0.2">
      <c r="A51" s="213"/>
      <c r="B51" s="213"/>
      <c r="C51" s="213"/>
      <c r="D51" s="213"/>
      <c r="E51" s="213"/>
      <c r="F51" s="213"/>
      <c r="G51" s="213"/>
      <c r="H51" s="213"/>
      <c r="I51" s="213"/>
      <c r="J51" s="213"/>
      <c r="K51" s="213"/>
      <c r="L51" s="213"/>
      <c r="M51" s="213"/>
      <c r="N51" s="213"/>
      <c r="O51" s="213"/>
      <c r="P51" s="213"/>
      <c r="Q51" s="213"/>
      <c r="R51" s="207"/>
      <c r="S51" s="207"/>
      <c r="T51" s="207"/>
      <c r="U51" s="207"/>
      <c r="V51" s="207"/>
      <c r="W51" s="207"/>
      <c r="X51" s="207"/>
      <c r="Y51" s="207"/>
      <c r="Z51" s="207"/>
      <c r="AA51" s="207"/>
      <c r="AB51" s="207"/>
      <c r="AC51" s="207"/>
      <c r="AD51" s="207"/>
      <c r="AE51" s="207"/>
    </row>
    <row r="52" spans="1:31" x14ac:dyDescent="0.2">
      <c r="A52" s="228"/>
      <c r="B52" s="228"/>
      <c r="C52" s="228"/>
      <c r="D52" s="228"/>
      <c r="E52" s="228"/>
      <c r="F52" s="228"/>
      <c r="G52" s="228"/>
      <c r="H52" s="228"/>
      <c r="I52" s="228"/>
      <c r="J52" s="228"/>
      <c r="K52" s="228"/>
      <c r="L52" s="228"/>
      <c r="M52" s="228"/>
      <c r="N52" s="228"/>
      <c r="O52" s="228"/>
      <c r="P52" s="228"/>
      <c r="Q52" s="228"/>
      <c r="R52" s="207"/>
      <c r="S52" s="207"/>
      <c r="T52" s="207"/>
      <c r="U52" s="207"/>
      <c r="V52" s="207"/>
      <c r="W52" s="207"/>
      <c r="X52" s="207"/>
      <c r="Y52" s="207"/>
      <c r="Z52" s="207"/>
      <c r="AA52" s="207"/>
      <c r="AB52" s="207"/>
      <c r="AC52" s="207"/>
      <c r="AD52" s="207"/>
      <c r="AE52" s="207"/>
    </row>
    <row r="53" spans="1:31" x14ac:dyDescent="0.2">
      <c r="A53" s="215"/>
      <c r="B53" s="215"/>
      <c r="C53" s="215"/>
      <c r="D53" s="215"/>
      <c r="E53" s="215"/>
      <c r="F53" s="215"/>
      <c r="G53" s="215"/>
      <c r="H53" s="215"/>
      <c r="I53" s="215"/>
      <c r="J53" s="215"/>
      <c r="K53" s="215"/>
      <c r="L53" s="215"/>
      <c r="M53" s="215"/>
      <c r="N53" s="215"/>
      <c r="O53" s="215"/>
      <c r="P53" s="215"/>
      <c r="Q53" s="215"/>
      <c r="R53" s="207"/>
      <c r="S53" s="207"/>
      <c r="T53" s="207"/>
      <c r="U53" s="207"/>
      <c r="V53" s="207"/>
      <c r="W53" s="207"/>
      <c r="X53" s="207"/>
      <c r="Y53" s="207"/>
      <c r="Z53" s="207"/>
      <c r="AA53" s="207"/>
      <c r="AB53" s="207"/>
      <c r="AC53" s="207"/>
      <c r="AD53" s="207"/>
      <c r="AE53" s="207"/>
    </row>
    <row r="54" spans="1:31" x14ac:dyDescent="0.2">
      <c r="R54" s="207"/>
      <c r="S54" s="207"/>
      <c r="T54" s="207"/>
      <c r="U54" s="207"/>
      <c r="V54" s="207"/>
      <c r="W54" s="207"/>
      <c r="X54" s="207"/>
      <c r="Y54" s="207"/>
      <c r="Z54" s="207"/>
      <c r="AA54" s="207"/>
      <c r="AB54" s="207"/>
      <c r="AC54" s="207"/>
      <c r="AD54" s="207"/>
      <c r="AE54" s="207"/>
    </row>
    <row r="55" spans="1:31" x14ac:dyDescent="0.2">
      <c r="R55" s="207"/>
      <c r="S55" s="207"/>
      <c r="T55" s="207"/>
      <c r="U55" s="207"/>
      <c r="V55" s="207"/>
      <c r="W55" s="207"/>
      <c r="X55" s="207"/>
      <c r="Y55" s="207"/>
      <c r="Z55" s="207"/>
      <c r="AA55" s="207"/>
      <c r="AB55" s="207"/>
      <c r="AC55" s="207"/>
      <c r="AD55" s="207"/>
      <c r="AE55" s="207"/>
    </row>
    <row r="56" spans="1:31" x14ac:dyDescent="0.2">
      <c r="R56" s="207"/>
      <c r="S56" s="207"/>
      <c r="T56" s="207"/>
      <c r="U56" s="207"/>
      <c r="V56" s="207"/>
      <c r="W56" s="207"/>
      <c r="X56" s="207"/>
      <c r="Y56" s="207"/>
      <c r="Z56" s="207"/>
      <c r="AA56" s="207"/>
      <c r="AB56" s="207"/>
      <c r="AC56" s="207"/>
      <c r="AD56" s="207"/>
      <c r="AE56" s="207"/>
    </row>
    <row r="57" spans="1:31" x14ac:dyDescent="0.2">
      <c r="A57" s="212"/>
      <c r="B57" s="212"/>
      <c r="C57" s="212"/>
      <c r="D57" s="212"/>
      <c r="E57" s="212"/>
      <c r="F57" s="212"/>
      <c r="G57" s="212"/>
      <c r="H57" s="212"/>
      <c r="I57" s="212"/>
      <c r="J57" s="212"/>
      <c r="K57" s="212"/>
      <c r="L57" s="212"/>
      <c r="M57" s="212"/>
      <c r="N57" s="212"/>
      <c r="O57" s="212"/>
      <c r="P57" s="212"/>
      <c r="Q57" s="212"/>
      <c r="R57" s="207"/>
      <c r="S57" s="207"/>
      <c r="T57" s="207"/>
      <c r="U57" s="207"/>
      <c r="V57" s="207"/>
      <c r="W57" s="207"/>
      <c r="X57" s="207"/>
      <c r="Y57" s="207"/>
      <c r="Z57" s="207"/>
      <c r="AA57" s="207"/>
      <c r="AB57" s="207"/>
      <c r="AC57" s="207"/>
      <c r="AD57" s="207"/>
      <c r="AE57" s="207"/>
    </row>
    <row r="58" spans="1:31" x14ac:dyDescent="0.2">
      <c r="A58" s="212"/>
      <c r="B58" s="212"/>
      <c r="C58" s="212"/>
      <c r="D58" s="212"/>
      <c r="E58" s="212"/>
      <c r="F58" s="212"/>
      <c r="G58" s="212"/>
      <c r="H58" s="212"/>
      <c r="I58" s="212"/>
      <c r="J58" s="212"/>
      <c r="K58" s="212"/>
      <c r="L58" s="212"/>
      <c r="M58" s="212"/>
      <c r="N58" s="212"/>
      <c r="O58" s="212"/>
      <c r="P58" s="212"/>
      <c r="Q58" s="212"/>
      <c r="R58" s="207"/>
      <c r="S58" s="207"/>
      <c r="T58" s="207"/>
      <c r="U58" s="207"/>
      <c r="V58" s="207"/>
      <c r="W58" s="207"/>
      <c r="X58" s="207"/>
      <c r="Y58" s="207"/>
      <c r="Z58" s="207"/>
      <c r="AA58" s="207"/>
      <c r="AB58" s="207"/>
      <c r="AC58" s="207"/>
      <c r="AD58" s="207"/>
      <c r="AE58" s="207"/>
    </row>
    <row r="59" spans="1:31" x14ac:dyDescent="0.2">
      <c r="A59" s="212"/>
      <c r="B59" s="212"/>
      <c r="C59" s="212"/>
      <c r="D59" s="212"/>
      <c r="E59" s="212"/>
      <c r="F59" s="212"/>
      <c r="G59" s="212"/>
      <c r="H59" s="212"/>
      <c r="I59" s="212"/>
      <c r="J59" s="212"/>
      <c r="K59" s="212"/>
      <c r="L59" s="212"/>
      <c r="M59" s="212"/>
      <c r="N59" s="212"/>
      <c r="O59" s="212"/>
      <c r="P59" s="212"/>
      <c r="Q59" s="212"/>
      <c r="R59" s="207"/>
      <c r="S59" s="207"/>
      <c r="T59" s="207"/>
      <c r="U59" s="207"/>
      <c r="V59" s="207"/>
      <c r="W59" s="207"/>
      <c r="X59" s="207"/>
      <c r="Y59" s="207"/>
      <c r="Z59" s="207"/>
      <c r="AA59" s="207"/>
      <c r="AB59" s="207"/>
      <c r="AC59" s="207"/>
      <c r="AD59" s="207"/>
      <c r="AE59" s="207"/>
    </row>
    <row r="60" spans="1:31" x14ac:dyDescent="0.2">
      <c r="A60" s="212"/>
      <c r="B60" s="212"/>
      <c r="C60" s="212"/>
      <c r="D60" s="212"/>
      <c r="E60" s="212"/>
      <c r="F60" s="212"/>
      <c r="G60" s="212"/>
      <c r="H60" s="212"/>
      <c r="I60" s="212"/>
      <c r="J60" s="212"/>
      <c r="K60" s="212"/>
      <c r="L60" s="212"/>
      <c r="M60" s="212"/>
      <c r="N60" s="212"/>
      <c r="O60" s="212"/>
      <c r="P60" s="212"/>
      <c r="Q60" s="212"/>
      <c r="R60" s="207"/>
      <c r="S60" s="207"/>
      <c r="T60" s="207"/>
      <c r="U60" s="207"/>
      <c r="V60" s="207"/>
      <c r="W60" s="207"/>
      <c r="X60" s="207"/>
      <c r="Y60" s="207"/>
      <c r="Z60" s="207"/>
      <c r="AA60" s="207"/>
      <c r="AB60" s="207"/>
      <c r="AC60" s="207"/>
      <c r="AD60" s="207"/>
      <c r="AE60" s="207"/>
    </row>
    <row r="61" spans="1:31" x14ac:dyDescent="0.2">
      <c r="A61" s="212"/>
      <c r="B61" s="212"/>
      <c r="C61" s="212"/>
      <c r="D61" s="212"/>
      <c r="E61" s="212"/>
      <c r="F61" s="212"/>
      <c r="G61" s="212"/>
      <c r="H61" s="212"/>
      <c r="I61" s="212"/>
      <c r="J61" s="212"/>
      <c r="K61" s="212"/>
      <c r="L61" s="212"/>
      <c r="M61" s="212"/>
      <c r="N61" s="212"/>
      <c r="O61" s="212"/>
      <c r="P61" s="212"/>
      <c r="Q61" s="212"/>
      <c r="R61" s="207"/>
      <c r="S61" s="207"/>
      <c r="T61" s="207"/>
      <c r="U61" s="207"/>
      <c r="V61" s="207"/>
      <c r="W61" s="207"/>
      <c r="X61" s="207"/>
      <c r="Y61" s="207"/>
      <c r="Z61" s="207"/>
      <c r="AA61" s="207"/>
      <c r="AB61" s="207"/>
      <c r="AC61" s="207"/>
      <c r="AD61" s="207"/>
      <c r="AE61" s="207"/>
    </row>
    <row r="62" spans="1:31" x14ac:dyDescent="0.2">
      <c r="A62" s="212"/>
      <c r="B62" s="212"/>
      <c r="C62" s="212"/>
      <c r="D62" s="212"/>
      <c r="E62" s="212"/>
      <c r="F62" s="212"/>
      <c r="G62" s="212"/>
      <c r="H62" s="212"/>
      <c r="I62" s="212"/>
      <c r="J62" s="212"/>
      <c r="K62" s="212"/>
      <c r="L62" s="212"/>
      <c r="M62" s="212"/>
      <c r="N62" s="212"/>
      <c r="O62" s="212"/>
      <c r="P62" s="212"/>
      <c r="Q62" s="212"/>
      <c r="R62" s="207"/>
      <c r="S62" s="207"/>
      <c r="T62" s="207"/>
      <c r="U62" s="207"/>
      <c r="V62" s="207"/>
      <c r="W62" s="207"/>
      <c r="X62" s="207"/>
      <c r="Y62" s="207"/>
      <c r="Z62" s="207"/>
      <c r="AA62" s="207"/>
      <c r="AB62" s="207"/>
      <c r="AC62" s="207"/>
      <c r="AD62" s="207"/>
      <c r="AE62" s="207"/>
    </row>
    <row r="63" spans="1:31" x14ac:dyDescent="0.2">
      <c r="A63" s="212"/>
      <c r="B63" s="212"/>
      <c r="C63" s="212"/>
      <c r="D63" s="212"/>
      <c r="E63" s="212"/>
      <c r="F63" s="212"/>
      <c r="G63" s="212"/>
      <c r="H63" s="212"/>
      <c r="I63" s="212"/>
      <c r="J63" s="212"/>
      <c r="K63" s="212"/>
      <c r="L63" s="212"/>
      <c r="M63" s="212"/>
      <c r="N63" s="212"/>
      <c r="O63" s="212"/>
      <c r="P63" s="212"/>
      <c r="Q63" s="212"/>
      <c r="R63" s="207"/>
      <c r="S63" s="207"/>
      <c r="T63" s="207"/>
      <c r="U63" s="207"/>
      <c r="V63" s="207"/>
      <c r="W63" s="207"/>
      <c r="X63" s="207"/>
      <c r="Y63" s="207"/>
      <c r="Z63" s="207"/>
      <c r="AA63" s="207"/>
      <c r="AB63" s="207"/>
      <c r="AC63" s="207"/>
      <c r="AD63" s="207"/>
      <c r="AE63" s="207"/>
    </row>
    <row r="64" spans="1:31" x14ac:dyDescent="0.2">
      <c r="A64" s="212"/>
      <c r="B64" s="212"/>
      <c r="C64" s="212"/>
      <c r="D64" s="212"/>
      <c r="E64" s="212"/>
      <c r="F64" s="212"/>
      <c r="G64" s="212"/>
      <c r="H64" s="212"/>
      <c r="I64" s="212"/>
      <c r="J64" s="212"/>
      <c r="K64" s="212"/>
      <c r="L64" s="212"/>
      <c r="M64" s="212"/>
      <c r="N64" s="212"/>
      <c r="O64" s="212"/>
      <c r="P64" s="212"/>
      <c r="Q64" s="212"/>
      <c r="R64" s="207"/>
      <c r="S64" s="207"/>
      <c r="T64" s="207"/>
      <c r="U64" s="207"/>
      <c r="V64" s="207"/>
      <c r="W64" s="207"/>
      <c r="X64" s="207"/>
      <c r="Y64" s="207"/>
      <c r="Z64" s="207"/>
      <c r="AA64" s="207"/>
      <c r="AB64" s="207"/>
      <c r="AC64" s="207"/>
      <c r="AD64" s="207"/>
      <c r="AE64" s="207"/>
    </row>
    <row r="65" spans="1:31" x14ac:dyDescent="0.2">
      <c r="A65" s="212"/>
      <c r="B65" s="212"/>
      <c r="C65" s="212"/>
      <c r="D65" s="212"/>
      <c r="E65" s="212"/>
      <c r="F65" s="212"/>
      <c r="G65" s="212"/>
      <c r="H65" s="212"/>
      <c r="I65" s="212"/>
      <c r="J65" s="212"/>
      <c r="K65" s="212"/>
      <c r="L65" s="212"/>
      <c r="M65" s="212"/>
      <c r="N65" s="212"/>
      <c r="O65" s="212"/>
      <c r="P65" s="212"/>
      <c r="Q65" s="212"/>
      <c r="R65" s="207"/>
      <c r="S65" s="207"/>
      <c r="T65" s="207"/>
      <c r="U65" s="207"/>
      <c r="V65" s="207"/>
      <c r="W65" s="207"/>
      <c r="X65" s="207"/>
      <c r="Y65" s="207"/>
      <c r="Z65" s="207"/>
      <c r="AA65" s="207"/>
      <c r="AB65" s="207"/>
      <c r="AC65" s="207"/>
      <c r="AD65" s="207"/>
      <c r="AE65" s="207"/>
    </row>
    <row r="66" spans="1:31" x14ac:dyDescent="0.2">
      <c r="A66" s="212"/>
      <c r="B66" s="212"/>
      <c r="N66" s="212"/>
      <c r="O66" s="212"/>
      <c r="P66" s="212"/>
      <c r="Q66" s="212"/>
      <c r="R66" s="207"/>
      <c r="S66" s="207"/>
      <c r="T66" s="207"/>
      <c r="U66" s="207"/>
      <c r="V66" s="207"/>
      <c r="W66" s="207"/>
      <c r="X66" s="207"/>
      <c r="Y66" s="207"/>
      <c r="Z66" s="207"/>
      <c r="AA66" s="207"/>
      <c r="AB66" s="207"/>
      <c r="AC66" s="207"/>
      <c r="AD66" s="207"/>
      <c r="AE66" s="207"/>
    </row>
    <row r="67" spans="1:31" x14ac:dyDescent="0.2">
      <c r="R67" s="207"/>
      <c r="S67" s="207"/>
      <c r="T67" s="207"/>
      <c r="U67" s="207"/>
      <c r="V67" s="207"/>
      <c r="W67" s="207"/>
      <c r="X67" s="207"/>
      <c r="Y67" s="207"/>
      <c r="Z67" s="207"/>
      <c r="AA67" s="207"/>
      <c r="AB67" s="207"/>
      <c r="AC67" s="207"/>
      <c r="AD67" s="207"/>
      <c r="AE67" s="207"/>
    </row>
    <row r="68" spans="1:31" ht="15.75" x14ac:dyDescent="0.25">
      <c r="C68" s="229"/>
      <c r="D68" s="229"/>
      <c r="E68" s="229"/>
      <c r="F68" s="229"/>
      <c r="G68" s="229"/>
      <c r="H68" s="229"/>
      <c r="I68" s="229"/>
      <c r="J68" s="229"/>
      <c r="K68" s="229"/>
      <c r="L68" s="229"/>
      <c r="M68" s="229"/>
    </row>
    <row r="69" spans="1:31" ht="15.75" x14ac:dyDescent="0.25">
      <c r="A69" s="229"/>
      <c r="B69" s="229"/>
      <c r="C69" s="225"/>
      <c r="D69" s="225"/>
      <c r="E69" s="225"/>
      <c r="F69" s="225"/>
      <c r="G69" s="225"/>
      <c r="H69" s="225"/>
      <c r="I69" s="225"/>
      <c r="J69" s="225"/>
      <c r="K69" s="225"/>
      <c r="L69" s="225"/>
      <c r="M69" s="225"/>
      <c r="N69" s="229"/>
      <c r="O69" s="229"/>
      <c r="P69" s="229"/>
      <c r="Q69" s="229"/>
      <c r="R69" s="229"/>
      <c r="S69" s="229"/>
      <c r="T69" s="229"/>
      <c r="U69" s="229"/>
      <c r="V69" s="229"/>
      <c r="W69" s="229"/>
      <c r="X69" s="229"/>
      <c r="Y69" s="229"/>
      <c r="Z69" s="229"/>
    </row>
    <row r="70" spans="1:31" x14ac:dyDescent="0.2">
      <c r="A70" s="225"/>
      <c r="B70" s="225"/>
      <c r="C70" s="225"/>
      <c r="D70" s="225"/>
      <c r="E70" s="225"/>
      <c r="F70" s="225"/>
      <c r="G70" s="225"/>
      <c r="H70" s="225"/>
      <c r="I70" s="225"/>
      <c r="J70" s="225"/>
      <c r="K70" s="225"/>
      <c r="L70" s="225"/>
      <c r="M70" s="225"/>
      <c r="N70" s="225"/>
      <c r="O70" s="225"/>
      <c r="P70" s="225"/>
      <c r="Q70" s="225"/>
      <c r="R70" s="225"/>
      <c r="S70" s="225"/>
      <c r="T70" s="225"/>
      <c r="U70" s="225"/>
      <c r="V70" s="225"/>
      <c r="W70" s="225"/>
      <c r="X70" s="225"/>
      <c r="Y70" s="225"/>
      <c r="Z70" s="225"/>
    </row>
    <row r="71" spans="1:31" x14ac:dyDescent="0.2">
      <c r="A71" s="225"/>
      <c r="B71" s="225"/>
      <c r="C71" s="225"/>
      <c r="D71" s="225"/>
      <c r="E71" s="225"/>
      <c r="F71" s="225"/>
      <c r="G71" s="225"/>
      <c r="H71" s="225"/>
      <c r="I71" s="225"/>
      <c r="J71" s="225"/>
      <c r="K71" s="225"/>
      <c r="L71" s="225"/>
      <c r="M71" s="225"/>
      <c r="N71" s="225"/>
      <c r="O71" s="225"/>
      <c r="P71" s="225"/>
      <c r="Q71" s="225"/>
      <c r="R71" s="225"/>
      <c r="S71" s="225"/>
      <c r="T71" s="225"/>
      <c r="U71" s="225"/>
      <c r="V71" s="225"/>
      <c r="W71" s="225"/>
      <c r="X71" s="225"/>
      <c r="Y71" s="225"/>
      <c r="Z71" s="225"/>
    </row>
    <row r="72" spans="1:31" x14ac:dyDescent="0.2">
      <c r="A72" s="225"/>
      <c r="B72" s="225"/>
      <c r="C72" s="225"/>
      <c r="D72" s="225"/>
      <c r="E72" s="225"/>
      <c r="F72" s="225"/>
      <c r="G72" s="225"/>
      <c r="H72" s="225"/>
      <c r="I72" s="225"/>
      <c r="J72" s="225"/>
      <c r="K72" s="225"/>
      <c r="L72" s="225"/>
      <c r="M72" s="225"/>
      <c r="N72" s="225"/>
      <c r="O72" s="225"/>
      <c r="P72" s="225"/>
      <c r="Q72" s="225"/>
      <c r="R72" s="225"/>
      <c r="S72" s="225"/>
      <c r="T72" s="225"/>
      <c r="U72" s="225"/>
      <c r="V72" s="225"/>
      <c r="W72" s="225"/>
      <c r="X72" s="225"/>
      <c r="Y72" s="225"/>
      <c r="Z72" s="225"/>
    </row>
    <row r="73" spans="1:31" x14ac:dyDescent="0.2">
      <c r="A73" s="225"/>
      <c r="B73" s="225"/>
      <c r="C73" s="225"/>
      <c r="D73" s="225"/>
      <c r="E73" s="225"/>
      <c r="F73" s="225"/>
      <c r="G73" s="225"/>
      <c r="H73" s="225"/>
      <c r="I73" s="225"/>
      <c r="J73" s="225"/>
      <c r="K73" s="225"/>
      <c r="L73" s="225"/>
      <c r="M73" s="225"/>
      <c r="N73" s="225"/>
      <c r="O73" s="225"/>
      <c r="P73" s="225"/>
      <c r="Q73" s="225"/>
      <c r="R73" s="225"/>
      <c r="S73" s="225"/>
      <c r="T73" s="225"/>
      <c r="U73" s="225"/>
      <c r="V73" s="225"/>
      <c r="W73" s="225"/>
      <c r="X73" s="225"/>
      <c r="Y73" s="225"/>
      <c r="Z73" s="225"/>
    </row>
    <row r="74" spans="1:31" x14ac:dyDescent="0.2">
      <c r="A74" s="225"/>
      <c r="B74" s="225"/>
      <c r="C74" s="225"/>
      <c r="D74" s="225"/>
      <c r="E74" s="225"/>
      <c r="F74" s="225"/>
      <c r="G74" s="225"/>
      <c r="H74" s="225"/>
      <c r="I74" s="225"/>
      <c r="J74" s="225"/>
      <c r="K74" s="225"/>
      <c r="L74" s="225"/>
      <c r="M74" s="225"/>
      <c r="N74" s="225"/>
      <c r="O74" s="225"/>
      <c r="P74" s="225"/>
      <c r="Q74" s="225"/>
      <c r="R74" s="225"/>
      <c r="S74" s="225"/>
      <c r="T74" s="225"/>
      <c r="U74" s="225"/>
      <c r="V74" s="225"/>
      <c r="W74" s="225"/>
      <c r="X74" s="225"/>
      <c r="Y74" s="225"/>
      <c r="Z74" s="225"/>
    </row>
    <row r="75" spans="1:31" x14ac:dyDescent="0.2">
      <c r="A75" s="225"/>
      <c r="B75" s="225"/>
      <c r="C75" s="225"/>
      <c r="D75" s="225"/>
      <c r="E75" s="225"/>
      <c r="F75" s="225"/>
      <c r="G75" s="225"/>
      <c r="H75" s="225"/>
      <c r="I75" s="225"/>
      <c r="J75" s="225"/>
      <c r="K75" s="225"/>
      <c r="L75" s="225"/>
      <c r="M75" s="225"/>
      <c r="N75" s="225"/>
      <c r="O75" s="225"/>
      <c r="P75" s="225"/>
      <c r="Q75" s="225"/>
      <c r="R75" s="225"/>
      <c r="S75" s="225"/>
      <c r="T75" s="225"/>
      <c r="U75" s="225"/>
      <c r="V75" s="225"/>
      <c r="W75" s="225"/>
      <c r="X75" s="225"/>
      <c r="Y75" s="225"/>
      <c r="Z75" s="225"/>
    </row>
    <row r="76" spans="1:31" x14ac:dyDescent="0.2">
      <c r="A76" s="225"/>
      <c r="B76" s="225"/>
      <c r="C76" s="225"/>
      <c r="D76" s="225"/>
      <c r="E76" s="225"/>
      <c r="F76" s="225"/>
      <c r="G76" s="225"/>
      <c r="H76" s="225"/>
      <c r="I76" s="225"/>
      <c r="J76" s="225"/>
      <c r="K76" s="225"/>
      <c r="L76" s="225"/>
      <c r="M76" s="225"/>
      <c r="N76" s="225"/>
      <c r="O76" s="225"/>
      <c r="P76" s="225"/>
      <c r="Q76" s="225"/>
      <c r="R76" s="225"/>
      <c r="S76" s="225"/>
      <c r="T76" s="225"/>
      <c r="U76" s="225"/>
      <c r="V76" s="225"/>
      <c r="W76" s="225"/>
      <c r="X76" s="225"/>
      <c r="Y76" s="225"/>
      <c r="Z76" s="225"/>
    </row>
    <row r="77" spans="1:31" x14ac:dyDescent="0.2">
      <c r="A77" s="225"/>
      <c r="B77" s="225"/>
      <c r="C77" s="225"/>
      <c r="D77" s="225"/>
      <c r="E77" s="225"/>
      <c r="F77" s="225"/>
      <c r="G77" s="225"/>
      <c r="H77" s="225"/>
      <c r="I77" s="225"/>
      <c r="J77" s="225"/>
      <c r="K77" s="225"/>
      <c r="L77" s="225"/>
      <c r="M77" s="225"/>
      <c r="N77" s="225"/>
      <c r="O77" s="225"/>
      <c r="P77" s="225"/>
      <c r="Q77" s="225"/>
      <c r="R77" s="225"/>
      <c r="S77" s="225"/>
      <c r="T77" s="225"/>
      <c r="U77" s="225"/>
      <c r="V77" s="225"/>
      <c r="W77" s="225"/>
      <c r="X77" s="225"/>
      <c r="Y77" s="225"/>
      <c r="Z77" s="225"/>
    </row>
    <row r="78" spans="1:31" x14ac:dyDescent="0.2">
      <c r="A78" s="225"/>
      <c r="B78" s="225"/>
      <c r="C78" s="225"/>
      <c r="D78" s="225"/>
      <c r="E78" s="225"/>
      <c r="F78" s="225"/>
      <c r="G78" s="225"/>
      <c r="H78" s="225"/>
      <c r="I78" s="225"/>
      <c r="J78" s="225"/>
      <c r="K78" s="225"/>
      <c r="L78" s="225"/>
      <c r="M78" s="225"/>
      <c r="N78" s="225"/>
      <c r="O78" s="225"/>
      <c r="P78" s="225"/>
      <c r="Q78" s="225"/>
      <c r="R78" s="225"/>
      <c r="S78" s="225"/>
      <c r="T78" s="225"/>
      <c r="U78" s="225"/>
      <c r="V78" s="225"/>
      <c r="W78" s="225"/>
      <c r="X78" s="225"/>
      <c r="Y78" s="225"/>
      <c r="Z78" s="225"/>
    </row>
    <row r="79" spans="1:31" x14ac:dyDescent="0.2">
      <c r="A79" s="225"/>
      <c r="B79" s="225"/>
      <c r="C79" s="215"/>
      <c r="D79" s="215"/>
      <c r="E79" s="215"/>
      <c r="F79" s="215"/>
      <c r="G79" s="215"/>
      <c r="H79" s="215"/>
      <c r="I79" s="215"/>
      <c r="J79" s="215"/>
      <c r="K79" s="215"/>
      <c r="L79" s="215"/>
      <c r="M79" s="215"/>
      <c r="N79" s="225"/>
      <c r="O79" s="225"/>
      <c r="P79" s="225"/>
      <c r="Q79" s="225"/>
      <c r="R79" s="225"/>
      <c r="S79" s="225"/>
      <c r="T79" s="225"/>
      <c r="U79" s="225"/>
      <c r="V79" s="225"/>
      <c r="W79" s="225"/>
      <c r="X79" s="225"/>
      <c r="Y79" s="225"/>
      <c r="Z79" s="225"/>
    </row>
    <row r="80" spans="1:31" x14ac:dyDescent="0.2">
      <c r="A80" s="215"/>
      <c r="B80" s="215"/>
      <c r="N80" s="215"/>
      <c r="O80" s="215"/>
      <c r="P80" s="215"/>
      <c r="Q80" s="215"/>
      <c r="R80" s="215"/>
      <c r="S80" s="215"/>
      <c r="T80" s="215"/>
      <c r="U80" s="215"/>
      <c r="V80" s="215"/>
      <c r="W80" s="215"/>
      <c r="X80" s="215"/>
      <c r="Y80" s="215"/>
      <c r="Z80" s="215"/>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6"/>
  <sheetViews>
    <sheetView zoomScale="70" zoomScaleNormal="70" workbookViewId="0">
      <selection activeCell="E13" sqref="E13"/>
    </sheetView>
  </sheetViews>
  <sheetFormatPr defaultColWidth="9.140625" defaultRowHeight="18" x14ac:dyDescent="0.25"/>
  <cols>
    <col min="1" max="1" width="14.28515625" style="232" customWidth="1"/>
    <col min="2" max="2" width="7.42578125" style="232" customWidth="1"/>
    <col min="3" max="3" width="11.5703125" style="232" bestFit="1" customWidth="1"/>
    <col min="4" max="4" width="36.85546875" style="232" customWidth="1"/>
    <col min="5" max="5" width="37" style="232" bestFit="1" customWidth="1"/>
    <col min="6" max="6" width="51.42578125" style="232" bestFit="1" customWidth="1"/>
    <col min="7" max="7" width="9.7109375" style="234" customWidth="1"/>
    <col min="8" max="8" width="43.5703125" style="234" bestFit="1" customWidth="1"/>
    <col min="9" max="9" width="56.28515625" style="234" bestFit="1" customWidth="1"/>
    <col min="10" max="10" width="5.28515625" style="234" customWidth="1"/>
    <col min="11" max="11" width="9.140625" style="234"/>
    <col min="12" max="12" width="29.7109375" style="234" customWidth="1"/>
    <col min="13" max="16384" width="9.140625" style="234"/>
  </cols>
  <sheetData>
    <row r="1" spans="1:12" x14ac:dyDescent="0.25">
      <c r="A1" s="239" t="s">
        <v>485</v>
      </c>
      <c r="B1" s="239"/>
      <c r="C1" s="239"/>
      <c r="D1" s="239"/>
      <c r="E1" s="239"/>
      <c r="F1" s="239"/>
      <c r="H1" s="240">
        <v>43373</v>
      </c>
      <c r="I1" s="233" t="s">
        <v>245</v>
      </c>
      <c r="L1" s="241"/>
    </row>
    <row r="2" spans="1:12" x14ac:dyDescent="0.25">
      <c r="A2" s="239" t="s">
        <v>486</v>
      </c>
      <c r="B2" s="239"/>
      <c r="C2" s="239"/>
      <c r="D2" s="239"/>
      <c r="E2" s="239"/>
      <c r="F2" s="239"/>
      <c r="H2" s="242">
        <v>43346</v>
      </c>
      <c r="I2" s="234" t="s">
        <v>466</v>
      </c>
    </row>
    <row r="3" spans="1:12" x14ac:dyDescent="0.25">
      <c r="A3" s="239" t="s">
        <v>246</v>
      </c>
      <c r="B3" s="239" t="s">
        <v>211</v>
      </c>
      <c r="C3" s="239" t="s">
        <v>121</v>
      </c>
      <c r="D3" s="239" t="s">
        <v>122</v>
      </c>
      <c r="E3" s="239" t="s">
        <v>145</v>
      </c>
      <c r="F3" s="239" t="s">
        <v>253</v>
      </c>
      <c r="H3" s="242">
        <v>43347</v>
      </c>
      <c r="I3" s="234" t="s">
        <v>372</v>
      </c>
    </row>
    <row r="4" spans="1:12" x14ac:dyDescent="0.25">
      <c r="A4" s="232" t="s">
        <v>410</v>
      </c>
      <c r="C4" s="232" t="s">
        <v>487</v>
      </c>
      <c r="D4" s="232" t="s">
        <v>488</v>
      </c>
      <c r="E4" s="232" t="s">
        <v>138</v>
      </c>
      <c r="F4" s="232" t="s">
        <v>521</v>
      </c>
      <c r="H4" s="242">
        <v>43347</v>
      </c>
      <c r="I4" s="234" t="s">
        <v>373</v>
      </c>
    </row>
    <row r="5" spans="1:12" x14ac:dyDescent="0.25">
      <c r="A5" s="232" t="s">
        <v>410</v>
      </c>
      <c r="C5" s="232" t="s">
        <v>489</v>
      </c>
      <c r="D5" s="232" t="s">
        <v>490</v>
      </c>
      <c r="E5" s="232" t="s">
        <v>161</v>
      </c>
      <c r="F5" s="232" t="s">
        <v>522</v>
      </c>
      <c r="H5" s="242">
        <v>43347</v>
      </c>
      <c r="I5" s="234" t="s">
        <v>374</v>
      </c>
    </row>
    <row r="6" spans="1:12" x14ac:dyDescent="0.25">
      <c r="A6" s="232" t="s">
        <v>491</v>
      </c>
      <c r="C6" s="232" t="s">
        <v>492</v>
      </c>
      <c r="D6" s="232" t="s">
        <v>493</v>
      </c>
      <c r="E6" s="232" t="s">
        <v>161</v>
      </c>
      <c r="F6" s="232" t="s">
        <v>523</v>
      </c>
      <c r="H6" s="242">
        <v>43348</v>
      </c>
      <c r="I6" s="234" t="s">
        <v>432</v>
      </c>
    </row>
    <row r="7" spans="1:12" x14ac:dyDescent="0.25">
      <c r="A7" s="232" t="s">
        <v>491</v>
      </c>
      <c r="B7" s="232" t="s">
        <v>211</v>
      </c>
      <c r="C7" s="232" t="s">
        <v>494</v>
      </c>
      <c r="D7" s="232" t="s">
        <v>495</v>
      </c>
      <c r="E7" s="232" t="s">
        <v>138</v>
      </c>
      <c r="F7" s="232" t="s">
        <v>524</v>
      </c>
      <c r="H7" s="242">
        <v>43348</v>
      </c>
      <c r="I7" s="234" t="s">
        <v>467</v>
      </c>
    </row>
    <row r="8" spans="1:12" x14ac:dyDescent="0.25">
      <c r="A8" s="232" t="s">
        <v>440</v>
      </c>
      <c r="C8" s="232" t="s">
        <v>496</v>
      </c>
      <c r="D8" s="232" t="s">
        <v>497</v>
      </c>
      <c r="E8" s="232" t="s">
        <v>138</v>
      </c>
      <c r="F8" s="232" t="s">
        <v>525</v>
      </c>
      <c r="H8" s="242">
        <v>43349</v>
      </c>
      <c r="I8" s="234" t="s">
        <v>468</v>
      </c>
    </row>
    <row r="9" spans="1:12" x14ac:dyDescent="0.25">
      <c r="A9" s="232" t="s">
        <v>397</v>
      </c>
      <c r="C9" s="232" t="s">
        <v>498</v>
      </c>
      <c r="D9" s="232" t="s">
        <v>499</v>
      </c>
      <c r="E9" s="232" t="s">
        <v>159</v>
      </c>
      <c r="F9" s="232" t="s">
        <v>526</v>
      </c>
      <c r="H9" s="242">
        <v>43349</v>
      </c>
      <c r="I9" s="234" t="s">
        <v>469</v>
      </c>
    </row>
    <row r="10" spans="1:12" x14ac:dyDescent="0.25">
      <c r="A10" s="232" t="s">
        <v>397</v>
      </c>
      <c r="C10" s="232" t="s">
        <v>500</v>
      </c>
      <c r="D10" s="232" t="s">
        <v>501</v>
      </c>
      <c r="E10" s="232" t="s">
        <v>139</v>
      </c>
      <c r="F10" s="232" t="s">
        <v>527</v>
      </c>
      <c r="H10" s="242">
        <v>43349</v>
      </c>
      <c r="I10" s="234" t="s">
        <v>458</v>
      </c>
    </row>
    <row r="11" spans="1:12" x14ac:dyDescent="0.25">
      <c r="A11" s="232" t="s">
        <v>397</v>
      </c>
      <c r="C11" s="232" t="s">
        <v>502</v>
      </c>
      <c r="D11" s="232" t="s">
        <v>503</v>
      </c>
      <c r="E11" s="232" t="s">
        <v>139</v>
      </c>
      <c r="F11" s="232" t="s">
        <v>527</v>
      </c>
      <c r="H11" s="242">
        <v>43349</v>
      </c>
      <c r="I11" s="234" t="s">
        <v>311</v>
      </c>
    </row>
    <row r="12" spans="1:12" x14ac:dyDescent="0.25">
      <c r="H12" s="242">
        <v>43349</v>
      </c>
      <c r="I12" s="234" t="s">
        <v>441</v>
      </c>
    </row>
    <row r="13" spans="1:12" x14ac:dyDescent="0.25">
      <c r="H13" s="242">
        <v>43349</v>
      </c>
      <c r="I13" s="234" t="s">
        <v>355</v>
      </c>
    </row>
    <row r="14" spans="1:12" x14ac:dyDescent="0.25">
      <c r="H14" s="242">
        <v>43350</v>
      </c>
      <c r="I14" s="234" t="s">
        <v>442</v>
      </c>
    </row>
    <row r="15" spans="1:12" x14ac:dyDescent="0.25">
      <c r="A15" s="239" t="s">
        <v>504</v>
      </c>
      <c r="B15" s="239"/>
      <c r="C15" s="239"/>
      <c r="D15" s="239"/>
      <c r="E15" s="239"/>
      <c r="F15" s="239"/>
      <c r="H15" s="242">
        <v>43354</v>
      </c>
      <c r="I15" s="234" t="s">
        <v>470</v>
      </c>
    </row>
    <row r="16" spans="1:12" x14ac:dyDescent="0.25">
      <c r="A16" s="239" t="s">
        <v>505</v>
      </c>
      <c r="B16" s="239"/>
      <c r="C16" s="239"/>
      <c r="D16" s="239"/>
      <c r="E16" s="239"/>
      <c r="F16" s="239"/>
      <c r="H16" s="242">
        <v>43354</v>
      </c>
      <c r="I16" s="234" t="s">
        <v>394</v>
      </c>
    </row>
    <row r="17" spans="1:9" x14ac:dyDescent="0.25">
      <c r="A17" s="239" t="s">
        <v>246</v>
      </c>
      <c r="B17" s="239" t="s">
        <v>211</v>
      </c>
      <c r="C17" s="239" t="s">
        <v>121</v>
      </c>
      <c r="D17" s="239" t="s">
        <v>122</v>
      </c>
      <c r="E17" s="239" t="s">
        <v>145</v>
      </c>
      <c r="F17" s="239" t="s">
        <v>253</v>
      </c>
      <c r="H17" s="242">
        <v>43354</v>
      </c>
      <c r="I17" s="234" t="s">
        <v>471</v>
      </c>
    </row>
    <row r="18" spans="1:9" x14ac:dyDescent="0.25">
      <c r="A18" s="232" t="s">
        <v>410</v>
      </c>
      <c r="C18" s="232" t="s">
        <v>506</v>
      </c>
      <c r="D18" s="232" t="s">
        <v>507</v>
      </c>
      <c r="E18" s="232" t="s">
        <v>159</v>
      </c>
      <c r="F18" s="232" t="s">
        <v>528</v>
      </c>
      <c r="G18" s="232"/>
      <c r="H18" s="242">
        <v>43355</v>
      </c>
      <c r="I18" s="234" t="s">
        <v>376</v>
      </c>
    </row>
    <row r="19" spans="1:9" x14ac:dyDescent="0.25">
      <c r="A19" s="232" t="s">
        <v>410</v>
      </c>
      <c r="C19" s="232" t="s">
        <v>508</v>
      </c>
      <c r="D19" s="232" t="s">
        <v>509</v>
      </c>
      <c r="E19" s="232" t="s">
        <v>139</v>
      </c>
      <c r="F19" s="232" t="s">
        <v>529</v>
      </c>
      <c r="G19" s="232"/>
      <c r="H19" s="242">
        <v>43355</v>
      </c>
      <c r="I19" s="234" t="s">
        <v>472</v>
      </c>
    </row>
    <row r="20" spans="1:9" x14ac:dyDescent="0.25">
      <c r="A20" s="232" t="s">
        <v>397</v>
      </c>
      <c r="C20" s="232" t="s">
        <v>513</v>
      </c>
      <c r="D20" s="232" t="s">
        <v>514</v>
      </c>
      <c r="E20" s="232" t="s">
        <v>139</v>
      </c>
      <c r="F20" s="232" t="s">
        <v>530</v>
      </c>
      <c r="G20" s="232"/>
      <c r="H20" s="242">
        <v>43356</v>
      </c>
      <c r="I20" s="234" t="s">
        <v>473</v>
      </c>
    </row>
    <row r="21" spans="1:9" x14ac:dyDescent="0.25">
      <c r="A21" s="232" t="s">
        <v>445</v>
      </c>
      <c r="C21" s="232" t="s">
        <v>510</v>
      </c>
      <c r="D21" s="232" t="s">
        <v>511</v>
      </c>
      <c r="E21" s="232" t="s">
        <v>139</v>
      </c>
      <c r="F21" s="232" t="s">
        <v>531</v>
      </c>
      <c r="G21" s="232"/>
      <c r="H21" s="242">
        <v>43356</v>
      </c>
      <c r="I21" s="234" t="s">
        <v>352</v>
      </c>
    </row>
    <row r="22" spans="1:9" x14ac:dyDescent="0.25">
      <c r="G22" s="232"/>
      <c r="H22" s="242">
        <v>43357</v>
      </c>
      <c r="I22" s="234" t="s">
        <v>443</v>
      </c>
    </row>
    <row r="23" spans="1:9" x14ac:dyDescent="0.25">
      <c r="G23" s="232"/>
      <c r="H23" s="242">
        <v>43357</v>
      </c>
      <c r="I23" s="234" t="s">
        <v>312</v>
      </c>
    </row>
    <row r="24" spans="1:9" x14ac:dyDescent="0.25">
      <c r="G24" s="232"/>
      <c r="H24" s="242">
        <v>43357</v>
      </c>
      <c r="I24" s="234" t="s">
        <v>474</v>
      </c>
    </row>
    <row r="25" spans="1:9" x14ac:dyDescent="0.25">
      <c r="A25" s="239" t="s">
        <v>532</v>
      </c>
      <c r="B25" s="239"/>
      <c r="C25" s="239"/>
      <c r="D25" s="239"/>
      <c r="E25" s="239"/>
      <c r="F25" s="239"/>
      <c r="G25" s="232"/>
      <c r="H25" s="242">
        <v>43361</v>
      </c>
      <c r="I25" s="234" t="s">
        <v>475</v>
      </c>
    </row>
    <row r="26" spans="1:9" x14ac:dyDescent="0.25">
      <c r="A26" s="239" t="s">
        <v>533</v>
      </c>
      <c r="B26" s="239"/>
      <c r="C26" s="239"/>
      <c r="D26" s="239"/>
      <c r="E26" s="239"/>
      <c r="F26" s="239"/>
      <c r="G26" s="232"/>
      <c r="H26" s="242">
        <v>43361</v>
      </c>
      <c r="I26" s="234" t="s">
        <v>476</v>
      </c>
    </row>
    <row r="27" spans="1:9" x14ac:dyDescent="0.25">
      <c r="A27" s="239" t="s">
        <v>246</v>
      </c>
      <c r="B27" s="239" t="s">
        <v>211</v>
      </c>
      <c r="C27" s="239" t="s">
        <v>121</v>
      </c>
      <c r="D27" s="239" t="s">
        <v>122</v>
      </c>
      <c r="E27" s="239" t="s">
        <v>145</v>
      </c>
      <c r="F27" s="239" t="s">
        <v>253</v>
      </c>
      <c r="G27" s="232"/>
      <c r="H27" s="242">
        <v>43362</v>
      </c>
      <c r="I27" s="234" t="s">
        <v>477</v>
      </c>
    </row>
    <row r="28" spans="1:9" x14ac:dyDescent="0.25">
      <c r="A28" s="232" t="s">
        <v>440</v>
      </c>
      <c r="C28" s="232" t="s">
        <v>534</v>
      </c>
      <c r="D28" s="232" t="s">
        <v>535</v>
      </c>
      <c r="E28" s="232" t="s">
        <v>161</v>
      </c>
      <c r="F28" s="232" t="s">
        <v>536</v>
      </c>
      <c r="G28" s="232"/>
      <c r="H28" s="242">
        <v>43363</v>
      </c>
      <c r="I28" s="234" t="s">
        <v>460</v>
      </c>
    </row>
    <row r="29" spans="1:9" x14ac:dyDescent="0.25">
      <c r="A29" s="232" t="s">
        <v>397</v>
      </c>
      <c r="C29" s="232" t="s">
        <v>537</v>
      </c>
      <c r="D29" s="232" t="s">
        <v>538</v>
      </c>
      <c r="E29" s="232" t="s">
        <v>160</v>
      </c>
      <c r="F29" s="232" t="s">
        <v>539</v>
      </c>
      <c r="G29" s="232"/>
      <c r="H29" s="242">
        <v>43363</v>
      </c>
      <c r="I29" s="234" t="s">
        <v>459</v>
      </c>
    </row>
    <row r="30" spans="1:9" x14ac:dyDescent="0.25">
      <c r="A30" s="232" t="s">
        <v>397</v>
      </c>
      <c r="C30" s="232" t="s">
        <v>540</v>
      </c>
      <c r="D30" s="232" t="s">
        <v>541</v>
      </c>
      <c r="E30" s="232" t="s">
        <v>161</v>
      </c>
      <c r="F30" s="232" t="s">
        <v>542</v>
      </c>
      <c r="G30" s="232"/>
      <c r="H30" s="242">
        <v>43364</v>
      </c>
      <c r="I30" s="234" t="s">
        <v>478</v>
      </c>
    </row>
    <row r="31" spans="1:9" x14ac:dyDescent="0.25">
      <c r="A31" s="232" t="s">
        <v>397</v>
      </c>
      <c r="B31" s="232" t="s">
        <v>211</v>
      </c>
      <c r="C31" s="232" t="s">
        <v>543</v>
      </c>
      <c r="D31" s="232" t="s">
        <v>544</v>
      </c>
      <c r="E31" s="232" t="s">
        <v>139</v>
      </c>
      <c r="F31" s="232" t="s">
        <v>545</v>
      </c>
      <c r="G31" s="232"/>
      <c r="H31" s="242">
        <v>43364</v>
      </c>
      <c r="I31" s="234" t="s">
        <v>479</v>
      </c>
    </row>
    <row r="32" spans="1:9" x14ac:dyDescent="0.25">
      <c r="A32" s="232" t="s">
        <v>512</v>
      </c>
      <c r="C32" s="232" t="s">
        <v>546</v>
      </c>
      <c r="D32" s="232" t="s">
        <v>547</v>
      </c>
      <c r="E32" s="232" t="s">
        <v>160</v>
      </c>
      <c r="F32" s="232" t="s">
        <v>548</v>
      </c>
      <c r="G32" s="232"/>
      <c r="H32" s="242">
        <v>43368</v>
      </c>
      <c r="I32" s="234" t="s">
        <v>480</v>
      </c>
    </row>
    <row r="33" spans="1:9" x14ac:dyDescent="0.25">
      <c r="A33" s="232" t="s">
        <v>512</v>
      </c>
      <c r="B33" s="232" t="s">
        <v>211</v>
      </c>
      <c r="C33" s="232" t="s">
        <v>549</v>
      </c>
      <c r="D33" s="232" t="s">
        <v>550</v>
      </c>
      <c r="E33" s="232" t="s">
        <v>160</v>
      </c>
      <c r="F33" s="232" t="s">
        <v>548</v>
      </c>
      <c r="G33" s="232"/>
      <c r="H33" s="242">
        <v>43368</v>
      </c>
      <c r="I33" s="234" t="s">
        <v>431</v>
      </c>
    </row>
    <row r="34" spans="1:9" x14ac:dyDescent="0.25">
      <c r="A34" s="232" t="s">
        <v>512</v>
      </c>
      <c r="C34" s="232" t="s">
        <v>551</v>
      </c>
      <c r="D34" s="232" t="s">
        <v>552</v>
      </c>
      <c r="E34" s="232" t="s">
        <v>160</v>
      </c>
      <c r="F34" s="232" t="s">
        <v>553</v>
      </c>
      <c r="G34" s="232"/>
      <c r="H34" s="242">
        <v>43368</v>
      </c>
      <c r="I34" s="234" t="s">
        <v>481</v>
      </c>
    </row>
    <row r="35" spans="1:9" x14ac:dyDescent="0.25">
      <c r="A35" s="232" t="s">
        <v>512</v>
      </c>
      <c r="C35" s="232" t="s">
        <v>554</v>
      </c>
      <c r="D35" s="232" t="s">
        <v>555</v>
      </c>
      <c r="E35" s="232" t="s">
        <v>160</v>
      </c>
      <c r="F35" s="232" t="s">
        <v>548</v>
      </c>
      <c r="G35" s="232"/>
      <c r="H35" s="242">
        <v>43368</v>
      </c>
      <c r="I35" s="234" t="s">
        <v>409</v>
      </c>
    </row>
    <row r="36" spans="1:9" x14ac:dyDescent="0.25">
      <c r="G36" s="232"/>
      <c r="H36" s="242">
        <v>43369</v>
      </c>
      <c r="I36" s="234" t="s">
        <v>482</v>
      </c>
    </row>
    <row r="37" spans="1:9" x14ac:dyDescent="0.25">
      <c r="G37" s="232"/>
      <c r="H37" s="242">
        <v>43369</v>
      </c>
      <c r="I37" s="234" t="s">
        <v>483</v>
      </c>
    </row>
    <row r="38" spans="1:9" x14ac:dyDescent="0.25">
      <c r="G38" s="232"/>
      <c r="H38" s="242">
        <v>43369</v>
      </c>
      <c r="I38" s="234" t="s">
        <v>484</v>
      </c>
    </row>
    <row r="39" spans="1:9" x14ac:dyDescent="0.25">
      <c r="A39" s="239" t="s">
        <v>556</v>
      </c>
      <c r="B39" s="239"/>
      <c r="C39" s="239"/>
      <c r="D39" s="239"/>
      <c r="E39" s="239"/>
      <c r="F39" s="239"/>
      <c r="G39" s="232"/>
      <c r="H39" s="242">
        <v>43370</v>
      </c>
      <c r="I39" s="234" t="s">
        <v>329</v>
      </c>
    </row>
    <row r="40" spans="1:9" x14ac:dyDescent="0.25">
      <c r="A40" s="239" t="s">
        <v>557</v>
      </c>
      <c r="B40" s="239"/>
      <c r="C40" s="239"/>
      <c r="D40" s="239"/>
      <c r="E40" s="239"/>
      <c r="F40" s="239"/>
      <c r="G40" s="232"/>
      <c r="H40" s="242">
        <v>43370</v>
      </c>
      <c r="I40" s="234" t="s">
        <v>462</v>
      </c>
    </row>
    <row r="41" spans="1:9" x14ac:dyDescent="0.25">
      <c r="A41" s="239" t="s">
        <v>246</v>
      </c>
      <c r="B41" s="239" t="s">
        <v>211</v>
      </c>
      <c r="C41" s="239" t="s">
        <v>121</v>
      </c>
      <c r="D41" s="239" t="s">
        <v>122</v>
      </c>
      <c r="E41" s="239" t="s">
        <v>145</v>
      </c>
      <c r="F41" s="239" t="s">
        <v>253</v>
      </c>
      <c r="G41" s="232"/>
      <c r="H41" s="242">
        <v>43370</v>
      </c>
      <c r="I41" s="234" t="s">
        <v>461</v>
      </c>
    </row>
    <row r="42" spans="1:9" x14ac:dyDescent="0.25">
      <c r="A42" s="232" t="s">
        <v>558</v>
      </c>
      <c r="C42" s="232" t="s">
        <v>559</v>
      </c>
      <c r="D42" s="232" t="s">
        <v>560</v>
      </c>
      <c r="E42" s="232" t="s">
        <v>160</v>
      </c>
      <c r="F42" s="232" t="s">
        <v>548</v>
      </c>
      <c r="G42" s="232"/>
      <c r="H42" s="242">
        <v>43370</v>
      </c>
      <c r="I42" s="234" t="s">
        <v>463</v>
      </c>
    </row>
    <row r="43" spans="1:9" x14ac:dyDescent="0.25">
      <c r="A43" s="232" t="s">
        <v>558</v>
      </c>
      <c r="C43" s="232" t="s">
        <v>561</v>
      </c>
      <c r="D43" s="232" t="s">
        <v>562</v>
      </c>
      <c r="E43" s="232" t="s">
        <v>160</v>
      </c>
      <c r="F43" s="232" t="s">
        <v>563</v>
      </c>
      <c r="G43" s="232"/>
      <c r="H43" s="242">
        <v>43370</v>
      </c>
      <c r="I43" s="234" t="s">
        <v>408</v>
      </c>
    </row>
    <row r="44" spans="1:9" x14ac:dyDescent="0.25">
      <c r="A44" s="232" t="s">
        <v>410</v>
      </c>
      <c r="C44" s="232" t="s">
        <v>564</v>
      </c>
      <c r="D44" s="232" t="s">
        <v>565</v>
      </c>
      <c r="E44" s="232" t="s">
        <v>160</v>
      </c>
      <c r="F44" s="232" t="s">
        <v>553</v>
      </c>
      <c r="G44" s="232"/>
      <c r="H44" s="242">
        <v>43370</v>
      </c>
      <c r="I44" s="234" t="s">
        <v>439</v>
      </c>
    </row>
    <row r="45" spans="1:9" x14ac:dyDescent="0.25">
      <c r="A45" s="232" t="s">
        <v>410</v>
      </c>
      <c r="B45" s="232" t="s">
        <v>211</v>
      </c>
      <c r="C45" s="232" t="s">
        <v>566</v>
      </c>
      <c r="D45" s="232" t="s">
        <v>567</v>
      </c>
      <c r="E45" s="232" t="s">
        <v>160</v>
      </c>
      <c r="F45" s="232" t="s">
        <v>563</v>
      </c>
      <c r="G45" s="232"/>
      <c r="H45" s="242">
        <v>43370</v>
      </c>
      <c r="I45" s="234" t="s">
        <v>313</v>
      </c>
    </row>
    <row r="46" spans="1:9" x14ac:dyDescent="0.25">
      <c r="A46" s="232" t="s">
        <v>410</v>
      </c>
      <c r="C46" s="232" t="s">
        <v>568</v>
      </c>
      <c r="D46" s="232" t="s">
        <v>569</v>
      </c>
      <c r="E46" s="232" t="s">
        <v>161</v>
      </c>
      <c r="F46" s="232" t="s">
        <v>536</v>
      </c>
      <c r="G46" s="232"/>
      <c r="H46" s="242">
        <v>43371</v>
      </c>
      <c r="I46" s="234" t="s">
        <v>382</v>
      </c>
    </row>
    <row r="47" spans="1:9" x14ac:dyDescent="0.25">
      <c r="A47" s="232" t="s">
        <v>410</v>
      </c>
      <c r="C47" s="232" t="s">
        <v>570</v>
      </c>
      <c r="D47" s="232" t="s">
        <v>571</v>
      </c>
      <c r="E47" s="232" t="s">
        <v>161</v>
      </c>
      <c r="F47" s="232" t="s">
        <v>572</v>
      </c>
      <c r="G47" s="232"/>
      <c r="H47" s="242">
        <v>43371</v>
      </c>
      <c r="I47" s="234" t="s">
        <v>371</v>
      </c>
    </row>
    <row r="48" spans="1:9" s="233" customFormat="1" x14ac:dyDescent="0.25">
      <c r="A48" s="232" t="s">
        <v>410</v>
      </c>
      <c r="B48" s="232" t="s">
        <v>211</v>
      </c>
      <c r="C48" s="232" t="s">
        <v>573</v>
      </c>
      <c r="D48" s="232" t="s">
        <v>574</v>
      </c>
      <c r="E48" s="232" t="s">
        <v>140</v>
      </c>
      <c r="F48" s="232" t="s">
        <v>575</v>
      </c>
      <c r="G48" s="239"/>
      <c r="H48" s="249" t="s">
        <v>249</v>
      </c>
      <c r="I48" s="234" t="s">
        <v>247</v>
      </c>
    </row>
    <row r="49" spans="1:9" s="233" customFormat="1" x14ac:dyDescent="0.25">
      <c r="A49" s="232" t="s">
        <v>410</v>
      </c>
      <c r="B49" s="232"/>
      <c r="C49" s="232" t="s">
        <v>576</v>
      </c>
      <c r="D49" s="232" t="s">
        <v>577</v>
      </c>
      <c r="E49" s="232" t="s">
        <v>160</v>
      </c>
      <c r="F49" s="232" t="s">
        <v>563</v>
      </c>
      <c r="G49" s="239"/>
      <c r="H49" s="249" t="s">
        <v>249</v>
      </c>
      <c r="I49" s="234" t="s">
        <v>248</v>
      </c>
    </row>
    <row r="50" spans="1:9" s="233" customFormat="1" x14ac:dyDescent="0.25">
      <c r="A50" s="232" t="s">
        <v>410</v>
      </c>
      <c r="B50" s="232"/>
      <c r="C50" s="232" t="s">
        <v>578</v>
      </c>
      <c r="D50" s="232" t="s">
        <v>579</v>
      </c>
      <c r="E50" s="232" t="s">
        <v>138</v>
      </c>
      <c r="F50" s="232" t="s">
        <v>580</v>
      </c>
      <c r="G50" s="239"/>
      <c r="H50" s="249" t="s">
        <v>385</v>
      </c>
      <c r="I50" s="234" t="s">
        <v>386</v>
      </c>
    </row>
    <row r="51" spans="1:9" s="233" customFormat="1" x14ac:dyDescent="0.25">
      <c r="A51" s="232" t="s">
        <v>410</v>
      </c>
      <c r="B51" s="232"/>
      <c r="C51" s="232" t="s">
        <v>581</v>
      </c>
      <c r="D51" s="232" t="s">
        <v>582</v>
      </c>
      <c r="E51" s="232" t="s">
        <v>160</v>
      </c>
      <c r="F51" s="232" t="s">
        <v>583</v>
      </c>
      <c r="G51" s="239"/>
    </row>
    <row r="52" spans="1:9" s="233" customFormat="1" x14ac:dyDescent="0.25">
      <c r="A52" s="232" t="s">
        <v>410</v>
      </c>
      <c r="B52" s="232"/>
      <c r="C52" s="232" t="s">
        <v>584</v>
      </c>
      <c r="D52" s="232" t="s">
        <v>585</v>
      </c>
      <c r="E52" s="232" t="s">
        <v>333</v>
      </c>
      <c r="F52" s="232" t="s">
        <v>586</v>
      </c>
      <c r="G52" s="239"/>
    </row>
    <row r="53" spans="1:9" s="233" customFormat="1" x14ac:dyDescent="0.25">
      <c r="A53" s="232" t="s">
        <v>410</v>
      </c>
      <c r="B53" s="232" t="s">
        <v>211</v>
      </c>
      <c r="C53" s="232" t="s">
        <v>587</v>
      </c>
      <c r="D53" s="232" t="s">
        <v>588</v>
      </c>
      <c r="E53" s="232" t="s">
        <v>140</v>
      </c>
      <c r="F53" s="232" t="s">
        <v>589</v>
      </c>
      <c r="G53" s="239"/>
    </row>
    <row r="54" spans="1:9" x14ac:dyDescent="0.25">
      <c r="A54" s="232" t="s">
        <v>491</v>
      </c>
      <c r="C54" s="232" t="s">
        <v>590</v>
      </c>
      <c r="D54" s="232" t="s">
        <v>591</v>
      </c>
      <c r="E54" s="232" t="s">
        <v>161</v>
      </c>
      <c r="F54" s="232" t="s">
        <v>592</v>
      </c>
      <c r="G54" s="232"/>
    </row>
    <row r="55" spans="1:9" x14ac:dyDescent="0.25">
      <c r="A55" s="232" t="s">
        <v>491</v>
      </c>
      <c r="B55" s="232" t="s">
        <v>211</v>
      </c>
      <c r="C55" s="232" t="s">
        <v>593</v>
      </c>
      <c r="D55" s="232" t="s">
        <v>594</v>
      </c>
      <c r="E55" s="232" t="s">
        <v>159</v>
      </c>
      <c r="F55" s="232" t="s">
        <v>526</v>
      </c>
      <c r="G55" s="232"/>
    </row>
    <row r="56" spans="1:9" x14ac:dyDescent="0.25">
      <c r="A56" s="232" t="s">
        <v>491</v>
      </c>
      <c r="C56" s="232" t="s">
        <v>595</v>
      </c>
      <c r="D56" s="232" t="s">
        <v>596</v>
      </c>
      <c r="E56" s="232" t="s">
        <v>159</v>
      </c>
      <c r="F56" s="232" t="s">
        <v>597</v>
      </c>
      <c r="G56" s="232"/>
    </row>
    <row r="57" spans="1:9" x14ac:dyDescent="0.25">
      <c r="A57" s="232" t="s">
        <v>491</v>
      </c>
      <c r="C57" s="232" t="s">
        <v>598</v>
      </c>
      <c r="D57" s="232" t="s">
        <v>599</v>
      </c>
      <c r="E57" s="232" t="s">
        <v>138</v>
      </c>
      <c r="F57" s="232" t="s">
        <v>600</v>
      </c>
      <c r="G57" s="232"/>
    </row>
    <row r="58" spans="1:9" x14ac:dyDescent="0.25">
      <c r="A58" s="232" t="s">
        <v>440</v>
      </c>
      <c r="C58" s="232" t="s">
        <v>601</v>
      </c>
      <c r="D58" s="232" t="s">
        <v>602</v>
      </c>
      <c r="E58" s="232" t="s">
        <v>140</v>
      </c>
      <c r="F58" s="232" t="s">
        <v>603</v>
      </c>
      <c r="G58" s="232"/>
    </row>
    <row r="59" spans="1:9" x14ac:dyDescent="0.25">
      <c r="A59" s="232" t="s">
        <v>440</v>
      </c>
      <c r="C59" s="232" t="s">
        <v>604</v>
      </c>
      <c r="D59" s="232" t="s">
        <v>605</v>
      </c>
      <c r="E59" s="232" t="s">
        <v>160</v>
      </c>
      <c r="F59" s="232" t="s">
        <v>553</v>
      </c>
      <c r="G59" s="232"/>
    </row>
    <row r="60" spans="1:9" s="233" customFormat="1" x14ac:dyDescent="0.25">
      <c r="A60" s="232" t="s">
        <v>440</v>
      </c>
      <c r="B60" s="232"/>
      <c r="C60" s="232" t="s">
        <v>606</v>
      </c>
      <c r="D60" s="232" t="s">
        <v>607</v>
      </c>
      <c r="E60" s="232" t="s">
        <v>160</v>
      </c>
      <c r="F60" s="232" t="s">
        <v>539</v>
      </c>
      <c r="G60" s="239"/>
    </row>
    <row r="61" spans="1:9" s="233" customFormat="1" x14ac:dyDescent="0.25">
      <c r="A61" s="232" t="s">
        <v>440</v>
      </c>
      <c r="B61" s="232"/>
      <c r="C61" s="232" t="s">
        <v>608</v>
      </c>
      <c r="D61" s="232" t="s">
        <v>609</v>
      </c>
      <c r="E61" s="232" t="s">
        <v>160</v>
      </c>
      <c r="F61" s="232" t="s">
        <v>548</v>
      </c>
      <c r="G61" s="239"/>
    </row>
    <row r="62" spans="1:9" s="233" customFormat="1" x14ac:dyDescent="0.25">
      <c r="A62" s="232" t="s">
        <v>444</v>
      </c>
      <c r="B62" s="232" t="s">
        <v>211</v>
      </c>
      <c r="C62" s="232" t="s">
        <v>610</v>
      </c>
      <c r="D62" s="232" t="s">
        <v>611</v>
      </c>
      <c r="E62" s="232" t="s">
        <v>160</v>
      </c>
      <c r="F62" s="232" t="s">
        <v>612</v>
      </c>
      <c r="G62" s="239"/>
    </row>
    <row r="63" spans="1:9" x14ac:dyDescent="0.25">
      <c r="A63" s="232" t="s">
        <v>444</v>
      </c>
      <c r="C63" s="232" t="s">
        <v>613</v>
      </c>
      <c r="D63" s="232" t="s">
        <v>614</v>
      </c>
      <c r="E63" s="232" t="s">
        <v>333</v>
      </c>
      <c r="F63" s="232" t="s">
        <v>615</v>
      </c>
      <c r="G63" s="232"/>
    </row>
    <row r="64" spans="1:9" s="233" customFormat="1" x14ac:dyDescent="0.25">
      <c r="A64" s="232" t="s">
        <v>444</v>
      </c>
      <c r="B64" s="232"/>
      <c r="C64" s="232" t="s">
        <v>616</v>
      </c>
      <c r="D64" s="232" t="s">
        <v>617</v>
      </c>
      <c r="E64" s="232" t="s">
        <v>159</v>
      </c>
      <c r="F64" s="232" t="s">
        <v>618</v>
      </c>
      <c r="G64" s="239"/>
      <c r="H64" s="234"/>
      <c r="I64" s="234"/>
    </row>
    <row r="65" spans="1:9" s="233" customFormat="1" x14ac:dyDescent="0.25">
      <c r="A65" s="232" t="s">
        <v>444</v>
      </c>
      <c r="B65" s="232"/>
      <c r="C65" s="232" t="s">
        <v>619</v>
      </c>
      <c r="D65" s="232" t="s">
        <v>620</v>
      </c>
      <c r="E65" s="232" t="s">
        <v>165</v>
      </c>
      <c r="F65" s="232" t="s">
        <v>621</v>
      </c>
      <c r="G65" s="239"/>
    </row>
    <row r="66" spans="1:9" s="233" customFormat="1" x14ac:dyDescent="0.25">
      <c r="A66" s="232" t="s">
        <v>444</v>
      </c>
      <c r="B66" s="232"/>
      <c r="C66" s="232" t="s">
        <v>622</v>
      </c>
      <c r="D66" s="232" t="s">
        <v>623</v>
      </c>
      <c r="E66" s="232" t="s">
        <v>333</v>
      </c>
      <c r="F66" s="232" t="s">
        <v>624</v>
      </c>
      <c r="G66" s="239"/>
    </row>
    <row r="67" spans="1:9" s="233" customFormat="1" x14ac:dyDescent="0.25">
      <c r="A67" s="232" t="s">
        <v>444</v>
      </c>
      <c r="B67" s="232"/>
      <c r="C67" s="232" t="s">
        <v>625</v>
      </c>
      <c r="D67" s="232" t="s">
        <v>626</v>
      </c>
      <c r="E67" s="232" t="s">
        <v>161</v>
      </c>
      <c r="F67" s="232" t="s">
        <v>542</v>
      </c>
      <c r="G67" s="239"/>
    </row>
    <row r="68" spans="1:9" s="233" customFormat="1" x14ac:dyDescent="0.25">
      <c r="A68" s="232" t="s">
        <v>444</v>
      </c>
      <c r="B68" s="232"/>
      <c r="C68" s="232" t="s">
        <v>627</v>
      </c>
      <c r="D68" s="232" t="s">
        <v>628</v>
      </c>
      <c r="E68" s="232" t="s">
        <v>161</v>
      </c>
      <c r="F68" s="232" t="s">
        <v>536</v>
      </c>
      <c r="G68" s="239"/>
      <c r="H68" s="234"/>
      <c r="I68" s="234"/>
    </row>
    <row r="69" spans="1:9" s="233" customFormat="1" x14ac:dyDescent="0.25">
      <c r="A69" s="232" t="s">
        <v>397</v>
      </c>
      <c r="B69" s="232"/>
      <c r="C69" s="232" t="s">
        <v>629</v>
      </c>
      <c r="D69" s="232" t="s">
        <v>630</v>
      </c>
      <c r="E69" s="232" t="s">
        <v>159</v>
      </c>
      <c r="F69" s="232" t="s">
        <v>528</v>
      </c>
      <c r="G69" s="239"/>
      <c r="H69" s="234"/>
      <c r="I69" s="234"/>
    </row>
    <row r="70" spans="1:9" s="233" customFormat="1" x14ac:dyDescent="0.25">
      <c r="A70" s="232" t="s">
        <v>397</v>
      </c>
      <c r="B70" s="232"/>
      <c r="C70" s="232" t="s">
        <v>631</v>
      </c>
      <c r="D70" s="232" t="s">
        <v>632</v>
      </c>
      <c r="E70" s="232" t="s">
        <v>160</v>
      </c>
      <c r="F70" s="232" t="s">
        <v>553</v>
      </c>
      <c r="G70" s="239"/>
      <c r="H70" s="234"/>
      <c r="I70" s="234"/>
    </row>
    <row r="71" spans="1:9" s="233" customFormat="1" x14ac:dyDescent="0.25">
      <c r="A71" s="232" t="s">
        <v>397</v>
      </c>
      <c r="B71" s="232"/>
      <c r="C71" s="232" t="s">
        <v>633</v>
      </c>
      <c r="D71" s="232" t="s">
        <v>634</v>
      </c>
      <c r="E71" s="232" t="s">
        <v>160</v>
      </c>
      <c r="F71" s="232" t="s">
        <v>539</v>
      </c>
      <c r="G71" s="239"/>
      <c r="H71" s="234"/>
      <c r="I71" s="234"/>
    </row>
    <row r="72" spans="1:9" x14ac:dyDescent="0.25">
      <c r="A72" s="232" t="s">
        <v>397</v>
      </c>
      <c r="C72" s="232" t="s">
        <v>635</v>
      </c>
      <c r="D72" s="232" t="s">
        <v>636</v>
      </c>
      <c r="E72" s="232" t="s">
        <v>140</v>
      </c>
      <c r="F72" s="232" t="s">
        <v>603</v>
      </c>
      <c r="G72" s="232"/>
    </row>
    <row r="73" spans="1:9" x14ac:dyDescent="0.25">
      <c r="A73" s="232" t="s">
        <v>397</v>
      </c>
      <c r="C73" s="232" t="s">
        <v>637</v>
      </c>
      <c r="D73" s="232" t="s">
        <v>638</v>
      </c>
      <c r="E73" s="232" t="s">
        <v>161</v>
      </c>
      <c r="F73" s="232" t="s">
        <v>639</v>
      </c>
      <c r="G73" s="232"/>
    </row>
    <row r="74" spans="1:9" x14ac:dyDescent="0.25">
      <c r="A74" s="232" t="s">
        <v>397</v>
      </c>
      <c r="C74" s="232" t="s">
        <v>640</v>
      </c>
      <c r="D74" s="232" t="s">
        <v>641</v>
      </c>
      <c r="E74" s="232" t="s">
        <v>138</v>
      </c>
      <c r="F74" s="232" t="s">
        <v>642</v>
      </c>
      <c r="G74" s="232"/>
    </row>
    <row r="75" spans="1:9" x14ac:dyDescent="0.25">
      <c r="A75" s="232" t="s">
        <v>397</v>
      </c>
      <c r="C75" s="232" t="s">
        <v>643</v>
      </c>
      <c r="D75" s="232" t="s">
        <v>644</v>
      </c>
      <c r="E75" s="232" t="s">
        <v>160</v>
      </c>
      <c r="F75" s="232" t="s">
        <v>553</v>
      </c>
      <c r="G75" s="232"/>
    </row>
    <row r="76" spans="1:9" x14ac:dyDescent="0.25">
      <c r="A76" s="232" t="s">
        <v>397</v>
      </c>
      <c r="C76" s="232" t="s">
        <v>645</v>
      </c>
      <c r="D76" s="232" t="s">
        <v>646</v>
      </c>
      <c r="E76" s="232" t="s">
        <v>162</v>
      </c>
      <c r="F76" s="232" t="s">
        <v>647</v>
      </c>
      <c r="G76" s="232"/>
    </row>
    <row r="77" spans="1:9" x14ac:dyDescent="0.25">
      <c r="A77" s="232" t="s">
        <v>397</v>
      </c>
      <c r="C77" s="232" t="s">
        <v>648</v>
      </c>
      <c r="D77" s="232" t="s">
        <v>649</v>
      </c>
      <c r="E77" s="232" t="s">
        <v>160</v>
      </c>
      <c r="F77" s="232" t="s">
        <v>553</v>
      </c>
      <c r="G77" s="232"/>
    </row>
    <row r="78" spans="1:9" x14ac:dyDescent="0.25">
      <c r="A78" s="232" t="s">
        <v>397</v>
      </c>
      <c r="C78" s="232" t="s">
        <v>650</v>
      </c>
      <c r="D78" s="232" t="s">
        <v>651</v>
      </c>
      <c r="E78" s="232" t="s">
        <v>139</v>
      </c>
      <c r="F78" s="232" t="s">
        <v>652</v>
      </c>
      <c r="G78" s="232"/>
    </row>
    <row r="79" spans="1:9" x14ac:dyDescent="0.25">
      <c r="A79" s="232" t="s">
        <v>397</v>
      </c>
      <c r="C79" s="232" t="s">
        <v>653</v>
      </c>
      <c r="D79" s="232" t="s">
        <v>654</v>
      </c>
      <c r="E79" s="232" t="s">
        <v>162</v>
      </c>
      <c r="F79" s="232" t="s">
        <v>655</v>
      </c>
      <c r="G79" s="232"/>
    </row>
    <row r="80" spans="1:9" x14ac:dyDescent="0.25">
      <c r="A80" s="232" t="s">
        <v>397</v>
      </c>
      <c r="C80" s="232" t="s">
        <v>656</v>
      </c>
      <c r="D80" s="232" t="s">
        <v>657</v>
      </c>
      <c r="E80" s="232" t="s">
        <v>140</v>
      </c>
      <c r="F80" s="232" t="s">
        <v>658</v>
      </c>
      <c r="G80" s="232"/>
    </row>
    <row r="81" spans="1:12" x14ac:dyDescent="0.25">
      <c r="A81" s="232" t="s">
        <v>397</v>
      </c>
      <c r="C81" s="232" t="s">
        <v>659</v>
      </c>
      <c r="D81" s="232" t="s">
        <v>660</v>
      </c>
      <c r="E81" s="232" t="s">
        <v>161</v>
      </c>
      <c r="F81" s="232" t="s">
        <v>639</v>
      </c>
      <c r="G81" s="232"/>
    </row>
    <row r="82" spans="1:12" x14ac:dyDescent="0.25">
      <c r="A82" s="232" t="s">
        <v>397</v>
      </c>
      <c r="C82" s="232" t="s">
        <v>661</v>
      </c>
      <c r="D82" s="232" t="s">
        <v>662</v>
      </c>
      <c r="E82" s="232" t="s">
        <v>161</v>
      </c>
      <c r="F82" s="232" t="s">
        <v>663</v>
      </c>
      <c r="G82" s="232"/>
    </row>
    <row r="83" spans="1:12" x14ac:dyDescent="0.25">
      <c r="A83" s="232" t="s">
        <v>397</v>
      </c>
      <c r="B83" s="232" t="s">
        <v>211</v>
      </c>
      <c r="C83" s="232" t="s">
        <v>664</v>
      </c>
      <c r="D83" s="232" t="s">
        <v>665</v>
      </c>
      <c r="E83" s="232" t="s">
        <v>160</v>
      </c>
      <c r="F83" s="232" t="s">
        <v>583</v>
      </c>
      <c r="G83" s="232"/>
    </row>
    <row r="84" spans="1:12" s="233" customFormat="1" x14ac:dyDescent="0.25">
      <c r="A84" s="232" t="s">
        <v>445</v>
      </c>
      <c r="B84" s="232"/>
      <c r="C84" s="232" t="s">
        <v>666</v>
      </c>
      <c r="D84" s="232" t="s">
        <v>667</v>
      </c>
      <c r="E84" s="232" t="s">
        <v>160</v>
      </c>
      <c r="F84" s="232" t="s">
        <v>563</v>
      </c>
      <c r="G84" s="232"/>
      <c r="H84" s="234"/>
      <c r="I84" s="234"/>
    </row>
    <row r="85" spans="1:12" s="233" customFormat="1" x14ac:dyDescent="0.25">
      <c r="A85" s="232" t="s">
        <v>445</v>
      </c>
      <c r="B85" s="232"/>
      <c r="C85" s="232" t="s">
        <v>668</v>
      </c>
      <c r="D85" s="232" t="s">
        <v>669</v>
      </c>
      <c r="E85" s="232" t="s">
        <v>140</v>
      </c>
      <c r="F85" s="232" t="s">
        <v>603</v>
      </c>
      <c r="G85" s="232"/>
      <c r="H85" s="234"/>
      <c r="I85" s="234"/>
    </row>
    <row r="86" spans="1:12" s="233" customFormat="1" x14ac:dyDescent="0.25">
      <c r="A86" s="232" t="s">
        <v>445</v>
      </c>
      <c r="B86" s="232"/>
      <c r="C86" s="232" t="s">
        <v>670</v>
      </c>
      <c r="D86" s="232" t="s">
        <v>671</v>
      </c>
      <c r="E86" s="232" t="s">
        <v>159</v>
      </c>
      <c r="F86" s="232" t="s">
        <v>528</v>
      </c>
      <c r="G86" s="232"/>
      <c r="H86" s="234"/>
      <c r="I86" s="234"/>
    </row>
    <row r="87" spans="1:12" s="233" customFormat="1" x14ac:dyDescent="0.25">
      <c r="A87" s="232" t="s">
        <v>512</v>
      </c>
      <c r="B87" s="232"/>
      <c r="C87" s="232" t="s">
        <v>672</v>
      </c>
      <c r="D87" s="232" t="s">
        <v>673</v>
      </c>
      <c r="E87" s="232" t="s">
        <v>160</v>
      </c>
      <c r="F87" s="232" t="s">
        <v>553</v>
      </c>
      <c r="G87" s="232"/>
      <c r="H87" s="234"/>
      <c r="I87" s="234"/>
    </row>
    <row r="88" spans="1:12" x14ac:dyDescent="0.25">
      <c r="A88" s="232" t="s">
        <v>512</v>
      </c>
      <c r="C88" s="232" t="s">
        <v>674</v>
      </c>
      <c r="D88" s="232" t="s">
        <v>675</v>
      </c>
      <c r="E88" s="232" t="s">
        <v>161</v>
      </c>
      <c r="F88" s="232" t="s">
        <v>676</v>
      </c>
      <c r="G88" s="232"/>
    </row>
    <row r="89" spans="1:12" x14ac:dyDescent="0.25">
      <c r="A89" s="232" t="s">
        <v>512</v>
      </c>
      <c r="C89" s="232" t="s">
        <v>677</v>
      </c>
      <c r="D89" s="232" t="s">
        <v>678</v>
      </c>
      <c r="E89" s="232" t="s">
        <v>161</v>
      </c>
      <c r="F89" s="232" t="s">
        <v>592</v>
      </c>
      <c r="G89" s="232"/>
    </row>
    <row r="90" spans="1:12" x14ac:dyDescent="0.25">
      <c r="A90" s="232" t="s">
        <v>512</v>
      </c>
      <c r="B90" s="232" t="s">
        <v>211</v>
      </c>
      <c r="C90" s="232" t="s">
        <v>679</v>
      </c>
      <c r="D90" s="232" t="s">
        <v>680</v>
      </c>
      <c r="E90" s="232" t="s">
        <v>139</v>
      </c>
      <c r="F90" s="232" t="s">
        <v>681</v>
      </c>
      <c r="G90" s="232"/>
    </row>
    <row r="91" spans="1:12" x14ac:dyDescent="0.25">
      <c r="A91" s="232" t="s">
        <v>512</v>
      </c>
      <c r="C91" s="232" t="s">
        <v>682</v>
      </c>
      <c r="D91" s="232" t="s">
        <v>683</v>
      </c>
      <c r="E91" s="232" t="s">
        <v>165</v>
      </c>
      <c r="F91" s="232" t="s">
        <v>684</v>
      </c>
      <c r="G91" s="232"/>
      <c r="J91" s="233"/>
      <c r="K91" s="233"/>
      <c r="L91" s="233"/>
    </row>
    <row r="92" spans="1:12" s="233" customFormat="1" x14ac:dyDescent="0.25">
      <c r="A92" s="232" t="s">
        <v>512</v>
      </c>
      <c r="B92" s="232"/>
      <c r="C92" s="232" t="s">
        <v>685</v>
      </c>
      <c r="D92" s="232" t="s">
        <v>686</v>
      </c>
      <c r="E92" s="232" t="s">
        <v>160</v>
      </c>
      <c r="F92" s="232" t="s">
        <v>553</v>
      </c>
      <c r="G92" s="232"/>
      <c r="H92" s="234"/>
      <c r="I92" s="234"/>
    </row>
    <row r="93" spans="1:12" s="233" customFormat="1" x14ac:dyDescent="0.25">
      <c r="A93" s="232" t="s">
        <v>512</v>
      </c>
      <c r="B93" s="232"/>
      <c r="C93" s="232" t="s">
        <v>687</v>
      </c>
      <c r="D93" s="232" t="s">
        <v>688</v>
      </c>
      <c r="E93" s="232" t="s">
        <v>160</v>
      </c>
      <c r="F93" s="232" t="s">
        <v>612</v>
      </c>
      <c r="G93" s="232"/>
      <c r="H93" s="234"/>
      <c r="I93" s="234"/>
    </row>
    <row r="94" spans="1:12" s="233" customFormat="1" x14ac:dyDescent="0.25">
      <c r="A94" s="232"/>
      <c r="B94" s="232"/>
      <c r="C94" s="232"/>
      <c r="D94" s="232"/>
      <c r="E94" s="232"/>
      <c r="F94" s="232"/>
      <c r="G94" s="232"/>
      <c r="H94" s="234"/>
      <c r="I94" s="234"/>
    </row>
    <row r="95" spans="1:12" s="233" customFormat="1" x14ac:dyDescent="0.25">
      <c r="A95" s="232"/>
      <c r="B95" s="232"/>
      <c r="C95" s="232"/>
      <c r="D95" s="232"/>
      <c r="E95" s="232"/>
      <c r="F95" s="232"/>
      <c r="G95" s="232"/>
      <c r="H95" s="234"/>
      <c r="I95" s="234"/>
      <c r="J95" s="234"/>
      <c r="K95" s="234"/>
      <c r="L95" s="234"/>
    </row>
    <row r="96" spans="1:12" x14ac:dyDescent="0.25">
      <c r="G96" s="232"/>
    </row>
    <row r="97" spans="7:7" x14ac:dyDescent="0.25">
      <c r="G97" s="232"/>
    </row>
    <row r="98" spans="7:7" x14ac:dyDescent="0.25">
      <c r="G98" s="232"/>
    </row>
    <row r="99" spans="7:7" x14ac:dyDescent="0.25">
      <c r="G99" s="232"/>
    </row>
    <row r="100" spans="7:7" x14ac:dyDescent="0.25">
      <c r="G100" s="232"/>
    </row>
    <row r="101" spans="7:7" x14ac:dyDescent="0.25">
      <c r="G101" s="232"/>
    </row>
    <row r="102" spans="7:7" x14ac:dyDescent="0.25">
      <c r="G102" s="232"/>
    </row>
    <row r="103" spans="7:7" x14ac:dyDescent="0.25">
      <c r="G103" s="232"/>
    </row>
    <row r="104" spans="7:7" x14ac:dyDescent="0.25">
      <c r="G104" s="232"/>
    </row>
    <row r="105" spans="7:7" x14ac:dyDescent="0.25">
      <c r="G105" s="232"/>
    </row>
    <row r="106" spans="7:7" x14ac:dyDescent="0.25">
      <c r="G106" s="232"/>
    </row>
    <row r="107" spans="7:7" x14ac:dyDescent="0.25">
      <c r="G107" s="232"/>
    </row>
    <row r="108" spans="7:7" x14ac:dyDescent="0.25">
      <c r="G108" s="232"/>
    </row>
    <row r="109" spans="7:7" x14ac:dyDescent="0.25">
      <c r="G109" s="232"/>
    </row>
    <row r="110" spans="7:7" x14ac:dyDescent="0.25">
      <c r="G110" s="232"/>
    </row>
    <row r="111" spans="7:7" x14ac:dyDescent="0.25">
      <c r="G111" s="232"/>
    </row>
    <row r="112" spans="7:7" x14ac:dyDescent="0.25">
      <c r="G112" s="232"/>
    </row>
    <row r="113" spans="7:7" x14ac:dyDescent="0.25">
      <c r="G113" s="232"/>
    </row>
    <row r="114" spans="7:7" x14ac:dyDescent="0.25">
      <c r="G114" s="232"/>
    </row>
    <row r="115" spans="7:7" x14ac:dyDescent="0.25">
      <c r="G115" s="232"/>
    </row>
    <row r="116" spans="7:7" x14ac:dyDescent="0.25">
      <c r="G116" s="232"/>
    </row>
    <row r="117" spans="7:7" x14ac:dyDescent="0.25">
      <c r="G117" s="232"/>
    </row>
    <row r="118" spans="7:7" x14ac:dyDescent="0.25">
      <c r="G118" s="232"/>
    </row>
    <row r="119" spans="7:7" x14ac:dyDescent="0.25">
      <c r="G119" s="232"/>
    </row>
    <row r="120" spans="7:7" x14ac:dyDescent="0.25">
      <c r="G120" s="232"/>
    </row>
    <row r="121" spans="7:7" x14ac:dyDescent="0.25">
      <c r="G121" s="232"/>
    </row>
    <row r="122" spans="7:7" x14ac:dyDescent="0.25">
      <c r="G122" s="232"/>
    </row>
    <row r="123" spans="7:7" x14ac:dyDescent="0.25">
      <c r="G123" s="232"/>
    </row>
    <row r="124" spans="7:7" x14ac:dyDescent="0.25">
      <c r="G124" s="232"/>
    </row>
    <row r="125" spans="7:7" x14ac:dyDescent="0.25">
      <c r="G125" s="232"/>
    </row>
    <row r="126" spans="7:7" x14ac:dyDescent="0.25">
      <c r="G126" s="232"/>
    </row>
    <row r="127" spans="7:7" x14ac:dyDescent="0.25">
      <c r="G127" s="232"/>
    </row>
    <row r="128" spans="7:7" x14ac:dyDescent="0.25">
      <c r="G128" s="232"/>
    </row>
    <row r="129" spans="1:9" x14ac:dyDescent="0.25">
      <c r="G129" s="232"/>
    </row>
    <row r="130" spans="1:9" s="233" customFormat="1" x14ac:dyDescent="0.25">
      <c r="A130" s="232"/>
      <c r="B130" s="232"/>
      <c r="C130" s="232"/>
      <c r="D130" s="232"/>
      <c r="E130" s="232"/>
      <c r="F130" s="232"/>
      <c r="G130" s="239"/>
      <c r="H130" s="234"/>
      <c r="I130" s="234"/>
    </row>
    <row r="131" spans="1:9" s="233" customFormat="1" x14ac:dyDescent="0.25">
      <c r="A131" s="232"/>
      <c r="B131" s="232"/>
      <c r="C131" s="232"/>
      <c r="D131" s="232"/>
      <c r="E131" s="232"/>
      <c r="F131" s="232"/>
      <c r="G131" s="239"/>
      <c r="H131" s="234"/>
      <c r="I131" s="234"/>
    </row>
    <row r="132" spans="1:9" s="233" customFormat="1" x14ac:dyDescent="0.25">
      <c r="A132" s="232"/>
      <c r="B132" s="232"/>
      <c r="C132" s="232"/>
      <c r="D132" s="232"/>
      <c r="E132" s="232"/>
      <c r="F132" s="232"/>
      <c r="G132" s="239"/>
      <c r="H132" s="234"/>
      <c r="I132" s="234"/>
    </row>
    <row r="133" spans="1:9" s="233" customFormat="1" x14ac:dyDescent="0.25">
      <c r="A133" s="232"/>
      <c r="B133" s="232"/>
      <c r="C133" s="232"/>
      <c r="D133" s="232"/>
      <c r="E133" s="232"/>
      <c r="F133" s="232"/>
      <c r="G133" s="239"/>
      <c r="H133" s="234"/>
      <c r="I133" s="234"/>
    </row>
    <row r="134" spans="1:9" x14ac:dyDescent="0.25">
      <c r="G134" s="232"/>
    </row>
    <row r="135" spans="1:9" x14ac:dyDescent="0.25">
      <c r="G135" s="232"/>
    </row>
    <row r="136" spans="1:9" x14ac:dyDescent="0.25">
      <c r="G136" s="232"/>
    </row>
    <row r="137" spans="1:9" x14ac:dyDescent="0.25">
      <c r="G137" s="232"/>
    </row>
    <row r="138" spans="1:9" x14ac:dyDescent="0.25">
      <c r="G138" s="232"/>
    </row>
    <row r="139" spans="1:9" x14ac:dyDescent="0.25">
      <c r="G139" s="232"/>
    </row>
    <row r="140" spans="1:9" x14ac:dyDescent="0.25">
      <c r="G140" s="232"/>
    </row>
    <row r="141" spans="1:9" x14ac:dyDescent="0.25">
      <c r="G141" s="232"/>
    </row>
    <row r="142" spans="1:9" x14ac:dyDescent="0.25">
      <c r="G142" s="232"/>
    </row>
    <row r="143" spans="1:9" x14ac:dyDescent="0.25">
      <c r="G143" s="232"/>
    </row>
    <row r="144" spans="1:9" x14ac:dyDescent="0.25">
      <c r="G144" s="232"/>
    </row>
    <row r="145" spans="7:7" x14ac:dyDescent="0.25">
      <c r="G145" s="232"/>
    </row>
    <row r="146" spans="7:7" x14ac:dyDescent="0.25">
      <c r="G146" s="232"/>
    </row>
    <row r="147" spans="7:7" x14ac:dyDescent="0.25">
      <c r="G147" s="232"/>
    </row>
    <row r="148" spans="7:7" x14ac:dyDescent="0.25">
      <c r="G148" s="232"/>
    </row>
    <row r="149" spans="7:7" x14ac:dyDescent="0.25">
      <c r="G149" s="232"/>
    </row>
    <row r="150" spans="7:7" x14ac:dyDescent="0.25">
      <c r="G150" s="232"/>
    </row>
    <row r="151" spans="7:7" x14ac:dyDescent="0.25">
      <c r="G151" s="232"/>
    </row>
    <row r="152" spans="7:7" x14ac:dyDescent="0.25">
      <c r="G152" s="232"/>
    </row>
    <row r="153" spans="7:7" x14ac:dyDescent="0.25">
      <c r="G153" s="232"/>
    </row>
    <row r="154" spans="7:7" x14ac:dyDescent="0.25">
      <c r="G154" s="233"/>
    </row>
    <row r="155" spans="7:7" x14ac:dyDescent="0.25">
      <c r="G155" s="233"/>
    </row>
    <row r="156" spans="7:7" x14ac:dyDescent="0.25">
      <c r="G156" s="233"/>
    </row>
    <row r="169" spans="1:9" s="233" customFormat="1" x14ac:dyDescent="0.25">
      <c r="A169" s="232"/>
      <c r="B169" s="232"/>
      <c r="C169" s="232"/>
      <c r="D169" s="232"/>
      <c r="E169" s="232"/>
      <c r="F169" s="232"/>
      <c r="H169" s="234"/>
      <c r="I169" s="234"/>
    </row>
    <row r="170" spans="1:9" s="233" customFormat="1" x14ac:dyDescent="0.25">
      <c r="A170" s="232"/>
      <c r="B170" s="232"/>
      <c r="C170" s="232"/>
      <c r="D170" s="232"/>
      <c r="E170" s="232"/>
      <c r="F170" s="232"/>
      <c r="H170" s="234"/>
      <c r="I170" s="234"/>
    </row>
    <row r="171" spans="1:9" s="233" customFormat="1" x14ac:dyDescent="0.25">
      <c r="A171" s="232"/>
      <c r="B171" s="232"/>
      <c r="C171" s="232"/>
      <c r="D171" s="232"/>
      <c r="E171" s="232"/>
      <c r="F171" s="232"/>
      <c r="H171" s="234"/>
      <c r="I171" s="234"/>
    </row>
    <row r="172" spans="1:9" s="233" customFormat="1" x14ac:dyDescent="0.25">
      <c r="A172" s="232"/>
      <c r="B172" s="232"/>
      <c r="C172" s="232"/>
      <c r="D172" s="232"/>
      <c r="E172" s="232"/>
      <c r="F172" s="232"/>
      <c r="H172" s="234"/>
      <c r="I172" s="234"/>
    </row>
    <row r="183" spans="1:12" x14ac:dyDescent="0.25">
      <c r="J183" s="233"/>
      <c r="K183" s="233"/>
      <c r="L183" s="233"/>
    </row>
    <row r="184" spans="1:12" s="233" customFormat="1" x14ac:dyDescent="0.25">
      <c r="A184" s="232"/>
      <c r="B184" s="232"/>
      <c r="C184" s="232"/>
      <c r="D184" s="232"/>
      <c r="E184" s="232"/>
      <c r="F184" s="232"/>
      <c r="H184" s="234"/>
      <c r="I184" s="234"/>
    </row>
    <row r="185" spans="1:12" s="233" customFormat="1" x14ac:dyDescent="0.25">
      <c r="A185" s="232"/>
      <c r="B185" s="232"/>
      <c r="C185" s="232"/>
      <c r="D185" s="232"/>
      <c r="E185" s="232"/>
      <c r="F185" s="232"/>
      <c r="H185" s="234"/>
      <c r="I185" s="234"/>
    </row>
    <row r="186" spans="1:12" s="233" customFormat="1" x14ac:dyDescent="0.25">
      <c r="A186" s="232"/>
      <c r="B186" s="232"/>
      <c r="C186" s="232"/>
      <c r="D186" s="232"/>
      <c r="E186" s="232"/>
      <c r="F186" s="232"/>
      <c r="H186" s="234"/>
      <c r="I186" s="234"/>
    </row>
    <row r="187" spans="1:12" s="233" customFormat="1" x14ac:dyDescent="0.25">
      <c r="A187" s="232"/>
      <c r="B187" s="232"/>
      <c r="C187" s="232"/>
      <c r="D187" s="232"/>
      <c r="E187" s="232"/>
      <c r="F187" s="232"/>
      <c r="H187" s="234"/>
      <c r="I187" s="234"/>
    </row>
    <row r="192" spans="1:12" x14ac:dyDescent="0.25">
      <c r="G192" s="233"/>
    </row>
    <row r="193" spans="1:12" x14ac:dyDescent="0.25">
      <c r="G193" s="233"/>
    </row>
    <row r="194" spans="1:12" x14ac:dyDescent="0.25">
      <c r="G194" s="233"/>
    </row>
    <row r="195" spans="1:12" x14ac:dyDescent="0.25">
      <c r="G195" s="233"/>
    </row>
    <row r="200" spans="1:12" x14ac:dyDescent="0.25">
      <c r="J200" s="233"/>
      <c r="K200" s="233"/>
      <c r="L200" s="233"/>
    </row>
    <row r="201" spans="1:12" s="233" customFormat="1" x14ac:dyDescent="0.25">
      <c r="A201" s="232"/>
      <c r="B201" s="232"/>
      <c r="C201" s="232"/>
      <c r="D201" s="232"/>
      <c r="E201" s="232"/>
      <c r="F201" s="232"/>
      <c r="G201" s="234"/>
      <c r="H201" s="234"/>
      <c r="I201" s="234"/>
    </row>
    <row r="202" spans="1:12" s="233" customFormat="1" x14ac:dyDescent="0.25">
      <c r="A202" s="232"/>
      <c r="B202" s="232"/>
      <c r="C202" s="232"/>
      <c r="D202" s="232"/>
      <c r="E202" s="232"/>
      <c r="F202" s="232"/>
      <c r="G202" s="234"/>
      <c r="H202" s="234"/>
      <c r="I202" s="234"/>
    </row>
    <row r="203" spans="1:12" s="233" customFormat="1" x14ac:dyDescent="0.25">
      <c r="A203" s="232"/>
      <c r="B203" s="232"/>
      <c r="C203" s="232"/>
      <c r="D203" s="232"/>
      <c r="E203" s="232"/>
      <c r="F203" s="232"/>
      <c r="G203" s="234"/>
      <c r="H203" s="234"/>
      <c r="I203" s="234"/>
    </row>
    <row r="204" spans="1:12" s="233" customFormat="1" x14ac:dyDescent="0.25">
      <c r="A204" s="232"/>
      <c r="B204" s="232"/>
      <c r="C204" s="232"/>
      <c r="D204" s="232"/>
      <c r="E204" s="232"/>
      <c r="F204" s="232"/>
      <c r="G204" s="234"/>
      <c r="H204" s="234"/>
      <c r="I204" s="234"/>
      <c r="J204" s="234"/>
      <c r="K204" s="234"/>
      <c r="L204" s="234"/>
    </row>
    <row r="275" spans="1:9" s="233" customFormat="1" x14ac:dyDescent="0.25">
      <c r="A275" s="232"/>
      <c r="B275" s="232"/>
      <c r="C275" s="232"/>
      <c r="D275" s="232"/>
      <c r="E275" s="232"/>
      <c r="F275" s="232"/>
      <c r="G275" s="234"/>
      <c r="H275" s="234"/>
      <c r="I275" s="234"/>
    </row>
    <row r="276" spans="1:9" s="233" customFormat="1" x14ac:dyDescent="0.25">
      <c r="A276" s="232"/>
      <c r="B276" s="232"/>
      <c r="C276" s="232"/>
      <c r="D276" s="232"/>
      <c r="E276" s="232"/>
      <c r="F276" s="232"/>
      <c r="G276" s="234"/>
      <c r="H276" s="234"/>
      <c r="I276" s="234"/>
    </row>
    <row r="277" spans="1:9" s="233" customFormat="1" x14ac:dyDescent="0.25">
      <c r="A277" s="232"/>
      <c r="B277" s="232"/>
      <c r="C277" s="232"/>
      <c r="D277" s="232"/>
      <c r="E277" s="232"/>
      <c r="F277" s="232"/>
      <c r="G277" s="234"/>
      <c r="H277" s="234"/>
      <c r="I277" s="234"/>
    </row>
    <row r="278" spans="1:9" s="233" customFormat="1" x14ac:dyDescent="0.25">
      <c r="A278" s="232"/>
      <c r="B278" s="232"/>
      <c r="C278" s="232"/>
      <c r="D278" s="232"/>
      <c r="E278" s="232"/>
      <c r="F278" s="232"/>
      <c r="G278" s="234"/>
      <c r="H278" s="234"/>
      <c r="I278" s="234"/>
    </row>
    <row r="343" spans="1:12" x14ac:dyDescent="0.25">
      <c r="J343" s="233"/>
      <c r="K343" s="233"/>
      <c r="L343" s="233"/>
    </row>
    <row r="344" spans="1:12" s="233" customFormat="1" x14ac:dyDescent="0.25">
      <c r="A344" s="232"/>
      <c r="B344" s="232"/>
      <c r="C344" s="232"/>
      <c r="D344" s="232"/>
      <c r="E344" s="232"/>
      <c r="F344" s="232"/>
      <c r="G344" s="234"/>
      <c r="H344" s="234"/>
      <c r="I344" s="234"/>
    </row>
    <row r="345" spans="1:12" s="233" customFormat="1" x14ac:dyDescent="0.25">
      <c r="A345" s="232"/>
      <c r="B345" s="232"/>
      <c r="C345" s="232"/>
      <c r="D345" s="232"/>
      <c r="E345" s="232"/>
      <c r="F345" s="232"/>
      <c r="G345" s="234"/>
      <c r="H345" s="234"/>
      <c r="I345" s="234"/>
    </row>
    <row r="346" spans="1:12" s="233" customFormat="1" x14ac:dyDescent="0.25">
      <c r="A346" s="232"/>
      <c r="B346" s="232"/>
      <c r="C346" s="232"/>
      <c r="D346" s="232"/>
      <c r="E346" s="232"/>
      <c r="F346" s="232"/>
      <c r="G346" s="234"/>
      <c r="H346" s="234"/>
      <c r="I346" s="234"/>
    </row>
    <row r="347" spans="1:12" s="233" customFormat="1" x14ac:dyDescent="0.25">
      <c r="A347" s="232"/>
      <c r="B347" s="232"/>
      <c r="C347" s="232"/>
      <c r="D347" s="232"/>
      <c r="E347" s="232"/>
      <c r="F347" s="232"/>
      <c r="G347" s="234"/>
      <c r="H347" s="234"/>
      <c r="I347" s="234"/>
      <c r="J347" s="234"/>
      <c r="K347" s="234"/>
      <c r="L347" s="234"/>
    </row>
    <row r="382" spans="1:12" x14ac:dyDescent="0.25">
      <c r="J382" s="233"/>
      <c r="K382" s="233"/>
      <c r="L382" s="233"/>
    </row>
    <row r="383" spans="1:12" s="233" customFormat="1" x14ac:dyDescent="0.25">
      <c r="A383" s="232"/>
      <c r="B383" s="232"/>
      <c r="C383" s="232"/>
      <c r="D383" s="232"/>
      <c r="E383" s="232"/>
      <c r="F383" s="232"/>
      <c r="G383" s="234"/>
      <c r="H383" s="234"/>
      <c r="I383" s="234"/>
    </row>
    <row r="384" spans="1:12" s="233" customFormat="1" x14ac:dyDescent="0.25">
      <c r="A384" s="232"/>
      <c r="B384" s="232"/>
      <c r="C384" s="232"/>
      <c r="D384" s="232"/>
      <c r="E384" s="232"/>
      <c r="F384" s="232"/>
      <c r="G384" s="234"/>
      <c r="H384" s="234"/>
      <c r="I384" s="234"/>
    </row>
    <row r="385" spans="1:12" s="233" customFormat="1" x14ac:dyDescent="0.25">
      <c r="A385" s="232"/>
      <c r="B385" s="232"/>
      <c r="C385" s="232"/>
      <c r="D385" s="232"/>
      <c r="E385" s="232"/>
      <c r="F385" s="232"/>
      <c r="G385" s="234"/>
      <c r="H385" s="234"/>
      <c r="I385" s="234"/>
    </row>
    <row r="386" spans="1:12" s="233" customFormat="1" x14ac:dyDescent="0.25">
      <c r="A386" s="232"/>
      <c r="B386" s="232"/>
      <c r="C386" s="232"/>
      <c r="D386" s="232"/>
      <c r="E386" s="232"/>
      <c r="F386" s="232"/>
      <c r="G386" s="234"/>
      <c r="H386" s="234"/>
      <c r="I386" s="234"/>
      <c r="J386" s="234"/>
      <c r="K386" s="234"/>
      <c r="L386" s="234"/>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Barbosa, Daniel</cp:lastModifiedBy>
  <cp:lastPrinted>2017-10-25T18:22:43Z</cp:lastPrinted>
  <dcterms:created xsi:type="dcterms:W3CDTF">2002-07-09T14:08:29Z</dcterms:created>
  <dcterms:modified xsi:type="dcterms:W3CDTF">2018-09-21T18:16:36Z</dcterms:modified>
</cp:coreProperties>
</file>