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owitsol10\Desktop\Projects\Wise\"/>
    </mc:Choice>
  </mc:AlternateContent>
  <bookViews>
    <workbookView xWindow="0" yWindow="0" windowWidth="20490" windowHeight="7905"/>
  </bookViews>
  <sheets>
    <sheet name="Comparison Sheet" sheetId="7" r:id="rId1"/>
    <sheet name="INCOME TAX 1617" sheetId="5" r:id="rId2"/>
    <sheet name="SALARY PAYE 1617" sheetId="6" state="hidden" r:id="rId3"/>
    <sheet name="INCOME TAX 1516" sheetId="8" state="hidden" r:id="rId4"/>
    <sheet name="SALARY PAYE 1516" sheetId="9" state="hidden" r:id="rId5"/>
  </sheets>
  <externalReferences>
    <externalReference r:id="rId6"/>
  </externalReferenc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7" l="1"/>
  <c r="E8" i="7"/>
  <c r="E6" i="5"/>
  <c r="E10" i="5"/>
  <c r="E11" i="5"/>
  <c r="G11" i="5"/>
  <c r="E55" i="5"/>
  <c r="E51" i="5"/>
  <c r="G57" i="5"/>
  <c r="A60" i="5"/>
  <c r="B60" i="5"/>
  <c r="C60" i="5"/>
  <c r="B68" i="5"/>
  <c r="B61" i="5"/>
  <c r="A62" i="5"/>
  <c r="B62" i="5"/>
  <c r="C61" i="5"/>
  <c r="C62" i="5"/>
  <c r="C69" i="5"/>
  <c r="C68" i="5"/>
  <c r="B70" i="5"/>
  <c r="C70" i="5"/>
  <c r="E70" i="5"/>
  <c r="A63" i="5"/>
  <c r="B63" i="5"/>
  <c r="C63" i="5"/>
  <c r="B71" i="5"/>
  <c r="C71" i="5"/>
  <c r="E71" i="5"/>
  <c r="B64" i="5"/>
  <c r="C64" i="5"/>
  <c r="B72" i="5"/>
  <c r="C72" i="5"/>
  <c r="E72" i="5"/>
  <c r="E74" i="5"/>
  <c r="G12" i="5"/>
  <c r="A15" i="5"/>
  <c r="B15" i="5"/>
  <c r="C15" i="5"/>
  <c r="B23" i="5"/>
  <c r="B16" i="5"/>
  <c r="A17" i="5"/>
  <c r="B17" i="5"/>
  <c r="C16" i="5"/>
  <c r="C17" i="5"/>
  <c r="C24" i="5"/>
  <c r="C23" i="5"/>
  <c r="B25" i="5"/>
  <c r="C25" i="5"/>
  <c r="E25" i="5"/>
  <c r="E7" i="7"/>
  <c r="A18" i="5"/>
  <c r="B18" i="5"/>
  <c r="C18" i="5"/>
  <c r="B26" i="5"/>
  <c r="C26" i="5"/>
  <c r="E26" i="5"/>
  <c r="E10" i="7"/>
  <c r="E11" i="7"/>
  <c r="E14" i="7"/>
  <c r="E69" i="5"/>
  <c r="E68" i="5"/>
  <c r="E60" i="5"/>
  <c r="E61" i="5"/>
  <c r="E62" i="5"/>
  <c r="E63" i="5"/>
  <c r="E64" i="5"/>
  <c r="G65" i="5"/>
  <c r="E56" i="5"/>
  <c r="G56" i="5"/>
  <c r="E52" i="5"/>
  <c r="E6" i="6"/>
  <c r="H30" i="6"/>
  <c r="H32" i="6"/>
  <c r="H34" i="6"/>
  <c r="H36" i="6"/>
  <c r="H37" i="6"/>
  <c r="H40" i="6"/>
  <c r="H42" i="6"/>
  <c r="E32" i="5"/>
  <c r="E9" i="7"/>
  <c r="E15" i="5"/>
  <c r="E16" i="5"/>
  <c r="E17" i="5"/>
  <c r="E18" i="5"/>
  <c r="B19" i="5"/>
  <c r="C19" i="5"/>
  <c r="E19" i="5"/>
  <c r="G20" i="5"/>
  <c r="B27" i="5"/>
  <c r="C27" i="5"/>
  <c r="E27" i="5"/>
  <c r="E29" i="5"/>
  <c r="E10" i="8"/>
  <c r="E11" i="8"/>
  <c r="E6" i="8"/>
  <c r="G12" i="8"/>
  <c r="A15" i="8"/>
  <c r="B15" i="8"/>
  <c r="C15" i="8"/>
  <c r="B23" i="8"/>
  <c r="B16" i="8"/>
  <c r="A17" i="8"/>
  <c r="B17" i="8"/>
  <c r="C16" i="8"/>
  <c r="C17" i="8"/>
  <c r="C23" i="8"/>
  <c r="B24" i="8"/>
  <c r="C24" i="8"/>
  <c r="E24" i="8"/>
  <c r="A18" i="8"/>
  <c r="B18" i="8"/>
  <c r="C18" i="8"/>
  <c r="B25" i="8"/>
  <c r="C25" i="8"/>
  <c r="E25" i="8"/>
  <c r="B19" i="8"/>
  <c r="C19" i="8"/>
  <c r="B26" i="8"/>
  <c r="C26" i="8"/>
  <c r="E26" i="8"/>
  <c r="E27" i="8"/>
  <c r="E28" i="8"/>
  <c r="E15" i="8"/>
  <c r="E16" i="8"/>
  <c r="E17" i="8"/>
  <c r="E18" i="8"/>
  <c r="E19" i="8"/>
  <c r="G20" i="8"/>
  <c r="E6" i="9"/>
  <c r="H30" i="9"/>
  <c r="H32" i="9"/>
  <c r="H34" i="9"/>
  <c r="H36" i="9"/>
  <c r="H37" i="9"/>
  <c r="H40" i="9"/>
  <c r="H42" i="9"/>
  <c r="E31" i="8"/>
  <c r="J36" i="6"/>
  <c r="J40" i="6"/>
  <c r="J42" i="6"/>
  <c r="E42" i="5"/>
  <c r="J36" i="9"/>
  <c r="J40" i="9"/>
  <c r="J42" i="9"/>
  <c r="E41" i="8"/>
  <c r="E7" i="8"/>
  <c r="E23" i="8"/>
  <c r="E34" i="8"/>
  <c r="E37" i="8"/>
  <c r="E7" i="5"/>
  <c r="E24" i="5"/>
  <c r="E23" i="5"/>
  <c r="E35" i="5"/>
  <c r="E38" i="5"/>
  <c r="E36" i="9"/>
  <c r="E34" i="9"/>
  <c r="C15" i="9"/>
  <c r="C18" i="9"/>
  <c r="A4" i="9"/>
  <c r="A28" i="9"/>
  <c r="E21" i="9"/>
  <c r="C9" i="9"/>
  <c r="E15" i="9"/>
  <c r="E12" i="9"/>
  <c r="E13" i="9"/>
  <c r="H31" i="9"/>
  <c r="E18" i="9"/>
  <c r="E23" i="9"/>
  <c r="E24" i="9"/>
  <c r="J41" i="9"/>
  <c r="H41" i="9"/>
  <c r="A4" i="6"/>
  <c r="A28" i="6"/>
  <c r="E36" i="6"/>
  <c r="E34" i="6"/>
  <c r="E18" i="6"/>
  <c r="H31" i="6"/>
  <c r="E21" i="6"/>
  <c r="E15" i="6"/>
  <c r="E12" i="6"/>
  <c r="E13" i="6"/>
  <c r="E23" i="6"/>
  <c r="E24" i="6"/>
  <c r="J41" i="6"/>
  <c r="H41" i="6"/>
</calcChain>
</file>

<file path=xl/sharedStrings.xml><?xml version="1.0" encoding="utf-8"?>
<sst xmlns="http://schemas.openxmlformats.org/spreadsheetml/2006/main" count="182" uniqueCount="87">
  <si>
    <t>Salary and Dividends Calculator</t>
  </si>
  <si>
    <t>2016/17 Tax Rates</t>
  </si>
  <si>
    <t>GROSS SALARY</t>
  </si>
  <si>
    <t>EMPLOYERS NI</t>
  </si>
  <si>
    <t>DIVIDENDS</t>
  </si>
  <si>
    <t>taxable</t>
  </si>
  <si>
    <t>total</t>
  </si>
  <si>
    <t>TAX ON SALARY</t>
  </si>
  <si>
    <t>IT BAND</t>
  </si>
  <si>
    <t>CUM</t>
  </si>
  <si>
    <t>TAXABLE</t>
  </si>
  <si>
    <t>RATE</t>
  </si>
  <si>
    <t>OVER</t>
  </si>
  <si>
    <t>TAX ON DIVS</t>
  </si>
  <si>
    <t>PA</t>
  </si>
  <si>
    <t>ZRB</t>
  </si>
  <si>
    <t>BRB</t>
  </si>
  <si>
    <t>HRB</t>
  </si>
  <si>
    <t>ATRB</t>
  </si>
  <si>
    <t>EES NI</t>
  </si>
  <si>
    <t>CLASS 1</t>
  </si>
  <si>
    <t>TOTAL TAX/NI</t>
  </si>
  <si>
    <t>NET</t>
  </si>
  <si>
    <t>ERS NI</t>
  </si>
  <si>
    <t>Salary PAYE Calculator</t>
  </si>
  <si>
    <t>INCOME TAX</t>
  </si>
  <si>
    <t>%</t>
  </si>
  <si>
    <t>PERSONAL</t>
  </si>
  <si>
    <t>ALLOWANCES</t>
  </si>
  <si>
    <t>LOWER RATE BAND</t>
  </si>
  <si>
    <t>BASIC RATE BAND</t>
  </si>
  <si>
    <t>HIGHER RATE</t>
  </si>
  <si>
    <t>ADDITIONAL RATE</t>
  </si>
  <si>
    <t>TOTAL  PER ANNUM</t>
  </si>
  <si>
    <t>TOTAL PER MONTH</t>
  </si>
  <si>
    <t>NATIONAL INSURANCE</t>
  </si>
  <si>
    <t>salary</t>
  </si>
  <si>
    <t>employees</t>
  </si>
  <si>
    <t>employers</t>
  </si>
  <si>
    <t>p/a</t>
  </si>
  <si>
    <t>from</t>
  </si>
  <si>
    <t>to</t>
  </si>
  <si>
    <t>annually</t>
  </si>
  <si>
    <t>applies to</t>
  </si>
  <si>
    <t>p/m</t>
  </si>
  <si>
    <t xml:space="preserve">              per week</t>
  </si>
  <si>
    <t>all earnings</t>
  </si>
  <si>
    <t>p/w</t>
  </si>
  <si>
    <t xml:space="preserve">     &amp;above</t>
  </si>
  <si>
    <t>-</t>
  </si>
  <si>
    <t>PER WEEK</t>
  </si>
  <si>
    <t>PER MONTH</t>
  </si>
  <si>
    <t>PER ANNUM</t>
  </si>
  <si>
    <t>2015/16 Tax Rates</t>
  </si>
  <si>
    <t>net</t>
  </si>
  <si>
    <t>gross</t>
  </si>
  <si>
    <t>LESS</t>
  </si>
  <si>
    <t>BRT</t>
  </si>
  <si>
    <t>Higher Rate Tax Threshold</t>
  </si>
  <si>
    <t>Tax free Dividend Allowance</t>
  </si>
  <si>
    <t>Gross Salary</t>
  </si>
  <si>
    <t>Dividends Available (Before higher Dividend Tax of 32.5%)</t>
  </si>
  <si>
    <t>Dividends above Threshold</t>
  </si>
  <si>
    <t>Basic Dividend Tax at 7.5%</t>
  </si>
  <si>
    <t>High Dividend Tax Implications</t>
  </si>
  <si>
    <t>Total Dividend Tax</t>
  </si>
  <si>
    <t>High Dividend Tax Implications at 32.5%</t>
  </si>
  <si>
    <t>Salary and Dividends Calculator 2</t>
  </si>
  <si>
    <t>Salary and Dividends Calculator 1</t>
  </si>
  <si>
    <t>Dividends Taken to Date</t>
  </si>
  <si>
    <t>condition shouldn’t exceed available profit or 100K</t>
  </si>
  <si>
    <t xml:space="preserve">Dividend Needed </t>
  </si>
  <si>
    <t>CURRENT NAME</t>
  </si>
  <si>
    <t>NEW NAME</t>
  </si>
  <si>
    <t>CHANGE</t>
  </si>
  <si>
    <t>NO</t>
  </si>
  <si>
    <t>YES</t>
  </si>
  <si>
    <t>N/A</t>
  </si>
  <si>
    <t>Gross Dividends Taken to Date</t>
  </si>
  <si>
    <t>Total Gross Income to Date</t>
  </si>
  <si>
    <t>Net Dividends Available (Before Div Tax)</t>
  </si>
  <si>
    <t>Net Dividends above Threshold</t>
  </si>
  <si>
    <t>Net Dividend Needed</t>
  </si>
  <si>
    <t xml:space="preserve">Dividend Tax Implication </t>
  </si>
  <si>
    <t>Dividend Tax Implication</t>
  </si>
  <si>
    <t>FROM PAYE TAB</t>
  </si>
  <si>
    <t>FROM DIVIDEND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</si>
</sst>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m\-yy_)"/>
    <numFmt numFmtId="165" formatCode="#,##0.000_);\(#,##0.000\)"/>
    <numFmt numFmtId="166" formatCode="#,##0.00_ ;\-#,##0.00\ "/>
    <numFmt numFmtId="167" formatCode="#,##0.000"/>
  </numFmts>
  <fonts count="16">
    <font>
      <sz val="12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</font>
    <font>
      <sz val="12"/>
      <name val="Arial MT"/>
    </font>
    <font>
      <u/>
      <sz val="12"/>
      <name val="Arial"/>
      <family val="2"/>
    </font>
    <font>
      <b/>
      <sz val="12"/>
      <name val="Arial MT"/>
      <family val="2"/>
    </font>
    <font>
      <sz val="12"/>
      <color indexed="15"/>
      <name val="Arial"/>
      <family val="2"/>
    </font>
    <font>
      <sz val="12"/>
      <color indexed="15"/>
      <name val="Arial MT"/>
    </font>
    <font>
      <sz val="12"/>
      <color indexed="10"/>
      <name val="Arial"/>
      <family val="2"/>
    </font>
    <font>
      <sz val="12"/>
      <color indexed="10"/>
      <name val="Arial MT"/>
    </font>
    <font>
      <sz val="12"/>
      <color rgb="FF00B0F0"/>
      <name val="Arial"/>
      <family val="2"/>
    </font>
    <font>
      <sz val="8"/>
      <name val="Verdana"/>
    </font>
    <font>
      <b/>
      <u/>
      <sz val="14"/>
      <name val="Arial"/>
      <family val="2"/>
    </font>
    <font>
      <sz val="12"/>
      <color theme="3" tint="-0.249977111117893"/>
      <name val="Arial"/>
    </font>
    <font>
      <b/>
      <sz val="12"/>
      <color theme="3" tint="-0.249977111117893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39" fontId="0" fillId="0" borderId="1">
      <protection locked="0"/>
    </xf>
    <xf numFmtId="166" fontId="1" fillId="0" borderId="0" applyFont="0" applyFill="0" applyBorder="0" applyAlignment="0" applyProtection="0"/>
  </cellStyleXfs>
  <cellXfs count="51">
    <xf numFmtId="39" fontId="0" fillId="0" borderId="1" xfId="0">
      <protection locked="0"/>
    </xf>
    <xf numFmtId="4" fontId="3" fillId="0" borderId="0" xfId="0" applyNumberFormat="1" applyFont="1" applyBorder="1">
      <protection locked="0"/>
    </xf>
    <xf numFmtId="4" fontId="2" fillId="0" borderId="0" xfId="0" applyNumberFormat="1" applyFont="1" applyBorder="1">
      <protection locked="0"/>
    </xf>
    <xf numFmtId="39" fontId="3" fillId="0" borderId="0" xfId="0" applyFont="1" applyFill="1" applyBorder="1">
      <protection locked="0"/>
    </xf>
    <xf numFmtId="4" fontId="3" fillId="0" borderId="0" xfId="0" quotePrefix="1" applyNumberFormat="1" applyFont="1" applyBorder="1">
      <protection locked="0"/>
    </xf>
    <xf numFmtId="39" fontId="4" fillId="0" borderId="0" xfId="0" applyNumberFormat="1" applyFont="1" applyFill="1" applyBorder="1" applyProtection="1"/>
    <xf numFmtId="164" fontId="4" fillId="0" borderId="0" xfId="0" applyNumberFormat="1" applyFont="1" applyFill="1" applyBorder="1" applyProtection="1"/>
    <xf numFmtId="39" fontId="2" fillId="0" borderId="0" xfId="0" applyFont="1" applyFill="1" applyBorder="1" applyProtection="1"/>
    <xf numFmtId="39" fontId="5" fillId="0" borderId="0" xfId="0" applyFont="1" applyFill="1" applyBorder="1" applyProtection="1"/>
    <xf numFmtId="39" fontId="6" fillId="0" borderId="0" xfId="0" applyNumberFormat="1" applyFont="1" applyFill="1" applyBorder="1" applyProtection="1"/>
    <xf numFmtId="10" fontId="4" fillId="0" borderId="0" xfId="0" applyNumberFormat="1" applyFont="1" applyFill="1" applyBorder="1" applyProtection="1"/>
    <xf numFmtId="9" fontId="4" fillId="0" borderId="0" xfId="0" applyNumberFormat="1" applyFont="1" applyFill="1" applyBorder="1" applyProtection="1"/>
    <xf numFmtId="39" fontId="4" fillId="0" borderId="0" xfId="0" applyNumberFormat="1" applyFont="1" applyFill="1" applyBorder="1" applyAlignment="1" applyProtection="1">
      <alignment horizontal="fill"/>
    </xf>
    <xf numFmtId="4" fontId="7" fillId="0" borderId="0" xfId="0" applyNumberFormat="1" applyFont="1" applyBorder="1">
      <protection locked="0"/>
    </xf>
    <xf numFmtId="39" fontId="7" fillId="0" borderId="0" xfId="0" applyFont="1" applyFill="1" applyBorder="1">
      <protection locked="0"/>
    </xf>
    <xf numFmtId="39" fontId="7" fillId="0" borderId="0" xfId="0" applyFont="1" applyFill="1" applyBorder="1" applyProtection="1"/>
    <xf numFmtId="165" fontId="7" fillId="0" borderId="0" xfId="0" applyNumberFormat="1" applyFont="1" applyFill="1" applyBorder="1" applyProtection="1"/>
    <xf numFmtId="39" fontId="8" fillId="0" borderId="0" xfId="0" applyNumberFormat="1" applyFont="1" applyFill="1" applyBorder="1" applyProtection="1"/>
    <xf numFmtId="10" fontId="8" fillId="0" borderId="0" xfId="0" applyNumberFormat="1" applyFont="1" applyFill="1" applyBorder="1" applyProtection="1"/>
    <xf numFmtId="39" fontId="2" fillId="0" borderId="0" xfId="0" applyFont="1" applyFill="1" applyBorder="1">
      <protection locked="0"/>
    </xf>
    <xf numFmtId="39" fontId="3" fillId="0" borderId="0" xfId="0" applyFont="1" applyFill="1" applyBorder="1" applyProtection="1"/>
    <xf numFmtId="4" fontId="3" fillId="2" borderId="2" xfId="0" applyNumberFormat="1" applyFont="1" applyFill="1" applyBorder="1">
      <protection locked="0"/>
    </xf>
    <xf numFmtId="39" fontId="10" fillId="0" borderId="0" xfId="0" applyNumberFormat="1" applyFont="1" applyFill="1" applyBorder="1" applyProtection="1"/>
    <xf numFmtId="4" fontId="7" fillId="0" borderId="1" xfId="0" applyNumberFormat="1" applyFont="1" applyBorder="1">
      <protection locked="0"/>
    </xf>
    <xf numFmtId="39" fontId="3" fillId="0" borderId="0" xfId="0" applyFont="1" applyFill="1" applyBorder="1" applyAlignment="1" applyProtection="1">
      <alignment horizontal="center"/>
    </xf>
    <xf numFmtId="39" fontId="9" fillId="0" borderId="2" xfId="0" applyFont="1" applyFill="1" applyBorder="1" applyProtection="1"/>
    <xf numFmtId="4" fontId="3" fillId="3" borderId="2" xfId="0" applyNumberFormat="1" applyFont="1" applyFill="1" applyBorder="1">
      <protection locked="0"/>
    </xf>
    <xf numFmtId="39" fontId="0" fillId="0" borderId="0" xfId="0" applyBorder="1">
      <protection locked="0"/>
    </xf>
    <xf numFmtId="39" fontId="2" fillId="0" borderId="0" xfId="0" applyFont="1" applyBorder="1">
      <protection locked="0"/>
    </xf>
    <xf numFmtId="37" fontId="0" fillId="0" borderId="0" xfId="0" applyNumberFormat="1" applyBorder="1">
      <protection locked="0"/>
    </xf>
    <xf numFmtId="37" fontId="0" fillId="0" borderId="0" xfId="0" applyNumberFormat="1" applyFill="1" applyBorder="1">
      <protection locked="0"/>
    </xf>
    <xf numFmtId="39" fontId="0" fillId="0" borderId="0" xfId="0" applyFill="1" applyBorder="1">
      <protection locked="0"/>
    </xf>
    <xf numFmtId="39" fontId="11" fillId="0" borderId="0" xfId="0" applyFont="1" applyFill="1" applyBorder="1">
      <protection locked="0"/>
    </xf>
    <xf numFmtId="39" fontId="3" fillId="0" borderId="0" xfId="0" applyFont="1" applyBorder="1">
      <protection locked="0"/>
    </xf>
    <xf numFmtId="39" fontId="0" fillId="0" borderId="3" xfId="0" applyBorder="1">
      <protection locked="0"/>
    </xf>
    <xf numFmtId="4" fontId="9" fillId="0" borderId="0" xfId="0" applyNumberFormat="1" applyFont="1" applyBorder="1">
      <protection locked="0"/>
    </xf>
    <xf numFmtId="167" fontId="7" fillId="0" borderId="0" xfId="0" applyNumberFormat="1" applyFont="1" applyBorder="1">
      <protection locked="0"/>
    </xf>
    <xf numFmtId="4" fontId="3" fillId="0" borderId="0" xfId="0" applyNumberFormat="1" applyFont="1" applyBorder="1" applyProtection="1"/>
    <xf numFmtId="39" fontId="0" fillId="4" borderId="1" xfId="0" applyFill="1" applyProtection="1"/>
    <xf numFmtId="166" fontId="0" fillId="0" borderId="0" xfId="1" applyFont="1" applyBorder="1" applyProtection="1">
      <protection locked="0"/>
    </xf>
    <xf numFmtId="166" fontId="0" fillId="4" borderId="1" xfId="1" applyFont="1" applyFill="1" applyBorder="1"/>
    <xf numFmtId="4" fontId="13" fillId="0" borderId="0" xfId="0" applyNumberFormat="1" applyFont="1" applyBorder="1">
      <protection locked="0"/>
    </xf>
    <xf numFmtId="39" fontId="0" fillId="5" borderId="1" xfId="0" applyFill="1" applyProtection="1"/>
    <xf numFmtId="166" fontId="0" fillId="5" borderId="1" xfId="1" applyFont="1" applyFill="1" applyBorder="1" applyProtection="1"/>
    <xf numFmtId="166" fontId="0" fillId="5" borderId="1" xfId="1" applyFont="1" applyFill="1" applyBorder="1" applyProtection="1">
      <protection locked="0"/>
    </xf>
    <xf numFmtId="166" fontId="0" fillId="4" borderId="1" xfId="1" applyFont="1" applyFill="1" applyBorder="1" applyProtection="1">
      <protection locked="0"/>
    </xf>
    <xf numFmtId="39" fontId="14" fillId="0" borderId="0" xfId="0" applyFont="1" applyBorder="1">
      <protection locked="0"/>
    </xf>
    <xf numFmtId="39" fontId="14" fillId="0" borderId="0" xfId="0" applyFont="1" applyFill="1" applyBorder="1">
      <protection locked="0"/>
    </xf>
    <xf numFmtId="39" fontId="15" fillId="0" borderId="0" xfId="0" applyFont="1" applyBorder="1">
      <protection locked="0"/>
    </xf>
    <xf numFmtId="4" fontId="2" fillId="0" borderId="0" xfId="1" applyNumberFormat="1" applyFont="1" applyBorder="1" applyAlignment="1" applyProtection="1">
      <alignment horizontal="left" vertical="center"/>
    </xf>
    <xf numFmtId="39" fontId="3" fillId="0" borderId="0" xfId="0" applyFont="1" applyBorder="1" applyAlignment="1">
      <alignment horizontal="left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colors>
    <mruColors>
      <color rgb="FF00FFFF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NNEY/Documents/Solumar%20Ltd/Permanent%20&amp;%20Archive/Calculator%2015-16%20Salary%20Dividend%20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TAX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zoomScale="90" zoomScaleNormal="90" zoomScalePageLayoutView="90" workbookViewId="0">
      <selection activeCell="C19" sqref="C19"/>
    </sheetView>
  </sheetViews>
  <sheetFormatPr defaultColWidth="8.6640625" defaultRowHeight="15"/>
  <cols>
    <col min="1" max="1" width="8.6640625" style="27"/>
    <col min="2" max="2" width="34.88671875" style="27" customWidth="1"/>
    <col min="3" max="3" width="50.33203125" style="27" customWidth="1"/>
    <col min="4" max="4" width="4" style="27" customWidth="1"/>
    <col min="5" max="5" width="9.6640625" style="39" customWidth="1"/>
    <col min="6" max="6" width="3.44140625" style="27" customWidth="1"/>
    <col min="7" max="11" width="9.6640625" style="27" bestFit="1" customWidth="1"/>
    <col min="12" max="12" width="12.33203125" style="27" bestFit="1" customWidth="1"/>
    <col min="13" max="17" width="10.6640625" style="27" bestFit="1" customWidth="1"/>
    <col min="18" max="16384" width="8.6640625" style="27"/>
  </cols>
  <sheetData>
    <row r="1" spans="1:17" ht="15.75">
      <c r="A1" s="48" t="s">
        <v>74</v>
      </c>
      <c r="B1" s="48" t="s">
        <v>72</v>
      </c>
      <c r="C1" s="28" t="s">
        <v>73</v>
      </c>
    </row>
    <row r="2" spans="1:17" ht="15.95">
      <c r="A2" s="46" t="s">
        <v>75</v>
      </c>
      <c r="B2" s="46" t="s">
        <v>58</v>
      </c>
      <c r="C2" s="38" t="s">
        <v>58</v>
      </c>
      <c r="E2" s="40">
        <v>43000</v>
      </c>
    </row>
    <row r="3" spans="1:17" ht="15.95">
      <c r="A3" s="46" t="s">
        <v>76</v>
      </c>
      <c r="B3" s="46" t="s">
        <v>77</v>
      </c>
      <c r="C3" s="42" t="s">
        <v>59</v>
      </c>
      <c r="E3" s="43">
        <v>5000</v>
      </c>
    </row>
    <row r="4" spans="1:17" ht="15.95">
      <c r="A4" s="47" t="s">
        <v>75</v>
      </c>
      <c r="B4" s="47" t="s">
        <v>60</v>
      </c>
      <c r="C4" s="38" t="s">
        <v>60</v>
      </c>
      <c r="E4" s="45">
        <v>11000</v>
      </c>
      <c r="F4" s="29"/>
      <c r="G4" s="29" t="s">
        <v>85</v>
      </c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15.95">
      <c r="A5" s="47" t="s">
        <v>76</v>
      </c>
      <c r="B5" s="47" t="s">
        <v>78</v>
      </c>
      <c r="C5" s="38" t="s">
        <v>69</v>
      </c>
      <c r="E5" s="45">
        <v>25000</v>
      </c>
      <c r="G5" s="27" t="s">
        <v>86</v>
      </c>
      <c r="H5" s="31"/>
      <c r="I5" s="31"/>
      <c r="J5" s="31"/>
      <c r="K5" s="32"/>
      <c r="L5" s="32"/>
      <c r="M5" s="32"/>
      <c r="N5" s="3"/>
      <c r="O5" s="3"/>
      <c r="P5" s="3"/>
    </row>
    <row r="6" spans="1:17" ht="15.95">
      <c r="A6" s="47" t="s">
        <v>75</v>
      </c>
      <c r="B6" s="47" t="s">
        <v>79</v>
      </c>
      <c r="C6" s="38" t="s">
        <v>79</v>
      </c>
      <c r="E6" s="45">
        <f>E4+E5</f>
        <v>36000</v>
      </c>
    </row>
    <row r="7" spans="1:17" ht="15.95">
      <c r="A7" s="47" t="s">
        <v>76</v>
      </c>
      <c r="B7" s="47" t="s">
        <v>77</v>
      </c>
      <c r="C7" s="42" t="s">
        <v>63</v>
      </c>
      <c r="E7" s="44">
        <f>'INCOME TAX 1617'!E25</f>
        <v>1500</v>
      </c>
      <c r="F7" s="34"/>
    </row>
    <row r="8" spans="1:17" ht="15.95">
      <c r="A8" s="47" t="s">
        <v>76</v>
      </c>
      <c r="B8" s="47" t="s">
        <v>80</v>
      </c>
      <c r="C8" s="38" t="s">
        <v>61</v>
      </c>
      <c r="E8" s="45">
        <f>IF(E6&gt;E2,0,E2-E6)</f>
        <v>7000</v>
      </c>
    </row>
    <row r="9" spans="1:17" ht="15.95">
      <c r="A9" s="47" t="s">
        <v>76</v>
      </c>
      <c r="B9" s="47" t="s">
        <v>81</v>
      </c>
      <c r="C9" s="38" t="s">
        <v>62</v>
      </c>
      <c r="E9" s="45">
        <f>IF(E6&gt;E2,E6-E2,0)</f>
        <v>0</v>
      </c>
    </row>
    <row r="10" spans="1:17" ht="15.95">
      <c r="A10" s="47" t="s">
        <v>76</v>
      </c>
      <c r="B10" s="47" t="s">
        <v>64</v>
      </c>
      <c r="C10" s="38" t="s">
        <v>66</v>
      </c>
      <c r="E10" s="45">
        <f>'INCOME TAX 1617'!E26</f>
        <v>0</v>
      </c>
    </row>
    <row r="11" spans="1:17" ht="15.95">
      <c r="A11" s="47" t="s">
        <v>76</v>
      </c>
      <c r="B11" s="47" t="s">
        <v>77</v>
      </c>
      <c r="C11" s="42" t="s">
        <v>65</v>
      </c>
      <c r="E11" s="44">
        <f>E7+E10</f>
        <v>1500</v>
      </c>
    </row>
    <row r="12" spans="1:17" ht="15.95">
      <c r="A12" s="46"/>
      <c r="B12" s="46"/>
      <c r="C12" s="33"/>
    </row>
    <row r="13" spans="1:17" ht="15.95">
      <c r="A13" s="47" t="s">
        <v>76</v>
      </c>
      <c r="B13" s="47" t="s">
        <v>82</v>
      </c>
      <c r="C13" s="38" t="s">
        <v>71</v>
      </c>
      <c r="E13" s="45">
        <v>5000</v>
      </c>
      <c r="G13" s="27" t="s">
        <v>70</v>
      </c>
    </row>
    <row r="14" spans="1:17" ht="15.95">
      <c r="A14" s="47" t="s">
        <v>75</v>
      </c>
      <c r="B14" s="47" t="s">
        <v>84</v>
      </c>
      <c r="C14" s="38" t="s">
        <v>83</v>
      </c>
      <c r="E14" s="45">
        <f>'INCOME TAX 1617'!E74-E11</f>
        <v>375</v>
      </c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10"/>
    <pageSetUpPr fitToPage="1"/>
  </sheetPr>
  <dimension ref="A1:M74"/>
  <sheetViews>
    <sheetView zoomScale="75" workbookViewId="0">
      <selection activeCell="G12" sqref="G12"/>
    </sheetView>
  </sheetViews>
  <sheetFormatPr defaultColWidth="8.88671875" defaultRowHeight="15"/>
  <cols>
    <col min="1" max="1" width="9.88671875" style="1" customWidth="1"/>
    <col min="2" max="2" width="10.33203125" style="1" bestFit="1" customWidth="1"/>
    <col min="3" max="3" width="9.88671875" style="1" customWidth="1"/>
    <col min="4" max="4" width="9" style="1" bestFit="1" customWidth="1"/>
    <col min="5" max="5" width="10.109375" style="1" customWidth="1"/>
    <col min="6" max="6" width="9" style="1" bestFit="1" customWidth="1"/>
    <col min="7" max="7" width="10" style="1" customWidth="1"/>
    <col min="8" max="9" width="8.88671875" style="1"/>
    <col min="10" max="11" width="9" style="1" bestFit="1" customWidth="1"/>
    <col min="12" max="12" width="9.109375" style="1" bestFit="1" customWidth="1"/>
    <col min="13" max="13" width="10.33203125" style="1" bestFit="1" customWidth="1"/>
    <col min="14" max="16384" width="8.88671875" style="1"/>
  </cols>
  <sheetData>
    <row r="1" spans="1:9" ht="18">
      <c r="A1" s="41" t="s">
        <v>68</v>
      </c>
      <c r="B1" s="2"/>
      <c r="C1" s="2"/>
      <c r="D1" s="2"/>
      <c r="E1" s="2"/>
      <c r="F1" s="2"/>
      <c r="G1" s="2"/>
    </row>
    <row r="2" spans="1:9" ht="15.75">
      <c r="A2" s="2"/>
      <c r="B2" s="2"/>
      <c r="C2" s="2"/>
      <c r="D2" s="2"/>
      <c r="E2" s="2"/>
      <c r="F2" s="2"/>
      <c r="G2" s="2"/>
    </row>
    <row r="3" spans="1:9" ht="15.75">
      <c r="A3" s="49" t="s">
        <v>1</v>
      </c>
      <c r="B3" s="50"/>
      <c r="C3" s="50"/>
      <c r="D3" s="50"/>
      <c r="E3" s="50"/>
      <c r="F3" s="50"/>
      <c r="G3" s="50"/>
      <c r="H3" s="50"/>
      <c r="I3" s="50"/>
    </row>
    <row r="4" spans="1:9" ht="15.75">
      <c r="A4" s="2"/>
      <c r="B4" s="2"/>
      <c r="C4" s="2"/>
      <c r="D4" s="2"/>
      <c r="E4" s="2"/>
      <c r="F4" s="2"/>
      <c r="G4" s="2"/>
    </row>
    <row r="5" spans="1:9" ht="16.5" thickBot="1">
      <c r="A5" s="2"/>
    </row>
    <row r="6" spans="1:9" ht="16.5" thickBot="1">
      <c r="A6" s="2" t="s">
        <v>2</v>
      </c>
      <c r="E6" s="21">
        <f>'Comparison Sheet'!E4</f>
        <v>11000</v>
      </c>
    </row>
    <row r="7" spans="1:9" ht="15.75" hidden="1">
      <c r="A7" s="2" t="s">
        <v>3</v>
      </c>
      <c r="E7" s="1">
        <f>IF(E6&lt;8112,0,(+(E6-8112)*0.138))</f>
        <v>398.54400000000004</v>
      </c>
    </row>
    <row r="8" spans="1:9" ht="15.75">
      <c r="A8" s="2"/>
    </row>
    <row r="9" spans="1:9" ht="15.75" thickBot="1"/>
    <row r="10" spans="1:9" ht="16.5" thickBot="1">
      <c r="A10" s="2" t="s">
        <v>4</v>
      </c>
      <c r="E10" s="21">
        <f>'Comparison Sheet'!E5</f>
        <v>25000</v>
      </c>
      <c r="F10" s="2"/>
    </row>
    <row r="11" spans="1:9" ht="15.75">
      <c r="E11" s="1">
        <f>IF(E10&gt;=5000,(E10-5000),0)</f>
        <v>20000</v>
      </c>
      <c r="F11" s="2" t="s">
        <v>5</v>
      </c>
      <c r="G11" s="1">
        <f>E6+E11</f>
        <v>31000</v>
      </c>
    </row>
    <row r="12" spans="1:9" ht="15.75">
      <c r="F12" s="2" t="s">
        <v>6</v>
      </c>
      <c r="G12" s="37">
        <f>E6+E10</f>
        <v>36000</v>
      </c>
    </row>
    <row r="13" spans="1:9" ht="15.75">
      <c r="A13" s="2" t="s">
        <v>7</v>
      </c>
    </row>
    <row r="14" spans="1:9">
      <c r="A14" s="1" t="s">
        <v>8</v>
      </c>
      <c r="B14" s="1" t="s">
        <v>9</v>
      </c>
      <c r="C14" s="1" t="s">
        <v>10</v>
      </c>
      <c r="D14" s="1" t="s">
        <v>11</v>
      </c>
    </row>
    <row r="15" spans="1:9">
      <c r="A15" s="13">
        <f>IF(G12&gt;=122000,0,IF((G12&gt;100000)*AND(G12&lt;122000),11000-((G12-100000)/2),11000))</f>
        <v>11000</v>
      </c>
      <c r="B15" s="1">
        <f>A15</f>
        <v>11000</v>
      </c>
      <c r="C15" s="1">
        <f>IF(E6&lt;=A15,E6,A15)</f>
        <v>11000</v>
      </c>
      <c r="D15" s="13">
        <v>0</v>
      </c>
      <c r="E15" s="1">
        <f>+C15*D15</f>
        <v>0</v>
      </c>
    </row>
    <row r="16" spans="1:9">
      <c r="A16" s="13">
        <v>5000</v>
      </c>
      <c r="B16" s="1">
        <f>+B15+A16</f>
        <v>16000</v>
      </c>
      <c r="C16" s="1">
        <f>IF(E6&lt;B16,E6-C15,A16)</f>
        <v>0</v>
      </c>
      <c r="D16" s="13">
        <v>0.2</v>
      </c>
      <c r="E16" s="1">
        <f>+C16*D16</f>
        <v>0</v>
      </c>
    </row>
    <row r="17" spans="1:7">
      <c r="A17" s="13">
        <f>32000-A16</f>
        <v>27000</v>
      </c>
      <c r="B17" s="1">
        <f>+B16+A17</f>
        <v>43000</v>
      </c>
      <c r="C17" s="1">
        <f>IF(E6&lt;B17,E6-C16-C15,A17)</f>
        <v>0</v>
      </c>
      <c r="D17" s="13">
        <v>0.2</v>
      </c>
      <c r="E17" s="1">
        <f>+C17*D17</f>
        <v>0</v>
      </c>
    </row>
    <row r="18" spans="1:7">
      <c r="A18" s="13">
        <f>150000-A17-A16</f>
        <v>118000</v>
      </c>
      <c r="B18" s="1">
        <f>B17+A18</f>
        <v>161000</v>
      </c>
      <c r="C18" s="1">
        <f>IF(E6&lt;B18,E6-C17-C16-C15,A18)</f>
        <v>0</v>
      </c>
      <c r="D18" s="13">
        <v>0.4</v>
      </c>
      <c r="E18" s="1">
        <f>+C18*D18</f>
        <v>0</v>
      </c>
    </row>
    <row r="19" spans="1:7" ht="15.75" thickBot="1">
      <c r="A19" s="1" t="s">
        <v>12</v>
      </c>
      <c r="B19" s="1">
        <f>+B18</f>
        <v>161000</v>
      </c>
      <c r="C19" s="1">
        <f>IF(E6&gt;B19,E6-C18-C17-C16-C15,0)</f>
        <v>0</v>
      </c>
      <c r="D19" s="13">
        <v>0.45</v>
      </c>
      <c r="E19" s="1">
        <f>+C19*D19</f>
        <v>0</v>
      </c>
    </row>
    <row r="20" spans="1:7" ht="15.75" thickBot="1">
      <c r="G20" s="26">
        <f>SUM(E15:E19)</f>
        <v>0</v>
      </c>
    </row>
    <row r="21" spans="1:7" ht="15.75">
      <c r="A21" s="2" t="s">
        <v>13</v>
      </c>
    </row>
    <row r="22" spans="1:7">
      <c r="C22" s="1" t="s">
        <v>10</v>
      </c>
      <c r="D22" s="1" t="s">
        <v>11</v>
      </c>
    </row>
    <row r="23" spans="1:7">
      <c r="A23" s="1" t="s">
        <v>14</v>
      </c>
      <c r="B23" s="1">
        <f>B15-C15</f>
        <v>0</v>
      </c>
      <c r="C23" s="1">
        <f>IF(E10&lt;=B23,E10,B23)</f>
        <v>0</v>
      </c>
      <c r="D23" s="13">
        <v>0</v>
      </c>
      <c r="E23" s="1">
        <f>+C23*D23</f>
        <v>0</v>
      </c>
    </row>
    <row r="24" spans="1:7">
      <c r="A24" s="1" t="s">
        <v>15</v>
      </c>
      <c r="B24" s="35">
        <v>5000</v>
      </c>
      <c r="C24" s="1">
        <f>IF(E10&gt;=(B23+B24),B24,(E10-C23))</f>
        <v>5000</v>
      </c>
      <c r="D24" s="13">
        <v>0</v>
      </c>
      <c r="E24" s="1">
        <f>+C24*D24</f>
        <v>0</v>
      </c>
    </row>
    <row r="25" spans="1:7">
      <c r="A25" s="1" t="s">
        <v>16</v>
      </c>
      <c r="B25" s="1">
        <f>IF((B17-C17-C16-C15-C24-C23)&lt;=0,0,(B17-C17-C16-C15-C24-C23))</f>
        <v>27000</v>
      </c>
      <c r="C25" s="1">
        <f>IF(E10&lt;=(B23+B24+B25),E10-C23-C24,B25)</f>
        <v>20000</v>
      </c>
      <c r="D25" s="36">
        <v>7.4999999999999997E-2</v>
      </c>
      <c r="E25" s="1">
        <f>+C25*D25</f>
        <v>1500</v>
      </c>
    </row>
    <row r="26" spans="1:7">
      <c r="A26" s="1" t="s">
        <v>17</v>
      </c>
      <c r="B26" s="1">
        <f>IF((B18-C25-C24-C23-C18-C17-C16-C15)&lt;=0,0,(B18-C25-C24-C23-C18-C17-C16-C15))</f>
        <v>125000</v>
      </c>
      <c r="C26" s="1">
        <f>IF(E10&lt;=(B23+B24+B25+B26),E10-C23-C24-C25,B26)</f>
        <v>0</v>
      </c>
      <c r="D26" s="36">
        <v>0.32500000000000001</v>
      </c>
      <c r="E26" s="1">
        <f>+C26*D26</f>
        <v>0</v>
      </c>
      <c r="G26" s="13"/>
    </row>
    <row r="27" spans="1:7">
      <c r="A27" s="1" t="s">
        <v>18</v>
      </c>
      <c r="B27" s="1">
        <f>G12-C26-C25-C24-C23-C19-C18-C17-C16-C15</f>
        <v>0</v>
      </c>
      <c r="C27" s="1">
        <f>IF(E10&lt;B27,E11-C24-C25-C26,B27)</f>
        <v>0</v>
      </c>
      <c r="D27" s="36">
        <v>0.38100000000000001</v>
      </c>
      <c r="E27" s="1">
        <f>C27*D27</f>
        <v>0</v>
      </c>
    </row>
    <row r="28" spans="1:7" ht="15.75" thickBot="1">
      <c r="D28" s="13"/>
    </row>
    <row r="29" spans="1:7" ht="15.75" thickBot="1">
      <c r="E29" s="26">
        <f>E25++E26+E27</f>
        <v>1500</v>
      </c>
    </row>
    <row r="31" spans="1:7" ht="16.5" hidden="1" thickBot="1">
      <c r="A31" s="2" t="s">
        <v>19</v>
      </c>
    </row>
    <row r="32" spans="1:7" ht="15.75" hidden="1" thickBot="1">
      <c r="A32" s="1" t="s">
        <v>20</v>
      </c>
      <c r="E32" s="26">
        <f>'SALARY PAYE 1617'!H42</f>
        <v>352.80000000000007</v>
      </c>
    </row>
    <row r="33" spans="1:13" ht="15.75" hidden="1">
      <c r="E33" s="2"/>
      <c r="F33" s="2"/>
      <c r="G33" s="2"/>
      <c r="L33" s="4"/>
      <c r="M33" s="4"/>
    </row>
    <row r="34" spans="1:13" ht="15.75" hidden="1" thickBot="1"/>
    <row r="35" spans="1:13" ht="16.5" hidden="1" thickBot="1">
      <c r="A35" s="2" t="s">
        <v>21</v>
      </c>
      <c r="E35" s="26">
        <f>+E29+E32+E15+E16+E17+E18+E19</f>
        <v>1852.8000000000002</v>
      </c>
    </row>
    <row r="36" spans="1:13" hidden="1"/>
    <row r="37" spans="1:13" ht="15.75" hidden="1" thickBot="1"/>
    <row r="38" spans="1:13" ht="16.5" hidden="1" thickBot="1">
      <c r="A38" s="2" t="s">
        <v>22</v>
      </c>
      <c r="E38" s="26">
        <f>+E6+E10-E35</f>
        <v>34147.199999999997</v>
      </c>
    </row>
    <row r="39" spans="1:13" hidden="1"/>
    <row r="40" spans="1:13" hidden="1"/>
    <row r="41" spans="1:13" ht="16.5" hidden="1" thickBot="1">
      <c r="A41" s="2" t="s">
        <v>23</v>
      </c>
    </row>
    <row r="42" spans="1:13" ht="15.75" hidden="1" thickBot="1">
      <c r="A42" s="1" t="s">
        <v>20</v>
      </c>
      <c r="E42" s="26">
        <f>'SALARY PAYE 1617'!J42</f>
        <v>398.5440000000001</v>
      </c>
    </row>
    <row r="46" spans="1:13" ht="18">
      <c r="A46" s="41" t="s">
        <v>67</v>
      </c>
      <c r="B46" s="2"/>
      <c r="C46" s="2"/>
      <c r="D46" s="2"/>
      <c r="E46" s="2"/>
      <c r="F46" s="2"/>
      <c r="G46" s="2"/>
    </row>
    <row r="47" spans="1:13" ht="15.75">
      <c r="A47" s="2"/>
      <c r="B47" s="2"/>
      <c r="C47" s="2"/>
      <c r="D47" s="2"/>
      <c r="E47" s="2"/>
      <c r="F47" s="2"/>
      <c r="G47" s="2"/>
    </row>
    <row r="48" spans="1:13" ht="15.75">
      <c r="A48" s="49" t="s">
        <v>1</v>
      </c>
      <c r="B48" s="50"/>
      <c r="C48" s="50"/>
      <c r="D48" s="50"/>
      <c r="E48" s="50"/>
      <c r="F48" s="50"/>
      <c r="G48" s="50"/>
      <c r="H48" s="50"/>
      <c r="I48" s="50"/>
    </row>
    <row r="49" spans="1:7" ht="15.75">
      <c r="A49" s="2"/>
      <c r="B49" s="2"/>
      <c r="C49" s="2"/>
      <c r="D49" s="2"/>
      <c r="E49" s="2"/>
      <c r="F49" s="2"/>
      <c r="G49" s="2"/>
    </row>
    <row r="50" spans="1:7" ht="16.5" thickBot="1">
      <c r="A50" s="2"/>
    </row>
    <row r="51" spans="1:7" ht="16.5" thickBot="1">
      <c r="A51" s="2" t="s">
        <v>2</v>
      </c>
      <c r="E51" s="21">
        <f>E6</f>
        <v>11000</v>
      </c>
    </row>
    <row r="52" spans="1:7" ht="15.75" hidden="1">
      <c r="A52" s="2" t="s">
        <v>3</v>
      </c>
      <c r="E52" s="1">
        <f>IF(E51&lt;8112,0,(+(E51-8112)*0.138))</f>
        <v>398.54400000000004</v>
      </c>
    </row>
    <row r="53" spans="1:7" ht="15.75">
      <c r="A53" s="2"/>
    </row>
    <row r="54" spans="1:7" ht="15.75" thickBot="1"/>
    <row r="55" spans="1:7" ht="16.5" thickBot="1">
      <c r="A55" s="2" t="s">
        <v>4</v>
      </c>
      <c r="E55" s="21">
        <f>E10+'Comparison Sheet'!E13</f>
        <v>30000</v>
      </c>
      <c r="F55" s="2"/>
    </row>
    <row r="56" spans="1:7" ht="15.75">
      <c r="E56" s="1">
        <f>IF(E55&gt;=5000,(E55-5000),0)</f>
        <v>25000</v>
      </c>
      <c r="F56" s="2" t="s">
        <v>5</v>
      </c>
      <c r="G56" s="1">
        <f>E51+E56</f>
        <v>36000</v>
      </c>
    </row>
    <row r="57" spans="1:7" ht="15.75">
      <c r="F57" s="2" t="s">
        <v>6</v>
      </c>
      <c r="G57" s="37">
        <f>E51+E55</f>
        <v>41000</v>
      </c>
    </row>
    <row r="58" spans="1:7" ht="15.75">
      <c r="A58" s="2" t="s">
        <v>7</v>
      </c>
    </row>
    <row r="59" spans="1:7">
      <c r="A59" s="1" t="s">
        <v>8</v>
      </c>
      <c r="B59" s="1" t="s">
        <v>9</v>
      </c>
      <c r="C59" s="1" t="s">
        <v>10</v>
      </c>
      <c r="D59" s="1" t="s">
        <v>11</v>
      </c>
    </row>
    <row r="60" spans="1:7">
      <c r="A60" s="13">
        <f>IF(G57&gt;=122000,0,IF((G57&gt;100000)*AND(G57&lt;122000),11000-((G57-100000)/2),11000))</f>
        <v>11000</v>
      </c>
      <c r="B60" s="1">
        <f>A60</f>
        <v>11000</v>
      </c>
      <c r="C60" s="1">
        <f>IF(E51&lt;=A60,E51,A60)</f>
        <v>11000</v>
      </c>
      <c r="D60" s="13">
        <v>0</v>
      </c>
      <c r="E60" s="1">
        <f>+C60*D60</f>
        <v>0</v>
      </c>
    </row>
    <row r="61" spans="1:7">
      <c r="A61" s="13">
        <v>5000</v>
      </c>
      <c r="B61" s="1">
        <f>+B60+A61</f>
        <v>16000</v>
      </c>
      <c r="C61" s="1">
        <f>IF(E51&lt;B61,E51-C60,A61)</f>
        <v>0</v>
      </c>
      <c r="D61" s="13">
        <v>0.2</v>
      </c>
      <c r="E61" s="1">
        <f>+C61*D61</f>
        <v>0</v>
      </c>
    </row>
    <row r="62" spans="1:7">
      <c r="A62" s="13">
        <f>32000-A61</f>
        <v>27000</v>
      </c>
      <c r="B62" s="1">
        <f>+B61+A62</f>
        <v>43000</v>
      </c>
      <c r="C62" s="1">
        <f>IF(E51&lt;B62,E51-C61-C60,A62)</f>
        <v>0</v>
      </c>
      <c r="D62" s="13">
        <v>0.2</v>
      </c>
      <c r="E62" s="1">
        <f>+C62*D62</f>
        <v>0</v>
      </c>
    </row>
    <row r="63" spans="1:7">
      <c r="A63" s="13">
        <f>150000-A62-A61</f>
        <v>118000</v>
      </c>
      <c r="B63" s="1">
        <f>B62+A63</f>
        <v>161000</v>
      </c>
      <c r="C63" s="1">
        <f>IF(E51&lt;B63,E51-C62-C61-C60,A63)</f>
        <v>0</v>
      </c>
      <c r="D63" s="13">
        <v>0.4</v>
      </c>
      <c r="E63" s="1">
        <f>+C63*D63</f>
        <v>0</v>
      </c>
    </row>
    <row r="64" spans="1:7" ht="15.75" thickBot="1">
      <c r="A64" s="1" t="s">
        <v>12</v>
      </c>
      <c r="B64" s="1">
        <f>+B63</f>
        <v>161000</v>
      </c>
      <c r="C64" s="1">
        <f>IF(E51&gt;B64,E51-C63-C62-C61-C60,0)</f>
        <v>0</v>
      </c>
      <c r="D64" s="13">
        <v>0.45</v>
      </c>
      <c r="E64" s="1">
        <f>+C64*D64</f>
        <v>0</v>
      </c>
    </row>
    <row r="65" spans="1:7" ht="15.75" thickBot="1">
      <c r="G65" s="26">
        <f>SUM(E60:E64)</f>
        <v>0</v>
      </c>
    </row>
    <row r="66" spans="1:7" ht="15.75">
      <c r="A66" s="2" t="s">
        <v>13</v>
      </c>
    </row>
    <row r="67" spans="1:7">
      <c r="C67" s="1" t="s">
        <v>10</v>
      </c>
      <c r="D67" s="1" t="s">
        <v>11</v>
      </c>
    </row>
    <row r="68" spans="1:7">
      <c r="A68" s="1" t="s">
        <v>14</v>
      </c>
      <c r="B68" s="1">
        <f>B60-C60</f>
        <v>0</v>
      </c>
      <c r="C68" s="1">
        <f>IF(E55&lt;=B68,E55,B68)</f>
        <v>0</v>
      </c>
      <c r="D68" s="13">
        <v>0</v>
      </c>
      <c r="E68" s="1">
        <f>+C68*D68</f>
        <v>0</v>
      </c>
    </row>
    <row r="69" spans="1:7">
      <c r="A69" s="1" t="s">
        <v>15</v>
      </c>
      <c r="B69" s="35">
        <v>5000</v>
      </c>
      <c r="C69" s="1">
        <f>IF(E55&gt;=(B68+B69),B69,(E55-C68))</f>
        <v>5000</v>
      </c>
      <c r="D69" s="13">
        <v>0</v>
      </c>
      <c r="E69" s="1">
        <f>+C69*D69</f>
        <v>0</v>
      </c>
    </row>
    <row r="70" spans="1:7">
      <c r="A70" s="1" t="s">
        <v>16</v>
      </c>
      <c r="B70" s="1">
        <f>IF((B62-C62-C61-C60-C69-C68)&lt;=0,0,(B62-C62-C61-C60-C69-C68))</f>
        <v>27000</v>
      </c>
      <c r="C70" s="1">
        <f>IF(E55&lt;=(B68+B69+B70),E55-C68-C69,B70)</f>
        <v>25000</v>
      </c>
      <c r="D70" s="36">
        <v>7.4999999999999997E-2</v>
      </c>
      <c r="E70" s="1">
        <f>+C70*D70</f>
        <v>1875</v>
      </c>
    </row>
    <row r="71" spans="1:7">
      <c r="A71" s="1" t="s">
        <v>17</v>
      </c>
      <c r="B71" s="1">
        <f>IF((B63-C70-C69-C68-C63-C62-C61-C60)&lt;=0,0,(B63-C70-C69-C68-C63-C62-C61-C60))</f>
        <v>120000</v>
      </c>
      <c r="C71" s="1">
        <f>IF(E55&lt;=(B68+B69+B70+B71),E55-C68-C69-C70,B71)</f>
        <v>0</v>
      </c>
      <c r="D71" s="36">
        <v>0.32500000000000001</v>
      </c>
      <c r="E71" s="1">
        <f>+C71*D71</f>
        <v>0</v>
      </c>
      <c r="G71" s="13"/>
    </row>
    <row r="72" spans="1:7">
      <c r="A72" s="1" t="s">
        <v>18</v>
      </c>
      <c r="B72" s="1">
        <f>G57-C71-C70-C69-C68-C64-C63-C62-C61-C60</f>
        <v>0</v>
      </c>
      <c r="C72" s="1">
        <f>IF(E55&lt;B72,E56-C69-C70-C71,B72)</f>
        <v>0</v>
      </c>
      <c r="D72" s="36">
        <v>0.38100000000000001</v>
      </c>
      <c r="E72" s="1">
        <f>C72*D72</f>
        <v>0</v>
      </c>
    </row>
    <row r="73" spans="1:7" ht="15.75" thickBot="1">
      <c r="D73" s="13"/>
    </row>
    <row r="74" spans="1:7" ht="15.75" thickBot="1">
      <c r="E74" s="26">
        <f>E70++E71+E72</f>
        <v>1875</v>
      </c>
    </row>
  </sheetData>
  <mergeCells count="2">
    <mergeCell ref="A3:I3"/>
    <mergeCell ref="A48:I48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J100"/>
  <sheetViews>
    <sheetView zoomScale="75" zoomScaleNormal="75" zoomScalePageLayoutView="75" workbookViewId="0">
      <selection activeCell="E6" sqref="E6"/>
    </sheetView>
  </sheetViews>
  <sheetFormatPr defaultColWidth="9.6640625" defaultRowHeight="15"/>
  <cols>
    <col min="1" max="2" width="9.6640625" style="3"/>
    <col min="3" max="3" width="11.109375" style="3" customWidth="1"/>
    <col min="4" max="4" width="10" style="3" bestFit="1" customWidth="1"/>
    <col min="5" max="5" width="11.33203125" style="3" customWidth="1"/>
    <col min="6" max="6" width="9.88671875" style="3" bestFit="1" customWidth="1"/>
    <col min="7" max="7" width="9.6640625" style="3"/>
    <col min="8" max="8" width="12.109375" style="3" customWidth="1"/>
    <col min="9" max="9" width="9.6640625" style="3"/>
    <col min="10" max="10" width="11" style="3" customWidth="1"/>
    <col min="11" max="16384" width="9.6640625" style="3"/>
  </cols>
  <sheetData>
    <row r="1" spans="1:10" ht="15.75">
      <c r="A1" s="19" t="s">
        <v>24</v>
      </c>
    </row>
    <row r="2" spans="1:10">
      <c r="A2" s="5"/>
      <c r="B2" s="5"/>
      <c r="C2" s="5"/>
      <c r="D2" s="6"/>
      <c r="E2" s="6"/>
      <c r="F2" s="5"/>
      <c r="G2" s="5"/>
      <c r="H2" s="5"/>
    </row>
    <row r="3" spans="1:10" ht="15.75">
      <c r="A3" s="7" t="s">
        <v>25</v>
      </c>
    </row>
    <row r="4" spans="1:10" ht="15.75">
      <c r="A4" s="49" t="str">
        <f>'INCOME TAX 1617'!A3:I3</f>
        <v>2016/17 Tax Rates</v>
      </c>
      <c r="B4" s="50"/>
      <c r="C4" s="50"/>
      <c r="D4" s="50"/>
      <c r="E4" s="50"/>
      <c r="F4" s="50"/>
      <c r="G4" s="50"/>
      <c r="H4" s="50"/>
      <c r="I4" s="50"/>
    </row>
    <row r="5" spans="1:10" ht="16.5" thickBot="1">
      <c r="A5" s="20"/>
      <c r="B5" s="20"/>
      <c r="C5" s="20"/>
      <c r="D5" s="7"/>
      <c r="E5" s="7"/>
      <c r="F5" s="7"/>
      <c r="G5" s="7"/>
      <c r="H5" s="7"/>
      <c r="I5" s="20"/>
      <c r="J5" s="7"/>
    </row>
    <row r="6" spans="1:10" ht="15.75" thickBot="1">
      <c r="A6" s="20"/>
      <c r="B6" s="20"/>
      <c r="C6" s="20"/>
      <c r="D6" s="24" t="s">
        <v>26</v>
      </c>
      <c r="E6" s="25">
        <f>'INCOME TAX 1617'!E6</f>
        <v>11000</v>
      </c>
      <c r="F6" s="24"/>
      <c r="G6" s="20"/>
      <c r="H6" s="24"/>
      <c r="I6" s="20"/>
    </row>
    <row r="8" spans="1:10">
      <c r="A8" s="3" t="s">
        <v>27</v>
      </c>
    </row>
    <row r="9" spans="1:10">
      <c r="A9" s="3" t="s">
        <v>28</v>
      </c>
      <c r="C9" s="23">
        <v>11000</v>
      </c>
      <c r="D9" s="14">
        <v>0</v>
      </c>
      <c r="E9" s="3">
        <v>0</v>
      </c>
      <c r="F9" s="14"/>
      <c r="H9" s="14"/>
    </row>
    <row r="10" spans="1:10">
      <c r="D10" s="14"/>
      <c r="F10" s="14"/>
      <c r="H10" s="14"/>
    </row>
    <row r="11" spans="1:10">
      <c r="D11" s="14"/>
      <c r="F11" s="14"/>
      <c r="H11" s="14"/>
    </row>
    <row r="12" spans="1:10">
      <c r="A12" s="3" t="s">
        <v>29</v>
      </c>
      <c r="C12" s="14">
        <v>5000</v>
      </c>
      <c r="D12" s="14">
        <v>0.2</v>
      </c>
      <c r="E12" s="3">
        <f>IF((E6-C9)&gt;C12,C12*D12,(E6-C9)*D12)</f>
        <v>0</v>
      </c>
      <c r="F12" s="14"/>
      <c r="H12" s="14"/>
    </row>
    <row r="13" spans="1:10">
      <c r="D13" s="14"/>
      <c r="E13" s="3">
        <f>+IF(E12&lt;0,-E12,0)</f>
        <v>0</v>
      </c>
      <c r="F13" s="14"/>
      <c r="H13" s="14"/>
    </row>
    <row r="14" spans="1:10">
      <c r="D14" s="14"/>
      <c r="F14" s="14"/>
      <c r="H14" s="14"/>
    </row>
    <row r="15" spans="1:10">
      <c r="A15" s="3" t="s">
        <v>30</v>
      </c>
      <c r="C15" s="14">
        <v>27000</v>
      </c>
      <c r="D15" s="14">
        <v>0.2</v>
      </c>
      <c r="E15" s="3">
        <f>IF(C9+C12&gt;E6,0,(IF((E6-(C9+C12))&gt;C15,C15*D15,((E6-(C9+C12))*D15))))</f>
        <v>0</v>
      </c>
      <c r="F15" s="14"/>
      <c r="H15" s="14"/>
    </row>
    <row r="16" spans="1:10">
      <c r="D16" s="14"/>
      <c r="F16" s="14"/>
      <c r="H16" s="14"/>
    </row>
    <row r="17" spans="1:10">
      <c r="D17" s="14"/>
      <c r="F17" s="14"/>
      <c r="H17" s="14"/>
    </row>
    <row r="18" spans="1:10">
      <c r="A18" s="20" t="s">
        <v>31</v>
      </c>
      <c r="B18" s="20"/>
      <c r="C18" s="15">
        <v>107000</v>
      </c>
      <c r="D18" s="15">
        <v>0.4</v>
      </c>
      <c r="E18" s="20">
        <f>IF(E6&gt;(C9+C12+C15+C18),C18*D18,IF(E6-C9-C12-C15&lt;0,0,((E6-(C9+C12+C15))*D18)))</f>
        <v>0</v>
      </c>
      <c r="F18" s="15"/>
      <c r="G18" s="20"/>
      <c r="H18" s="16"/>
    </row>
    <row r="19" spans="1:10">
      <c r="A19" s="20"/>
      <c r="B19" s="20"/>
      <c r="C19" s="20"/>
      <c r="D19" s="15"/>
      <c r="F19" s="15"/>
      <c r="G19" s="20"/>
      <c r="H19" s="16"/>
    </row>
    <row r="20" spans="1:10">
      <c r="A20" s="20"/>
      <c r="B20" s="20"/>
      <c r="C20" s="20"/>
      <c r="D20" s="15"/>
      <c r="E20" s="20"/>
      <c r="F20" s="15"/>
      <c r="G20" s="20"/>
      <c r="H20" s="16"/>
    </row>
    <row r="21" spans="1:10">
      <c r="A21" s="20" t="s">
        <v>32</v>
      </c>
      <c r="B21" s="20"/>
      <c r="C21" s="20"/>
      <c r="D21" s="15">
        <v>0.45</v>
      </c>
      <c r="E21" s="20">
        <f>IF(E6&gt;(+C12+C15+C18),((E6-(+C12+C15+C18))*D21),0)</f>
        <v>0</v>
      </c>
      <c r="F21" s="15"/>
      <c r="G21" s="20"/>
      <c r="H21" s="16"/>
    </row>
    <row r="23" spans="1:10">
      <c r="A23" s="20" t="s">
        <v>33</v>
      </c>
      <c r="B23" s="20"/>
      <c r="C23" s="20"/>
      <c r="D23" s="20"/>
      <c r="E23" s="8">
        <f>SUM(E9:E18)+E21</f>
        <v>0</v>
      </c>
      <c r="F23" s="20"/>
      <c r="G23" s="8"/>
      <c r="H23" s="20"/>
      <c r="I23" s="8"/>
      <c r="J23" s="8"/>
    </row>
    <row r="24" spans="1:10">
      <c r="A24" s="3" t="s">
        <v>34</v>
      </c>
      <c r="E24" s="3">
        <f>E23/12</f>
        <v>0</v>
      </c>
    </row>
    <row r="27" spans="1:10" ht="15.75">
      <c r="A27" s="9" t="s">
        <v>35</v>
      </c>
      <c r="B27" s="5"/>
      <c r="C27" s="5"/>
      <c r="D27" s="5"/>
      <c r="E27" s="5"/>
      <c r="F27" s="5"/>
      <c r="G27" s="5"/>
      <c r="H27" s="5"/>
      <c r="I27" s="5"/>
      <c r="J27" s="5"/>
    </row>
    <row r="28" spans="1:10" ht="15.75">
      <c r="A28" s="9" t="str">
        <f>A4</f>
        <v>2016/17 Tax Rates</v>
      </c>
      <c r="B28" s="5"/>
      <c r="C28" s="5"/>
      <c r="D28" s="5"/>
      <c r="E28" s="5"/>
      <c r="F28" s="5"/>
      <c r="G28" s="5"/>
      <c r="H28" s="5"/>
      <c r="I28" s="5"/>
      <c r="J28" s="5"/>
    </row>
    <row r="29" spans="1:10">
      <c r="B29" s="5"/>
      <c r="C29" s="5"/>
      <c r="D29" s="5"/>
      <c r="E29" s="5"/>
      <c r="F29" s="5"/>
      <c r="G29" s="5"/>
      <c r="H29" s="5" t="s">
        <v>36</v>
      </c>
      <c r="I29" s="5"/>
      <c r="J29" s="5"/>
    </row>
    <row r="30" spans="1:10" ht="15.75">
      <c r="A30" s="5"/>
      <c r="B30" s="5"/>
      <c r="C30" s="5"/>
      <c r="D30" s="5" t="s">
        <v>37</v>
      </c>
      <c r="E30" s="5"/>
      <c r="F30" s="5" t="s">
        <v>38</v>
      </c>
      <c r="G30" s="5"/>
      <c r="H30" s="9">
        <f>E6</f>
        <v>11000</v>
      </c>
      <c r="I30" s="5" t="s">
        <v>39</v>
      </c>
      <c r="J30" s="5"/>
    </row>
    <row r="31" spans="1:10">
      <c r="A31" s="5"/>
      <c r="B31" s="5" t="s">
        <v>40</v>
      </c>
      <c r="C31" s="5" t="s">
        <v>41</v>
      </c>
      <c r="D31" s="5"/>
      <c r="E31" s="5" t="s">
        <v>42</v>
      </c>
      <c r="F31" s="5" t="s">
        <v>43</v>
      </c>
      <c r="G31" s="5"/>
      <c r="H31" s="5">
        <f>H30/12</f>
        <v>916.66666666666663</v>
      </c>
      <c r="I31" s="5" t="s">
        <v>44</v>
      </c>
      <c r="J31" s="5"/>
    </row>
    <row r="32" spans="1:10">
      <c r="A32" s="5"/>
      <c r="B32" s="5" t="s">
        <v>45</v>
      </c>
      <c r="C32" s="5"/>
      <c r="D32" s="5"/>
      <c r="E32" s="5"/>
      <c r="F32" s="5" t="s">
        <v>46</v>
      </c>
      <c r="G32" s="5"/>
      <c r="H32" s="5">
        <f>H30/52</f>
        <v>211.53846153846155</v>
      </c>
      <c r="I32" s="5" t="s">
        <v>47</v>
      </c>
      <c r="J32" s="5"/>
    </row>
    <row r="33" spans="1:10">
      <c r="A33" s="5"/>
      <c r="B33" s="5"/>
      <c r="C33" s="5"/>
      <c r="D33" s="5"/>
      <c r="E33" s="5"/>
      <c r="F33" s="10"/>
      <c r="G33" s="5"/>
      <c r="H33" s="5" t="s">
        <v>37</v>
      </c>
      <c r="I33" s="5"/>
      <c r="J33" s="5" t="s">
        <v>38</v>
      </c>
    </row>
    <row r="34" spans="1:10">
      <c r="A34" s="5"/>
      <c r="B34" s="5">
        <v>0</v>
      </c>
      <c r="C34" s="17">
        <v>155</v>
      </c>
      <c r="D34" s="18">
        <v>0</v>
      </c>
      <c r="E34" s="5">
        <f>C34*52</f>
        <v>8060</v>
      </c>
      <c r="F34" s="15">
        <v>0</v>
      </c>
      <c r="G34" s="22">
        <v>156</v>
      </c>
      <c r="H34" s="5">
        <f>IF(H32&lt;C34,0,+C34*D34)</f>
        <v>0</v>
      </c>
      <c r="I34" s="5"/>
      <c r="J34" s="5">
        <v>0</v>
      </c>
    </row>
    <row r="35" spans="1:10">
      <c r="A35" s="5"/>
      <c r="B35" s="5"/>
      <c r="C35" s="5"/>
      <c r="D35" s="18"/>
      <c r="E35" s="5"/>
      <c r="F35" s="18"/>
      <c r="G35" s="5"/>
      <c r="H35" s="5"/>
      <c r="I35" s="5"/>
      <c r="J35" s="5"/>
    </row>
    <row r="36" spans="1:10">
      <c r="A36" s="5"/>
      <c r="B36" s="17">
        <v>155.01</v>
      </c>
      <c r="C36" s="17">
        <v>815</v>
      </c>
      <c r="D36" s="18">
        <v>0.12</v>
      </c>
      <c r="E36" s="5">
        <f>C36*52</f>
        <v>42380</v>
      </c>
      <c r="F36" s="18">
        <v>0.13800000000000001</v>
      </c>
      <c r="G36" s="22">
        <v>156.01</v>
      </c>
      <c r="H36" s="5">
        <f>IF(AND(H32&lt;C36,H32&gt;C34),(H32-C34)*D36,0)</f>
        <v>6.7846153846153854</v>
      </c>
      <c r="I36" s="5"/>
      <c r="J36" s="5">
        <f>IF((H32&gt;G36),(H32-G34)*F36,0)</f>
        <v>7.6643076923076938</v>
      </c>
    </row>
    <row r="37" spans="1:10">
      <c r="A37" s="5"/>
      <c r="B37" s="17">
        <v>815.01</v>
      </c>
      <c r="C37" s="5" t="s">
        <v>48</v>
      </c>
      <c r="D37" s="18">
        <v>0.02</v>
      </c>
      <c r="E37" s="5"/>
      <c r="F37" s="18">
        <v>0.13800000000000001</v>
      </c>
      <c r="G37" s="5"/>
      <c r="H37" s="5">
        <f>IF((H32&gt;=C36),(((C36-B36)*D36)+((H32-C36)*D37)),0)</f>
        <v>0</v>
      </c>
      <c r="I37" s="5"/>
      <c r="J37" s="5"/>
    </row>
    <row r="38" spans="1:10">
      <c r="A38" s="5"/>
      <c r="B38" s="5"/>
      <c r="C38" s="5"/>
      <c r="D38" s="10"/>
      <c r="E38" s="5"/>
      <c r="F38" s="11"/>
      <c r="G38" s="5"/>
      <c r="H38" s="5"/>
      <c r="I38" s="5"/>
      <c r="J38" s="5"/>
    </row>
    <row r="39" spans="1:10">
      <c r="A39" s="5"/>
      <c r="B39" s="5"/>
      <c r="C39" s="5"/>
      <c r="D39" s="10"/>
      <c r="E39" s="5"/>
      <c r="F39" s="5"/>
      <c r="G39" s="5"/>
      <c r="H39" s="12" t="s">
        <v>49</v>
      </c>
      <c r="I39" s="5"/>
      <c r="J39" s="12" t="s">
        <v>49</v>
      </c>
    </row>
    <row r="40" spans="1:10">
      <c r="A40" s="5" t="s">
        <v>50</v>
      </c>
      <c r="B40" s="5"/>
      <c r="C40" s="5"/>
      <c r="D40" s="5"/>
      <c r="E40" s="5"/>
      <c r="F40" s="5"/>
      <c r="G40" s="5"/>
      <c r="H40" s="5">
        <f>SUM(H34:H39)</f>
        <v>6.7846153846153854</v>
      </c>
      <c r="I40" s="5"/>
      <c r="J40" s="5">
        <f>SUM(J34:J39)</f>
        <v>7.6643076923076938</v>
      </c>
    </row>
    <row r="41" spans="1:10">
      <c r="A41" s="3" t="s">
        <v>51</v>
      </c>
      <c r="H41" s="3">
        <f>H40*52/12</f>
        <v>29.400000000000006</v>
      </c>
      <c r="J41" s="3">
        <f>J40*52/12</f>
        <v>33.21200000000001</v>
      </c>
    </row>
    <row r="42" spans="1:10">
      <c r="A42" s="3" t="s">
        <v>52</v>
      </c>
      <c r="H42" s="3">
        <f>H40*52</f>
        <v>352.80000000000007</v>
      </c>
      <c r="J42" s="3">
        <f>J40*52</f>
        <v>398.5440000000001</v>
      </c>
    </row>
    <row r="43" spans="1:10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spans="1:10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0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spans="1:10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spans="1:10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spans="1:10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spans="1:10">
      <c r="A49" s="5"/>
      <c r="B49" s="5"/>
      <c r="C49" s="5"/>
      <c r="D49" s="5"/>
      <c r="E49" s="5"/>
      <c r="F49" s="5"/>
      <c r="G49" s="5"/>
      <c r="H49" s="5"/>
      <c r="I49" s="5"/>
      <c r="J49" s="5"/>
    </row>
    <row r="50" spans="1:10">
      <c r="A50" s="5"/>
      <c r="B50" s="5"/>
      <c r="C50" s="5"/>
      <c r="D50" s="5"/>
      <c r="E50" s="5"/>
      <c r="F50" s="5"/>
      <c r="G50" s="5"/>
      <c r="H50" s="5"/>
      <c r="I50" s="5"/>
      <c r="J50" s="5"/>
    </row>
    <row r="51" spans="1:10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spans="1:10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spans="1:10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spans="1:10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spans="1:10">
      <c r="A55" s="5"/>
      <c r="B55" s="5"/>
      <c r="C55" s="5"/>
      <c r="D55" s="5"/>
      <c r="E55" s="5"/>
      <c r="F55" s="5"/>
      <c r="G55" s="5"/>
    </row>
    <row r="56" spans="1:10">
      <c r="A56" s="5"/>
      <c r="B56" s="5"/>
      <c r="C56" s="5"/>
      <c r="D56" s="5"/>
      <c r="E56" s="5"/>
      <c r="F56" s="5"/>
      <c r="G56" s="5"/>
    </row>
    <row r="57" spans="1:10">
      <c r="A57" s="5"/>
      <c r="B57" s="5"/>
      <c r="C57" s="5"/>
      <c r="D57" s="5"/>
      <c r="E57" s="5"/>
      <c r="F57" s="5"/>
      <c r="G57" s="5"/>
    </row>
    <row r="58" spans="1:10">
      <c r="A58" s="5"/>
      <c r="B58" s="5"/>
      <c r="C58" s="5"/>
      <c r="D58" s="5"/>
      <c r="E58" s="5"/>
      <c r="F58" s="5"/>
      <c r="G58" s="5"/>
    </row>
    <row r="59" spans="1:10">
      <c r="A59" s="5"/>
      <c r="B59" s="5"/>
      <c r="C59" s="5"/>
      <c r="D59" s="5"/>
      <c r="E59" s="5"/>
      <c r="F59" s="5"/>
      <c r="G59" s="5"/>
    </row>
    <row r="60" spans="1:10">
      <c r="A60" s="5"/>
      <c r="B60" s="5"/>
      <c r="C60" s="5"/>
      <c r="D60" s="5"/>
      <c r="E60" s="5"/>
      <c r="F60" s="5"/>
      <c r="G60" s="5"/>
    </row>
    <row r="61" spans="1:10">
      <c r="A61" s="5"/>
      <c r="B61" s="5"/>
      <c r="C61" s="5"/>
      <c r="D61" s="5"/>
      <c r="E61" s="5"/>
      <c r="F61" s="5"/>
      <c r="G61" s="5"/>
    </row>
    <row r="62" spans="1:10">
      <c r="A62" s="5"/>
      <c r="B62" s="5"/>
      <c r="C62" s="5"/>
      <c r="D62" s="5"/>
      <c r="E62" s="5"/>
      <c r="F62" s="5"/>
      <c r="G62" s="5"/>
    </row>
    <row r="63" spans="1:10">
      <c r="A63" s="5"/>
      <c r="B63" s="5"/>
      <c r="C63" s="5"/>
      <c r="D63" s="5"/>
      <c r="E63" s="5"/>
      <c r="F63" s="5"/>
      <c r="G63" s="5"/>
    </row>
    <row r="64" spans="1:10">
      <c r="A64" s="5"/>
      <c r="B64" s="5"/>
      <c r="C64" s="5"/>
      <c r="D64" s="5"/>
      <c r="E64" s="5"/>
      <c r="F64" s="5"/>
      <c r="G64" s="5"/>
    </row>
    <row r="65" spans="1:7">
      <c r="A65" s="5"/>
      <c r="B65" s="5"/>
      <c r="C65" s="5"/>
      <c r="D65" s="5"/>
      <c r="E65" s="5"/>
      <c r="F65" s="5"/>
      <c r="G65" s="5"/>
    </row>
    <row r="66" spans="1:7">
      <c r="A66" s="5"/>
      <c r="B66" s="5"/>
      <c r="C66" s="5"/>
      <c r="D66" s="5"/>
      <c r="E66" s="5"/>
      <c r="F66" s="5"/>
      <c r="G66" s="5"/>
    </row>
    <row r="67" spans="1:7">
      <c r="A67" s="5"/>
      <c r="B67" s="5"/>
      <c r="C67" s="5"/>
      <c r="D67" s="5"/>
      <c r="E67" s="5"/>
      <c r="F67" s="5"/>
      <c r="G67" s="5"/>
    </row>
    <row r="68" spans="1:7">
      <c r="A68" s="5"/>
      <c r="B68" s="5"/>
      <c r="C68" s="5"/>
      <c r="D68" s="5"/>
      <c r="E68" s="5"/>
      <c r="F68" s="5"/>
      <c r="G68" s="5"/>
    </row>
    <row r="69" spans="1:7">
      <c r="A69" s="5"/>
      <c r="B69" s="5"/>
      <c r="C69" s="5"/>
      <c r="D69" s="5"/>
      <c r="E69" s="5"/>
      <c r="F69" s="5"/>
      <c r="G69" s="5"/>
    </row>
    <row r="70" spans="1:7">
      <c r="A70" s="5"/>
      <c r="B70" s="5"/>
      <c r="C70" s="5"/>
      <c r="D70" s="5"/>
      <c r="E70" s="5"/>
      <c r="F70" s="5"/>
      <c r="G70" s="5"/>
    </row>
    <row r="72" spans="1:7">
      <c r="A72" s="20"/>
      <c r="B72" s="20"/>
      <c r="C72" s="5"/>
      <c r="D72" s="5"/>
      <c r="E72" s="5"/>
    </row>
    <row r="73" spans="1:7">
      <c r="A73" s="20"/>
      <c r="B73" s="20"/>
      <c r="C73" s="5"/>
      <c r="D73" s="5"/>
      <c r="E73" s="5"/>
    </row>
    <row r="74" spans="1:7">
      <c r="A74" s="20"/>
      <c r="B74" s="20"/>
      <c r="C74" s="5"/>
      <c r="D74" s="5"/>
      <c r="E74" s="5"/>
    </row>
    <row r="75" spans="1:7">
      <c r="A75" s="20"/>
      <c r="B75" s="20"/>
      <c r="C75" s="5"/>
      <c r="D75" s="5"/>
      <c r="E75" s="5"/>
    </row>
    <row r="81" spans="1:5">
      <c r="A81" s="20"/>
      <c r="B81" s="20"/>
      <c r="C81" s="5"/>
      <c r="D81" s="5"/>
      <c r="E81" s="5"/>
    </row>
    <row r="92" spans="1:5">
      <c r="A92" s="5"/>
      <c r="B92" s="5"/>
    </row>
    <row r="94" spans="1:5">
      <c r="A94" s="5"/>
      <c r="B94" s="5"/>
    </row>
    <row r="96" spans="1:5">
      <c r="A96" s="5"/>
      <c r="B96" s="5"/>
    </row>
    <row r="98" spans="1:2">
      <c r="A98" s="11"/>
      <c r="B98" s="5"/>
    </row>
    <row r="100" spans="1:2">
      <c r="A100" s="5"/>
      <c r="B100" s="5"/>
    </row>
  </sheetData>
  <mergeCells count="1">
    <mergeCell ref="A4:I4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="75" zoomScaleNormal="75" zoomScalePageLayoutView="75" workbookViewId="0">
      <selection activeCell="H39" sqref="H39"/>
    </sheetView>
  </sheetViews>
  <sheetFormatPr defaultColWidth="8.88671875" defaultRowHeight="15"/>
  <cols>
    <col min="1" max="1" width="9.88671875" style="1" customWidth="1"/>
    <col min="2" max="2" width="10.33203125" style="1" bestFit="1" customWidth="1"/>
    <col min="3" max="3" width="9.88671875" style="1" customWidth="1"/>
    <col min="4" max="4" width="9" style="1" bestFit="1" customWidth="1"/>
    <col min="5" max="5" width="10.109375" style="1" customWidth="1"/>
    <col min="6" max="6" width="9" style="1" bestFit="1" customWidth="1"/>
    <col min="7" max="7" width="10" style="1" customWidth="1"/>
    <col min="8" max="9" width="8.88671875" style="1"/>
    <col min="10" max="11" width="9" style="1" bestFit="1" customWidth="1"/>
    <col min="12" max="12" width="9.109375" style="1" bestFit="1" customWidth="1"/>
    <col min="13" max="13" width="10.33203125" style="1" bestFit="1" customWidth="1"/>
    <col min="14" max="16384" width="8.88671875" style="1"/>
  </cols>
  <sheetData>
    <row r="1" spans="1:9" ht="15.75">
      <c r="A1" s="2" t="s">
        <v>0</v>
      </c>
      <c r="B1" s="2"/>
      <c r="C1" s="2"/>
      <c r="D1" s="2"/>
      <c r="E1" s="2"/>
      <c r="F1" s="2"/>
      <c r="G1" s="2"/>
    </row>
    <row r="2" spans="1:9" ht="15.75">
      <c r="A2" s="2"/>
      <c r="B2" s="2"/>
      <c r="C2" s="2"/>
      <c r="D2" s="2"/>
      <c r="E2" s="2"/>
      <c r="F2" s="2"/>
      <c r="G2" s="2"/>
    </row>
    <row r="3" spans="1:9" ht="15.75">
      <c r="A3" s="49" t="s">
        <v>53</v>
      </c>
      <c r="B3" s="50"/>
      <c r="C3" s="50"/>
      <c r="D3" s="50"/>
      <c r="E3" s="50"/>
      <c r="F3" s="50"/>
      <c r="G3" s="50"/>
      <c r="H3" s="50"/>
      <c r="I3" s="50"/>
    </row>
    <row r="4" spans="1:9" ht="15.75">
      <c r="A4" s="2"/>
      <c r="B4" s="2"/>
      <c r="C4" s="2"/>
      <c r="D4" s="2"/>
      <c r="E4" s="2"/>
      <c r="F4" s="2"/>
      <c r="G4" s="2"/>
    </row>
    <row r="5" spans="1:9" ht="16.5" thickBot="1">
      <c r="A5" s="2"/>
    </row>
    <row r="6" spans="1:9" ht="16.5" thickBot="1">
      <c r="A6" s="2" t="s">
        <v>2</v>
      </c>
      <c r="E6" s="21">
        <f>'Comparison Sheet'!E4</f>
        <v>11000</v>
      </c>
    </row>
    <row r="7" spans="1:9" ht="15.75">
      <c r="A7" s="2" t="s">
        <v>3</v>
      </c>
      <c r="E7" s="1">
        <f>IF(E6&lt;8112,0,(+(E6-8112)*0.138))</f>
        <v>398.54400000000004</v>
      </c>
    </row>
    <row r="8" spans="1:9" ht="15.75">
      <c r="A8" s="2"/>
    </row>
    <row r="9" spans="1:9" ht="15.75" thickBot="1"/>
    <row r="10" spans="1:9" ht="16.5" thickBot="1">
      <c r="A10" s="2" t="s">
        <v>4</v>
      </c>
      <c r="E10" s="21">
        <f>'Comparison Sheet'!E5</f>
        <v>25000</v>
      </c>
      <c r="F10" s="2" t="s">
        <v>54</v>
      </c>
    </row>
    <row r="11" spans="1:9" ht="15.75">
      <c r="E11" s="1">
        <f>E10*10/9</f>
        <v>27777.777777777777</v>
      </c>
      <c r="F11" s="2" t="s">
        <v>55</v>
      </c>
    </row>
    <row r="12" spans="1:9" ht="15.75">
      <c r="F12" s="2"/>
      <c r="G12" s="1">
        <f>E6+E11</f>
        <v>38777.777777777781</v>
      </c>
    </row>
    <row r="13" spans="1:9" ht="15.75">
      <c r="A13" s="2" t="s">
        <v>7</v>
      </c>
    </row>
    <row r="14" spans="1:9">
      <c r="A14" s="1" t="s">
        <v>8</v>
      </c>
      <c r="B14" s="1" t="s">
        <v>9</v>
      </c>
      <c r="C14" s="1" t="s">
        <v>10</v>
      </c>
      <c r="D14" s="1" t="s">
        <v>11</v>
      </c>
    </row>
    <row r="15" spans="1:9">
      <c r="A15" s="13">
        <f>IF(G12&gt;=121200,0,IF((G12&gt;100000)*AND(G12&lt;121200),10600-((G12-100000)/2),10600))</f>
        <v>10600</v>
      </c>
      <c r="B15" s="1">
        <f>A15</f>
        <v>10600</v>
      </c>
      <c r="C15" s="1">
        <f>IF(E6&lt;=A15,E6,A15)</f>
        <v>10600</v>
      </c>
      <c r="D15" s="13">
        <v>0</v>
      </c>
      <c r="E15" s="1">
        <f>+C15*D15</f>
        <v>0</v>
      </c>
    </row>
    <row r="16" spans="1:9">
      <c r="A16" s="13">
        <v>5000</v>
      </c>
      <c r="B16" s="1">
        <f>+B15+A16</f>
        <v>15600</v>
      </c>
      <c r="C16" s="1">
        <f>IF(E6&lt;B16,E6-C15,A16)</f>
        <v>400</v>
      </c>
      <c r="D16" s="13">
        <v>0.2</v>
      </c>
      <c r="E16" s="1">
        <f>+C16*D16</f>
        <v>80</v>
      </c>
    </row>
    <row r="17" spans="1:13">
      <c r="A17" s="13">
        <f>31785-A16</f>
        <v>26785</v>
      </c>
      <c r="B17" s="1">
        <f>+B16+A17</f>
        <v>42385</v>
      </c>
      <c r="C17" s="1">
        <f>IF(E6&lt;B17,E6-C16-C15,A17)</f>
        <v>0</v>
      </c>
      <c r="D17" s="13">
        <v>0.2</v>
      </c>
      <c r="E17" s="1">
        <f>+C17*D17</f>
        <v>0</v>
      </c>
    </row>
    <row r="18" spans="1:13">
      <c r="A18" s="13">
        <f>150000-A17-A16</f>
        <v>118215</v>
      </c>
      <c r="B18" s="1">
        <f>B17+A18</f>
        <v>160600</v>
      </c>
      <c r="C18" s="1">
        <f>IF(E6&lt;B18,E6-C17-C16-C15,A18)</f>
        <v>0</v>
      </c>
      <c r="D18" s="13">
        <v>0.4</v>
      </c>
      <c r="E18" s="1">
        <f>+C18*D18</f>
        <v>0</v>
      </c>
    </row>
    <row r="19" spans="1:13" ht="15.75" thickBot="1">
      <c r="A19" s="1" t="s">
        <v>12</v>
      </c>
      <c r="B19" s="1">
        <f>+B18</f>
        <v>160600</v>
      </c>
      <c r="C19" s="1">
        <f>IF(E6&gt;B19,E6-C18-C17-C16-C15,0)</f>
        <v>0</v>
      </c>
      <c r="D19" s="13">
        <v>0.45</v>
      </c>
      <c r="E19" s="1">
        <f>+C19*D19</f>
        <v>0</v>
      </c>
    </row>
    <row r="20" spans="1:13" ht="15.75" thickBot="1">
      <c r="G20" s="26">
        <f>SUM(E15:E19)</f>
        <v>80</v>
      </c>
    </row>
    <row r="21" spans="1:13" ht="15.75">
      <c r="A21" s="2" t="s">
        <v>13</v>
      </c>
    </row>
    <row r="22" spans="1:13">
      <c r="C22" s="1" t="s">
        <v>10</v>
      </c>
      <c r="D22" s="1" t="s">
        <v>11</v>
      </c>
    </row>
    <row r="23" spans="1:13">
      <c r="A23" s="1" t="s">
        <v>14</v>
      </c>
      <c r="B23" s="1">
        <f>B15-C15</f>
        <v>0</v>
      </c>
      <c r="C23" s="1">
        <f>IF(E11&lt;=B23,E11,B23)</f>
        <v>0</v>
      </c>
      <c r="D23" s="13">
        <v>0</v>
      </c>
      <c r="E23" s="1">
        <f>+C23*D23</f>
        <v>0</v>
      </c>
    </row>
    <row r="24" spans="1:13">
      <c r="A24" s="1" t="s">
        <v>16</v>
      </c>
      <c r="B24" s="1">
        <f>B17-C17-C16-C15-C23</f>
        <v>31385</v>
      </c>
      <c r="C24" s="1">
        <f>IF(E11&lt;=(B23+B24),E11-C23,B24)</f>
        <v>27777.777777777777</v>
      </c>
      <c r="D24" s="13">
        <v>0</v>
      </c>
      <c r="E24" s="1">
        <f>+C24*D24</f>
        <v>0</v>
      </c>
    </row>
    <row r="25" spans="1:13">
      <c r="A25" s="1" t="s">
        <v>17</v>
      </c>
      <c r="B25" s="1">
        <f>B18-C24-C23-C18-C17-C16-C15</f>
        <v>121822.22222222222</v>
      </c>
      <c r="C25" s="1">
        <f>IF(E11&lt;=(B23+B24+B25),E11-C24-C23,B25)</f>
        <v>0</v>
      </c>
      <c r="D25" s="36">
        <v>0.32500000000000001</v>
      </c>
      <c r="E25" s="1">
        <f>+C25*D25</f>
        <v>0</v>
      </c>
      <c r="G25" s="13"/>
    </row>
    <row r="26" spans="1:13">
      <c r="A26" s="1" t="s">
        <v>18</v>
      </c>
      <c r="B26" s="1">
        <f>G12-C25-C24-C23-C19-C18-C17-C16-C15</f>
        <v>0</v>
      </c>
      <c r="C26" s="1">
        <f>IF(E11&lt;B26,E11-C24-C25,B26)</f>
        <v>0</v>
      </c>
      <c r="D26" s="36">
        <v>0.375</v>
      </c>
      <c r="E26" s="1">
        <f>C26*D26</f>
        <v>0</v>
      </c>
    </row>
    <row r="27" spans="1:13" ht="15.75" thickBot="1">
      <c r="A27" s="1" t="s">
        <v>56</v>
      </c>
      <c r="B27" s="1" t="s">
        <v>57</v>
      </c>
      <c r="D27" s="13">
        <v>0.1</v>
      </c>
      <c r="E27" s="1">
        <f>(-C25-C26)*D27</f>
        <v>0</v>
      </c>
    </row>
    <row r="28" spans="1:13" ht="15.75" thickBot="1">
      <c r="E28" s="26">
        <f>E24++E25+E26+E27</f>
        <v>0</v>
      </c>
    </row>
    <row r="30" spans="1:13" ht="16.5" thickBot="1">
      <c r="A30" s="2" t="s">
        <v>19</v>
      </c>
    </row>
    <row r="31" spans="1:13" ht="15.75" thickBot="1">
      <c r="A31" s="1" t="s">
        <v>20</v>
      </c>
      <c r="E31" s="26">
        <f>'SALARY PAYE 1516'!H42</f>
        <v>352.80000000000007</v>
      </c>
    </row>
    <row r="32" spans="1:13" ht="15.75">
      <c r="E32" s="2"/>
      <c r="F32" s="2"/>
      <c r="G32" s="2"/>
      <c r="L32" s="4"/>
      <c r="M32" s="4"/>
    </row>
    <row r="33" spans="1:5" ht="15.75" thickBot="1"/>
    <row r="34" spans="1:5" ht="16.5" thickBot="1">
      <c r="A34" s="2" t="s">
        <v>21</v>
      </c>
      <c r="E34" s="26">
        <f>+E28+E31+E15+E16+E17+E18+E19</f>
        <v>432.80000000000007</v>
      </c>
    </row>
    <row r="36" spans="1:5" ht="15.75" thickBot="1"/>
    <row r="37" spans="1:5" ht="16.5" thickBot="1">
      <c r="A37" s="2" t="s">
        <v>22</v>
      </c>
      <c r="E37" s="26">
        <f>+E6+E10-E34</f>
        <v>35567.199999999997</v>
      </c>
    </row>
    <row r="40" spans="1:5" ht="16.5" thickBot="1">
      <c r="A40" s="2" t="s">
        <v>23</v>
      </c>
    </row>
    <row r="41" spans="1:5" ht="15.75" thickBot="1">
      <c r="A41" s="1" t="s">
        <v>20</v>
      </c>
      <c r="E41" s="26">
        <f>'SALARY PAYE 1516'!J42</f>
        <v>398.5440000000001</v>
      </c>
    </row>
  </sheetData>
  <mergeCells count="1">
    <mergeCell ref="A3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75" zoomScaleNormal="75" zoomScalePageLayoutView="75" workbookViewId="0">
      <selection activeCell="E41" sqref="E41"/>
    </sheetView>
  </sheetViews>
  <sheetFormatPr defaultColWidth="9.6640625" defaultRowHeight="15"/>
  <cols>
    <col min="1" max="2" width="9.6640625" style="3"/>
    <col min="3" max="3" width="11.109375" style="3" customWidth="1"/>
    <col min="4" max="4" width="10" style="3" bestFit="1" customWidth="1"/>
    <col min="5" max="5" width="11.33203125" style="3" customWidth="1"/>
    <col min="6" max="6" width="9.88671875" style="3" bestFit="1" customWidth="1"/>
    <col min="7" max="7" width="9.6640625" style="3"/>
    <col min="8" max="8" width="12.109375" style="3" customWidth="1"/>
    <col min="9" max="9" width="9.6640625" style="3"/>
    <col min="10" max="10" width="11" style="3" customWidth="1"/>
    <col min="11" max="16384" width="9.6640625" style="3"/>
  </cols>
  <sheetData>
    <row r="1" spans="1:10" ht="15.75">
      <c r="A1" s="19" t="s">
        <v>24</v>
      </c>
    </row>
    <row r="2" spans="1:10">
      <c r="A2" s="5"/>
      <c r="B2" s="5"/>
      <c r="C2" s="5"/>
      <c r="D2" s="6"/>
      <c r="E2" s="6"/>
      <c r="F2" s="5"/>
      <c r="G2" s="5"/>
      <c r="H2" s="5"/>
    </row>
    <row r="3" spans="1:10" ht="15.75">
      <c r="A3" s="7" t="s">
        <v>25</v>
      </c>
    </row>
    <row r="4" spans="1:10" ht="15.75">
      <c r="A4" s="49" t="e">
        <f>'[1]INCOME TAX'!A3:I3</f>
        <v>#REF!</v>
      </c>
      <c r="B4" s="50"/>
      <c r="C4" s="50"/>
      <c r="D4" s="50"/>
      <c r="E4" s="50"/>
      <c r="F4" s="50"/>
      <c r="G4" s="50"/>
      <c r="H4" s="50"/>
      <c r="I4" s="50"/>
    </row>
    <row r="5" spans="1:10" ht="16.5" thickBot="1">
      <c r="A5" s="20"/>
      <c r="B5" s="20"/>
      <c r="C5" s="20"/>
      <c r="D5" s="7"/>
      <c r="E5" s="7"/>
      <c r="F5" s="7"/>
      <c r="G5" s="7"/>
      <c r="H5" s="7"/>
      <c r="I5" s="20"/>
      <c r="J5" s="7"/>
    </row>
    <row r="6" spans="1:10" ht="15.75" thickBot="1">
      <c r="A6" s="20"/>
      <c r="B6" s="20"/>
      <c r="C6" s="20"/>
      <c r="D6" s="24" t="s">
        <v>26</v>
      </c>
      <c r="E6" s="25">
        <f>'INCOME TAX 1516'!E6</f>
        <v>11000</v>
      </c>
      <c r="F6" s="24"/>
      <c r="G6" s="20"/>
      <c r="H6" s="24"/>
      <c r="I6" s="20"/>
    </row>
    <row r="8" spans="1:10">
      <c r="A8" s="3" t="s">
        <v>27</v>
      </c>
    </row>
    <row r="9" spans="1:10">
      <c r="A9" s="3" t="s">
        <v>28</v>
      </c>
      <c r="C9" s="23">
        <f>IF(E6&gt;=121200,0,IF((E6&gt;100000)*AND(E6&lt;121200),10600-((E6-100000)/2),10600))</f>
        <v>10600</v>
      </c>
      <c r="D9" s="14">
        <v>0</v>
      </c>
      <c r="E9" s="3">
        <v>0</v>
      </c>
      <c r="F9" s="14"/>
      <c r="H9" s="14"/>
    </row>
    <row r="10" spans="1:10">
      <c r="D10" s="14"/>
      <c r="F10" s="14"/>
      <c r="H10" s="14"/>
    </row>
    <row r="11" spans="1:10">
      <c r="D11" s="14"/>
      <c r="F11" s="14"/>
      <c r="H11" s="14"/>
    </row>
    <row r="12" spans="1:10">
      <c r="A12" s="3" t="s">
        <v>29</v>
      </c>
      <c r="C12" s="14">
        <v>5000</v>
      </c>
      <c r="D12" s="14">
        <v>0.2</v>
      </c>
      <c r="E12" s="3">
        <f>IF((E6-C9)&gt;C12,C12*D12,(E6-C9)*D12)</f>
        <v>80</v>
      </c>
      <c r="F12" s="14"/>
      <c r="H12" s="14"/>
    </row>
    <row r="13" spans="1:10">
      <c r="D13" s="14"/>
      <c r="E13" s="3">
        <f>+IF(E12&lt;0,-E12,0)</f>
        <v>0</v>
      </c>
      <c r="F13" s="14"/>
      <c r="H13" s="14"/>
    </row>
    <row r="14" spans="1:10">
      <c r="D14" s="14"/>
      <c r="F14" s="14"/>
      <c r="H14" s="14"/>
    </row>
    <row r="15" spans="1:10">
      <c r="A15" s="3" t="s">
        <v>30</v>
      </c>
      <c r="C15" s="14">
        <f>31785-C12</f>
        <v>26785</v>
      </c>
      <c r="D15" s="14">
        <v>0.2</v>
      </c>
      <c r="E15" s="3">
        <f>IF(C9+C12&gt;E6,0,(IF((E6-(C9+C12))&gt;C15,C15*D15,((E6-(C9+C12))*D15))))</f>
        <v>0</v>
      </c>
      <c r="F15" s="14"/>
      <c r="H15" s="14"/>
    </row>
    <row r="16" spans="1:10">
      <c r="D16" s="14"/>
      <c r="F16" s="14"/>
      <c r="H16" s="14"/>
    </row>
    <row r="17" spans="1:10">
      <c r="D17" s="14"/>
      <c r="F17" s="14"/>
      <c r="H17" s="14"/>
    </row>
    <row r="18" spans="1:10">
      <c r="A18" s="20" t="s">
        <v>31</v>
      </c>
      <c r="B18" s="20"/>
      <c r="C18" s="15">
        <f>150000-C15-C12</f>
        <v>118215</v>
      </c>
      <c r="D18" s="15">
        <v>0.4</v>
      </c>
      <c r="E18" s="20">
        <f>IF(E6&gt;(C9+C12+C15+C18),C18*D18,IF(E6-C9-C12-C15&lt;0,0,((E6-(C9+C12+C15))*D18)))</f>
        <v>0</v>
      </c>
      <c r="F18" s="15"/>
      <c r="G18" s="20"/>
      <c r="H18" s="16"/>
    </row>
    <row r="19" spans="1:10">
      <c r="A19" s="20"/>
      <c r="B19" s="20"/>
      <c r="C19" s="20"/>
      <c r="D19" s="15"/>
      <c r="F19" s="15"/>
      <c r="G19" s="20"/>
      <c r="H19" s="16"/>
    </row>
    <row r="20" spans="1:10">
      <c r="A20" s="20"/>
      <c r="B20" s="20"/>
      <c r="C20" s="20"/>
      <c r="D20" s="15"/>
      <c r="E20" s="20"/>
      <c r="F20" s="15"/>
      <c r="G20" s="20"/>
      <c r="H20" s="16"/>
    </row>
    <row r="21" spans="1:10">
      <c r="A21" s="20" t="s">
        <v>32</v>
      </c>
      <c r="B21" s="20"/>
      <c r="C21" s="20"/>
      <c r="D21" s="15">
        <v>0.45</v>
      </c>
      <c r="E21" s="20">
        <f>IF(E6&gt;(+C12+C15+C18),((E6-(+C12+C15+C18))*D21),0)</f>
        <v>0</v>
      </c>
      <c r="F21" s="15"/>
      <c r="G21" s="20"/>
      <c r="H21" s="16"/>
    </row>
    <row r="23" spans="1:10">
      <c r="A23" s="20" t="s">
        <v>33</v>
      </c>
      <c r="B23" s="20"/>
      <c r="C23" s="20"/>
      <c r="D23" s="20"/>
      <c r="E23" s="8">
        <f>SUM(E9:E18)+E21</f>
        <v>80</v>
      </c>
      <c r="F23" s="20"/>
      <c r="G23" s="8"/>
      <c r="H23" s="20"/>
      <c r="I23" s="8"/>
      <c r="J23" s="8"/>
    </row>
    <row r="24" spans="1:10">
      <c r="A24" s="3" t="s">
        <v>34</v>
      </c>
      <c r="E24" s="3">
        <f>E23/12</f>
        <v>6.666666666666667</v>
      </c>
    </row>
    <row r="27" spans="1:10" ht="15.75">
      <c r="A27" s="9" t="s">
        <v>35</v>
      </c>
      <c r="B27" s="5"/>
      <c r="C27" s="5"/>
      <c r="D27" s="5"/>
      <c r="E27" s="5"/>
      <c r="F27" s="5"/>
      <c r="G27" s="5"/>
      <c r="H27" s="5"/>
      <c r="I27" s="5"/>
      <c r="J27" s="5"/>
    </row>
    <row r="28" spans="1:10" ht="15.75">
      <c r="A28" s="9" t="e">
        <f>A4</f>
        <v>#REF!</v>
      </c>
      <c r="B28" s="5"/>
      <c r="C28" s="5"/>
      <c r="D28" s="5"/>
      <c r="E28" s="5"/>
      <c r="F28" s="5"/>
      <c r="G28" s="5"/>
      <c r="H28" s="5"/>
      <c r="I28" s="5"/>
      <c r="J28" s="5"/>
    </row>
    <row r="29" spans="1:10">
      <c r="B29" s="5"/>
      <c r="C29" s="5"/>
      <c r="D29" s="5"/>
      <c r="E29" s="5"/>
      <c r="F29" s="5"/>
      <c r="G29" s="5"/>
      <c r="H29" s="5" t="s">
        <v>36</v>
      </c>
      <c r="I29" s="5"/>
      <c r="J29" s="5"/>
    </row>
    <row r="30" spans="1:10" ht="15.75">
      <c r="A30" s="5"/>
      <c r="B30" s="5"/>
      <c r="C30" s="5"/>
      <c r="D30" s="5" t="s">
        <v>37</v>
      </c>
      <c r="E30" s="5"/>
      <c r="F30" s="5" t="s">
        <v>38</v>
      </c>
      <c r="G30" s="5"/>
      <c r="H30" s="9">
        <f>E6</f>
        <v>11000</v>
      </c>
      <c r="I30" s="5" t="s">
        <v>39</v>
      </c>
      <c r="J30" s="5"/>
    </row>
    <row r="31" spans="1:10">
      <c r="A31" s="5"/>
      <c r="B31" s="5" t="s">
        <v>40</v>
      </c>
      <c r="C31" s="5" t="s">
        <v>41</v>
      </c>
      <c r="D31" s="5"/>
      <c r="E31" s="5" t="s">
        <v>42</v>
      </c>
      <c r="F31" s="5" t="s">
        <v>43</v>
      </c>
      <c r="G31" s="5"/>
      <c r="H31" s="5">
        <f>H30/12</f>
        <v>916.66666666666663</v>
      </c>
      <c r="I31" s="5" t="s">
        <v>44</v>
      </c>
      <c r="J31" s="5"/>
    </row>
    <row r="32" spans="1:10">
      <c r="A32" s="5"/>
      <c r="B32" s="5" t="s">
        <v>45</v>
      </c>
      <c r="C32" s="5"/>
      <c r="D32" s="5"/>
      <c r="E32" s="5"/>
      <c r="F32" s="5" t="s">
        <v>46</v>
      </c>
      <c r="G32" s="5"/>
      <c r="H32" s="5">
        <f>H30/52</f>
        <v>211.53846153846155</v>
      </c>
      <c r="I32" s="5" t="s">
        <v>47</v>
      </c>
      <c r="J32" s="5"/>
    </row>
    <row r="33" spans="1:10">
      <c r="A33" s="5"/>
      <c r="B33" s="5"/>
      <c r="C33" s="5"/>
      <c r="D33" s="5"/>
      <c r="E33" s="5"/>
      <c r="F33" s="10"/>
      <c r="G33" s="5"/>
      <c r="H33" s="5" t="s">
        <v>37</v>
      </c>
      <c r="I33" s="5"/>
      <c r="J33" s="5" t="s">
        <v>38</v>
      </c>
    </row>
    <row r="34" spans="1:10">
      <c r="A34" s="5"/>
      <c r="B34" s="5">
        <v>0</v>
      </c>
      <c r="C34" s="17">
        <v>155</v>
      </c>
      <c r="D34" s="18">
        <v>0</v>
      </c>
      <c r="E34" s="5">
        <f>C34*52</f>
        <v>8060</v>
      </c>
      <c r="F34" s="15">
        <v>0</v>
      </c>
      <c r="G34" s="22">
        <v>156</v>
      </c>
      <c r="H34" s="5">
        <f>IF(H32&lt;C34,0,+C34*D34)</f>
        <v>0</v>
      </c>
      <c r="I34" s="5"/>
      <c r="J34" s="5">
        <v>0</v>
      </c>
    </row>
    <row r="35" spans="1:10">
      <c r="A35" s="5"/>
      <c r="B35" s="5"/>
      <c r="C35" s="5"/>
      <c r="D35" s="18"/>
      <c r="E35" s="5"/>
      <c r="F35" s="18"/>
      <c r="G35" s="5"/>
      <c r="H35" s="5"/>
      <c r="I35" s="5"/>
      <c r="J35" s="5"/>
    </row>
    <row r="36" spans="1:10">
      <c r="A36" s="5"/>
      <c r="B36" s="17">
        <v>155.01</v>
      </c>
      <c r="C36" s="17">
        <v>815</v>
      </c>
      <c r="D36" s="18">
        <v>0.12</v>
      </c>
      <c r="E36" s="5">
        <f>C36*52</f>
        <v>42380</v>
      </c>
      <c r="F36" s="18">
        <v>0.13800000000000001</v>
      </c>
      <c r="G36" s="22">
        <v>156.01</v>
      </c>
      <c r="H36" s="5">
        <f>IF(AND(H32&lt;C36,H32&gt;C34),(H32-C34)*D36,0)</f>
        <v>6.7846153846153854</v>
      </c>
      <c r="I36" s="5"/>
      <c r="J36" s="5">
        <f>IF((H32&gt;G36),(H32-G34)*F36,0)</f>
        <v>7.6643076923076938</v>
      </c>
    </row>
    <row r="37" spans="1:10">
      <c r="A37" s="5"/>
      <c r="B37" s="17">
        <v>815.01</v>
      </c>
      <c r="C37" s="5" t="s">
        <v>48</v>
      </c>
      <c r="D37" s="18">
        <v>0.02</v>
      </c>
      <c r="E37" s="5"/>
      <c r="F37" s="18">
        <v>0.13800000000000001</v>
      </c>
      <c r="G37" s="5"/>
      <c r="H37" s="5">
        <f>IF((H32&gt;=C36),(((C36-B36)*D36)+((H32-C36)*D37)),0)</f>
        <v>0</v>
      </c>
      <c r="I37" s="5"/>
      <c r="J37" s="5"/>
    </row>
    <row r="38" spans="1:10">
      <c r="A38" s="5"/>
      <c r="B38" s="5"/>
      <c r="C38" s="5"/>
      <c r="D38" s="10"/>
      <c r="E38" s="5"/>
      <c r="F38" s="11"/>
      <c r="G38" s="5"/>
      <c r="H38" s="5"/>
      <c r="I38" s="5"/>
      <c r="J38" s="5"/>
    </row>
    <row r="39" spans="1:10">
      <c r="A39" s="5"/>
      <c r="B39" s="5"/>
      <c r="C39" s="5"/>
      <c r="D39" s="10"/>
      <c r="E39" s="5"/>
      <c r="F39" s="5"/>
      <c r="G39" s="5"/>
      <c r="H39" s="12" t="s">
        <v>49</v>
      </c>
      <c r="I39" s="5"/>
      <c r="J39" s="12" t="s">
        <v>49</v>
      </c>
    </row>
    <row r="40" spans="1:10">
      <c r="A40" s="5" t="s">
        <v>50</v>
      </c>
      <c r="B40" s="5"/>
      <c r="C40" s="5"/>
      <c r="D40" s="5"/>
      <c r="E40" s="5"/>
      <c r="F40" s="5"/>
      <c r="G40" s="5"/>
      <c r="H40" s="5">
        <f>SUM(H34:H39)</f>
        <v>6.7846153846153854</v>
      </c>
      <c r="I40" s="5"/>
      <c r="J40" s="5">
        <f>SUM(J34:J39)</f>
        <v>7.6643076923076938</v>
      </c>
    </row>
    <row r="41" spans="1:10">
      <c r="A41" s="3" t="s">
        <v>51</v>
      </c>
      <c r="H41" s="3">
        <f>H40*52/12</f>
        <v>29.400000000000006</v>
      </c>
      <c r="J41" s="3">
        <f>J40*52/12</f>
        <v>33.21200000000001</v>
      </c>
    </row>
    <row r="42" spans="1:10">
      <c r="A42" s="3" t="s">
        <v>52</v>
      </c>
      <c r="H42" s="3">
        <f>H40*52</f>
        <v>352.80000000000007</v>
      </c>
      <c r="J42" s="3">
        <f>J40*52</f>
        <v>398.5440000000001</v>
      </c>
    </row>
    <row r="43" spans="1:10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spans="1:10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0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spans="1:10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spans="1:10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spans="1:10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spans="1:10">
      <c r="A49" s="5"/>
      <c r="B49" s="5"/>
      <c r="C49" s="5"/>
      <c r="D49" s="5"/>
      <c r="E49" s="5"/>
      <c r="F49" s="5"/>
      <c r="G49" s="5"/>
      <c r="H49" s="5"/>
      <c r="I49" s="5"/>
      <c r="J49" s="5"/>
    </row>
    <row r="50" spans="1:10">
      <c r="A50" s="5"/>
      <c r="B50" s="5"/>
      <c r="C50" s="5"/>
      <c r="D50" s="5"/>
      <c r="E50" s="5"/>
      <c r="F50" s="5"/>
      <c r="G50" s="5"/>
      <c r="H50" s="5"/>
      <c r="I50" s="5"/>
      <c r="J50" s="5"/>
    </row>
    <row r="51" spans="1:10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spans="1:10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spans="1:10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spans="1:10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spans="1:10">
      <c r="A55" s="5"/>
      <c r="B55" s="5"/>
      <c r="C55" s="5"/>
      <c r="D55" s="5"/>
      <c r="E55" s="5"/>
      <c r="F55" s="5"/>
      <c r="G55" s="5"/>
    </row>
    <row r="56" spans="1:10">
      <c r="A56" s="5"/>
      <c r="B56" s="5"/>
      <c r="C56" s="5"/>
      <c r="D56" s="5"/>
      <c r="E56" s="5"/>
      <c r="F56" s="5"/>
      <c r="G56" s="5"/>
    </row>
    <row r="57" spans="1:10">
      <c r="A57" s="5"/>
      <c r="B57" s="5"/>
      <c r="C57" s="5"/>
      <c r="D57" s="5"/>
      <c r="E57" s="5"/>
      <c r="F57" s="5"/>
      <c r="G57" s="5"/>
    </row>
    <row r="58" spans="1:10">
      <c r="A58" s="5"/>
      <c r="B58" s="5"/>
      <c r="C58" s="5"/>
      <c r="D58" s="5"/>
      <c r="E58" s="5"/>
      <c r="F58" s="5"/>
      <c r="G58" s="5"/>
    </row>
    <row r="59" spans="1:10">
      <c r="A59" s="5"/>
      <c r="B59" s="5"/>
      <c r="C59" s="5"/>
      <c r="D59" s="5"/>
      <c r="E59" s="5"/>
      <c r="F59" s="5"/>
      <c r="G59" s="5"/>
    </row>
    <row r="60" spans="1:10">
      <c r="A60" s="5"/>
      <c r="B60" s="5"/>
      <c r="C60" s="5"/>
      <c r="D60" s="5"/>
      <c r="E60" s="5"/>
      <c r="F60" s="5"/>
      <c r="G60" s="5"/>
    </row>
    <row r="61" spans="1:10">
      <c r="A61" s="5"/>
      <c r="B61" s="5"/>
      <c r="C61" s="5"/>
      <c r="D61" s="5"/>
      <c r="E61" s="5"/>
      <c r="F61" s="5"/>
      <c r="G61" s="5"/>
    </row>
    <row r="62" spans="1:10">
      <c r="A62" s="5"/>
      <c r="B62" s="5"/>
      <c r="C62" s="5"/>
      <c r="D62" s="5"/>
      <c r="E62" s="5"/>
      <c r="F62" s="5"/>
      <c r="G62" s="5"/>
    </row>
    <row r="63" spans="1:10">
      <c r="A63" s="5"/>
      <c r="B63" s="5"/>
      <c r="C63" s="5"/>
      <c r="D63" s="5"/>
      <c r="E63" s="5"/>
      <c r="F63" s="5"/>
      <c r="G63" s="5"/>
    </row>
    <row r="64" spans="1:10">
      <c r="A64" s="5"/>
      <c r="B64" s="5"/>
      <c r="C64" s="5"/>
      <c r="D64" s="5"/>
      <c r="E64" s="5"/>
      <c r="F64" s="5"/>
      <c r="G64" s="5"/>
    </row>
    <row r="65" spans="1:7">
      <c r="A65" s="5"/>
      <c r="B65" s="5"/>
      <c r="C65" s="5"/>
      <c r="D65" s="5"/>
      <c r="E65" s="5"/>
      <c r="F65" s="5"/>
      <c r="G65" s="5"/>
    </row>
    <row r="66" spans="1:7">
      <c r="A66" s="5"/>
      <c r="B66" s="5"/>
      <c r="C66" s="5"/>
      <c r="D66" s="5"/>
      <c r="E66" s="5"/>
      <c r="F66" s="5"/>
      <c r="G66" s="5"/>
    </row>
    <row r="67" spans="1:7">
      <c r="A67" s="5"/>
      <c r="B67" s="5"/>
      <c r="C67" s="5"/>
      <c r="D67" s="5"/>
      <c r="E67" s="5"/>
      <c r="F67" s="5"/>
      <c r="G67" s="5"/>
    </row>
    <row r="68" spans="1:7">
      <c r="A68" s="5"/>
      <c r="B68" s="5"/>
      <c r="C68" s="5"/>
      <c r="D68" s="5"/>
      <c r="E68" s="5"/>
      <c r="F68" s="5"/>
      <c r="G68" s="5"/>
    </row>
    <row r="69" spans="1:7">
      <c r="A69" s="5"/>
      <c r="B69" s="5"/>
      <c r="C69" s="5"/>
      <c r="D69" s="5"/>
      <c r="E69" s="5"/>
      <c r="F69" s="5"/>
      <c r="G69" s="5"/>
    </row>
    <row r="70" spans="1:7">
      <c r="A70" s="5"/>
      <c r="B70" s="5"/>
      <c r="C70" s="5"/>
      <c r="D70" s="5"/>
      <c r="E70" s="5"/>
      <c r="F70" s="5"/>
      <c r="G70" s="5"/>
    </row>
    <row r="72" spans="1:7">
      <c r="A72" s="20"/>
      <c r="B72" s="20"/>
      <c r="C72" s="5"/>
      <c r="D72" s="5"/>
      <c r="E72" s="5"/>
    </row>
    <row r="73" spans="1:7">
      <c r="A73" s="20"/>
      <c r="B73" s="20"/>
      <c r="C73" s="5"/>
      <c r="D73" s="5"/>
      <c r="E73" s="5"/>
    </row>
    <row r="74" spans="1:7">
      <c r="A74" s="20"/>
      <c r="B74" s="20"/>
      <c r="C74" s="5"/>
      <c r="D74" s="5"/>
      <c r="E74" s="5"/>
    </row>
    <row r="75" spans="1:7">
      <c r="A75" s="20"/>
      <c r="B75" s="20"/>
      <c r="C75" s="5"/>
      <c r="D75" s="5"/>
      <c r="E75" s="5"/>
    </row>
    <row r="81" spans="1:5">
      <c r="A81" s="20"/>
      <c r="B81" s="20"/>
      <c r="C81" s="5"/>
      <c r="D81" s="5"/>
      <c r="E81" s="5"/>
    </row>
    <row r="92" spans="1:5">
      <c r="A92" s="5"/>
      <c r="B92" s="5"/>
    </row>
    <row r="94" spans="1:5">
      <c r="A94" s="5"/>
      <c r="B94" s="5"/>
    </row>
    <row r="96" spans="1:5">
      <c r="A96" s="5"/>
      <c r="B96" s="5"/>
    </row>
    <row r="98" spans="1:2">
      <c r="A98" s="11"/>
      <c r="B98" s="5"/>
    </row>
    <row r="100" spans="1:2">
      <c r="A100" s="5"/>
      <c r="B100" s="5"/>
    </row>
  </sheetData>
  <mergeCells count="1">
    <mergeCell ref="A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 Sheet</vt:lpstr>
      <vt:lpstr>INCOME TAX 1617</vt:lpstr>
      <vt:lpstr>SALARY PAYE 1617</vt:lpstr>
      <vt:lpstr>INCOME TAX 1516</vt:lpstr>
      <vt:lpstr>SALARY PAYE 1516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</dc:creator>
  <cp:keywords/>
  <dc:description/>
  <cp:lastModifiedBy>owitsol10</cp:lastModifiedBy>
  <cp:revision/>
  <dcterms:created xsi:type="dcterms:W3CDTF">1999-03-31T09:32:00Z</dcterms:created>
  <dcterms:modified xsi:type="dcterms:W3CDTF">2016-10-12T04:24:56Z</dcterms:modified>
  <cp:category/>
  <cp:contentStatus/>
</cp:coreProperties>
</file>