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105" windowWidth="15480" windowHeight="11640" firstSheet="3" activeTab="3"/>
  </bookViews>
  <sheets>
    <sheet name="SWRS_NEW" sheetId="6" state="hidden" r:id="rId1"/>
    <sheet name="SWRS_NEW (2)" sheetId="7" state="hidden" r:id="rId2"/>
    <sheet name="Option I" sheetId="9" state="hidden" r:id="rId3"/>
    <sheet name="celtsoft" sheetId="17" r:id="rId4"/>
    <sheet name="Avians" sheetId="18" r:id="rId5"/>
    <sheet name="Basic rates" sheetId="19" r:id="rId6"/>
    <sheet name="Sheet1" sheetId="20" r:id="rId7"/>
  </sheets>
  <calcPr calcId="145621" iterate="1" iterateCount="165"/>
</workbook>
</file>

<file path=xl/calcChain.xml><?xml version="1.0" encoding="utf-8"?>
<calcChain xmlns="http://schemas.openxmlformats.org/spreadsheetml/2006/main">
  <c r="AK103" i="18" l="1"/>
  <c r="AM103" i="18" s="1"/>
  <c r="AM102" i="17"/>
  <c r="AL36" i="17"/>
  <c r="BA40" i="17"/>
  <c r="BA39" i="17"/>
  <c r="AM53" i="17"/>
  <c r="E115" i="19"/>
  <c r="E114" i="19"/>
  <c r="AH11" i="17" l="1"/>
  <c r="R14" i="19"/>
  <c r="R13" i="19"/>
  <c r="R12" i="19"/>
  <c r="R11" i="19"/>
  <c r="R10" i="19"/>
  <c r="R9" i="19"/>
  <c r="R7" i="19"/>
  <c r="R6" i="19"/>
  <c r="R5" i="19"/>
  <c r="R4" i="19"/>
  <c r="R3" i="19"/>
  <c r="AI32" i="17"/>
  <c r="E112" i="19" l="1"/>
  <c r="E111" i="19"/>
  <c r="E110" i="19"/>
  <c r="E109" i="19"/>
  <c r="M107" i="19"/>
  <c r="M106" i="19"/>
  <c r="L107" i="19"/>
  <c r="L106" i="19"/>
  <c r="L105" i="19"/>
  <c r="L104" i="19"/>
  <c r="L103" i="19"/>
  <c r="L102" i="19"/>
  <c r="F73" i="19"/>
  <c r="F72" i="19"/>
  <c r="F71" i="19"/>
  <c r="F70" i="19"/>
  <c r="F69" i="19"/>
  <c r="F68" i="19"/>
  <c r="D73" i="19"/>
  <c r="D72" i="19"/>
  <c r="D71" i="19"/>
  <c r="D70" i="19"/>
  <c r="D69" i="19"/>
  <c r="D68" i="19"/>
  <c r="E57" i="19"/>
  <c r="E56" i="19"/>
  <c r="E55" i="19"/>
  <c r="E54" i="19"/>
  <c r="E53" i="19"/>
  <c r="E52" i="19"/>
  <c r="F22" i="19"/>
  <c r="F17" i="19"/>
  <c r="F12" i="19"/>
  <c r="F11" i="19"/>
  <c r="F10" i="19"/>
  <c r="F6" i="19"/>
  <c r="F5" i="19"/>
  <c r="F4" i="19"/>
  <c r="W14" i="19"/>
  <c r="W13" i="19"/>
  <c r="W12" i="19"/>
  <c r="W11" i="19"/>
  <c r="W10" i="19"/>
  <c r="W9" i="19"/>
  <c r="W8" i="19"/>
  <c r="W7" i="19"/>
  <c r="W6" i="19"/>
  <c r="W5" i="19"/>
  <c r="W4" i="19"/>
  <c r="W3" i="19"/>
  <c r="AK77" i="17"/>
  <c r="AM77" i="17" s="1"/>
  <c r="AM53" i="18"/>
  <c r="AH11" i="18"/>
  <c r="AM97" i="18" l="1"/>
  <c r="AM96" i="17"/>
  <c r="AK75" i="18" l="1"/>
  <c r="AM75" i="18" s="1"/>
  <c r="AL69" i="17"/>
  <c r="AK69" i="17"/>
  <c r="AK69" i="18"/>
  <c r="AH27" i="18"/>
  <c r="F23" i="19"/>
  <c r="D27" i="19"/>
  <c r="E108" i="19" l="1"/>
  <c r="M102" i="19"/>
  <c r="M103" i="19"/>
  <c r="M104" i="19"/>
  <c r="M105" i="19"/>
  <c r="C8" i="20"/>
  <c r="C9" i="20" s="1"/>
  <c r="C10" i="20" s="1"/>
  <c r="E113" i="19" l="1"/>
  <c r="L99" i="19"/>
  <c r="X14" i="19" l="1"/>
  <c r="X13" i="19"/>
  <c r="X12" i="19"/>
  <c r="X11" i="19"/>
  <c r="X10" i="19"/>
  <c r="X9" i="19"/>
  <c r="X8" i="19"/>
  <c r="X7" i="19"/>
  <c r="L22" i="19" s="1"/>
  <c r="X5" i="19"/>
  <c r="G17" i="19" s="1"/>
  <c r="X4" i="19"/>
  <c r="X3" i="19"/>
  <c r="X6" i="19"/>
  <c r="O106" i="19"/>
  <c r="P106" i="19" s="1"/>
  <c r="O108" i="19"/>
  <c r="O107" i="19"/>
  <c r="P107" i="19" s="1"/>
  <c r="O105" i="19"/>
  <c r="P105" i="19" s="1"/>
  <c r="O104" i="19"/>
  <c r="O103" i="19"/>
  <c r="P103" i="19" s="1"/>
  <c r="O102" i="19"/>
  <c r="P102" i="19" s="1"/>
  <c r="Q102" i="19" s="1"/>
  <c r="D102" i="19" s="1"/>
  <c r="E102" i="19" s="1"/>
  <c r="F109" i="19"/>
  <c r="AW193" i="18"/>
  <c r="AW191" i="18"/>
  <c r="F112" i="19"/>
  <c r="F111" i="19"/>
  <c r="F110" i="19"/>
  <c r="E123" i="19"/>
  <c r="F123" i="19" s="1"/>
  <c r="G123" i="19" s="1"/>
  <c r="E122" i="19"/>
  <c r="E121" i="19"/>
  <c r="E120" i="19"/>
  <c r="E119" i="19"/>
  <c r="E118" i="19"/>
  <c r="E117" i="19"/>
  <c r="E116" i="19"/>
  <c r="F113" i="19"/>
  <c r="AV156" i="17"/>
  <c r="AV155" i="17"/>
  <c r="AV157" i="18"/>
  <c r="AV156" i="18"/>
  <c r="AV154" i="17"/>
  <c r="AQ42" i="17" s="1"/>
  <c r="AV155" i="18"/>
  <c r="AQ42" i="18" s="1"/>
  <c r="AV149" i="17"/>
  <c r="AV148" i="17"/>
  <c r="AV147" i="17"/>
  <c r="AV150" i="18"/>
  <c r="AV149" i="18"/>
  <c r="AV148" i="18"/>
  <c r="AV146" i="17"/>
  <c r="AV147" i="18"/>
  <c r="AV143" i="17"/>
  <c r="AV142" i="17"/>
  <c r="AV144" i="18"/>
  <c r="AV143" i="18"/>
  <c r="AV141" i="17"/>
  <c r="AV142" i="18"/>
  <c r="AL40" i="18" s="1"/>
  <c r="AL39" i="17"/>
  <c r="AL39" i="18"/>
  <c r="AX124" i="17"/>
  <c r="AX123" i="17"/>
  <c r="AX122" i="17"/>
  <c r="AX121" i="17"/>
  <c r="AX125" i="18"/>
  <c r="AX124" i="18"/>
  <c r="AX123" i="18"/>
  <c r="AX122" i="18"/>
  <c r="AX120" i="17"/>
  <c r="AX121" i="18"/>
  <c r="AX116" i="17"/>
  <c r="AX115" i="17"/>
  <c r="AX114" i="17"/>
  <c r="AX117" i="18"/>
  <c r="AX116" i="18"/>
  <c r="AX115" i="18"/>
  <c r="AX113" i="17"/>
  <c r="AX114" i="18"/>
  <c r="AX99" i="17"/>
  <c r="AX98" i="17"/>
  <c r="AX97" i="17"/>
  <c r="AX96" i="17"/>
  <c r="AX100" i="18"/>
  <c r="AX99" i="18"/>
  <c r="AX98" i="18"/>
  <c r="AX97" i="18"/>
  <c r="AX95" i="17"/>
  <c r="AX96" i="18"/>
  <c r="AW80" i="18"/>
  <c r="AW79" i="18"/>
  <c r="AW78" i="18"/>
  <c r="AW77" i="18"/>
  <c r="AW76" i="18"/>
  <c r="AW75" i="18"/>
  <c r="AW74" i="18"/>
  <c r="AW80" i="17"/>
  <c r="AW79" i="17"/>
  <c r="AW78" i="17"/>
  <c r="AW77" i="17"/>
  <c r="AW76" i="17"/>
  <c r="AW75" i="17"/>
  <c r="AW74" i="17"/>
  <c r="AW73" i="18"/>
  <c r="AW73" i="17"/>
  <c r="C47" i="19"/>
  <c r="C48" i="19" s="1"/>
  <c r="C49" i="19" s="1"/>
  <c r="D29" i="19"/>
  <c r="D28" i="19"/>
  <c r="G73" i="19" l="1"/>
  <c r="E68" i="19"/>
  <c r="AV105" i="18" s="1"/>
  <c r="E70" i="19"/>
  <c r="AV106" i="17" s="1"/>
  <c r="G71" i="19"/>
  <c r="AW107" i="17" s="1"/>
  <c r="G69" i="19"/>
  <c r="E72" i="19"/>
  <c r="AV109" i="18" s="1"/>
  <c r="G70" i="19"/>
  <c r="G68" i="19"/>
  <c r="E73" i="19"/>
  <c r="E71" i="19"/>
  <c r="G72" i="19"/>
  <c r="AW109" i="18" s="1"/>
  <c r="E69" i="19"/>
  <c r="AV105" i="17" s="1"/>
  <c r="G5" i="19"/>
  <c r="G6" i="19"/>
  <c r="AW32" i="18" s="1"/>
  <c r="G4" i="19"/>
  <c r="G10" i="19"/>
  <c r="G12" i="19"/>
  <c r="G11" i="19"/>
  <c r="E27" i="19"/>
  <c r="F52" i="19"/>
  <c r="E38" i="19"/>
  <c r="F38" i="19" s="1"/>
  <c r="G38" i="19" s="1"/>
  <c r="F27" i="19"/>
  <c r="AW58" i="17" s="1"/>
  <c r="E29" i="19"/>
  <c r="AV60" i="18" s="1"/>
  <c r="I22" i="19"/>
  <c r="I23" i="19"/>
  <c r="F28" i="19"/>
  <c r="AW59" i="18" s="1"/>
  <c r="E35" i="19"/>
  <c r="F35" i="19" s="1"/>
  <c r="G35" i="19" s="1"/>
  <c r="E39" i="19"/>
  <c r="F39" i="19" s="1"/>
  <c r="G39" i="19" s="1"/>
  <c r="E33" i="19"/>
  <c r="F33" i="19" s="1"/>
  <c r="G33" i="19" s="1"/>
  <c r="E37" i="19"/>
  <c r="F37" i="19" s="1"/>
  <c r="G37" i="19" s="1"/>
  <c r="E36" i="19"/>
  <c r="F36" i="19" s="1"/>
  <c r="G36" i="19" s="1"/>
  <c r="E34" i="19"/>
  <c r="F34" i="19" s="1"/>
  <c r="G34" i="19" s="1"/>
  <c r="AV108" i="18"/>
  <c r="AV110" i="18"/>
  <c r="AW105" i="17"/>
  <c r="AW109" i="17"/>
  <c r="AW104" i="17"/>
  <c r="AW107" i="18"/>
  <c r="G52" i="19"/>
  <c r="AY85" i="17" s="1"/>
  <c r="G56" i="19"/>
  <c r="AY89" i="17" s="1"/>
  <c r="G54" i="19"/>
  <c r="AY88" i="18" s="1"/>
  <c r="G53" i="19"/>
  <c r="AY86" i="17" s="1"/>
  <c r="G55" i="19"/>
  <c r="AY88" i="17" s="1"/>
  <c r="G57" i="19"/>
  <c r="AY91" i="18" s="1"/>
  <c r="F53" i="19"/>
  <c r="AX86" i="17" s="1"/>
  <c r="F57" i="19"/>
  <c r="AX90" i="17" s="1"/>
  <c r="F55" i="19"/>
  <c r="AX88" i="17" s="1"/>
  <c r="H112" i="19"/>
  <c r="I112" i="19" s="1"/>
  <c r="AV109" i="17"/>
  <c r="E28" i="19"/>
  <c r="AV59" i="17" s="1"/>
  <c r="F54" i="19"/>
  <c r="F56" i="19"/>
  <c r="H110" i="19"/>
  <c r="I110" i="19" s="1"/>
  <c r="H109" i="19"/>
  <c r="I109" i="19" s="1"/>
  <c r="H113" i="19"/>
  <c r="I113" i="19" s="1"/>
  <c r="H123" i="19"/>
  <c r="I123" i="19" s="1"/>
  <c r="J123" i="19" s="1"/>
  <c r="F119" i="19"/>
  <c r="G119" i="19" s="1"/>
  <c r="F116" i="19"/>
  <c r="G116" i="19" s="1"/>
  <c r="F117" i="19"/>
  <c r="G117" i="19" s="1"/>
  <c r="H117" i="19" s="1"/>
  <c r="I117" i="19" s="1"/>
  <c r="J117" i="19" s="1"/>
  <c r="F120" i="19"/>
  <c r="G120" i="19" s="1"/>
  <c r="F121" i="19"/>
  <c r="G121" i="19" s="1"/>
  <c r="F118" i="19"/>
  <c r="F122" i="19"/>
  <c r="Q103" i="19"/>
  <c r="D103" i="19" s="1"/>
  <c r="E103" i="19" s="1"/>
  <c r="F103" i="19" s="1"/>
  <c r="G103" i="19" s="1"/>
  <c r="H103" i="19" s="1"/>
  <c r="I103" i="19" s="1"/>
  <c r="J103" i="19" s="1"/>
  <c r="P104" i="19"/>
  <c r="Q104" i="19" s="1"/>
  <c r="D104" i="19" s="1"/>
  <c r="E104" i="19" s="1"/>
  <c r="F104" i="19" s="1"/>
  <c r="G104" i="19" s="1"/>
  <c r="H104" i="19" s="1"/>
  <c r="Q105" i="19"/>
  <c r="D105" i="19" s="1"/>
  <c r="E105" i="19" s="1"/>
  <c r="F105" i="19" s="1"/>
  <c r="P108" i="19"/>
  <c r="Q108" i="19" s="1"/>
  <c r="F108" i="19" s="1"/>
  <c r="G108" i="19" s="1"/>
  <c r="Q106" i="19"/>
  <c r="D106" i="19" s="1"/>
  <c r="E106" i="19" s="1"/>
  <c r="F106" i="19" s="1"/>
  <c r="G106" i="19" s="1"/>
  <c r="H106" i="19" s="1"/>
  <c r="Q107" i="19"/>
  <c r="D107" i="19" s="1"/>
  <c r="E107" i="19" s="1"/>
  <c r="F107" i="19" s="1"/>
  <c r="G107" i="19" s="1"/>
  <c r="F102" i="19"/>
  <c r="H111" i="19"/>
  <c r="I111" i="19" s="1"/>
  <c r="H115" i="19"/>
  <c r="H114" i="19"/>
  <c r="AW108" i="18"/>
  <c r="AY89" i="18"/>
  <c r="AW110" i="18"/>
  <c r="F29" i="19"/>
  <c r="AW60" i="18" s="1"/>
  <c r="H33" i="19"/>
  <c r="H38" i="19"/>
  <c r="K24" i="19"/>
  <c r="AZ53" i="18" s="1"/>
  <c r="J24" i="19"/>
  <c r="AY53" i="17" s="1"/>
  <c r="K23" i="19"/>
  <c r="AZ52" i="18" s="1"/>
  <c r="J23" i="19"/>
  <c r="AY52" i="17" s="1"/>
  <c r="K22" i="19"/>
  <c r="AZ51" i="18" s="1"/>
  <c r="J22" i="19"/>
  <c r="AY51" i="17" s="1"/>
  <c r="H24" i="19"/>
  <c r="AW53" i="17" s="1"/>
  <c r="H23" i="19"/>
  <c r="AW52" i="17" s="1"/>
  <c r="H22" i="19"/>
  <c r="AW51" i="17" s="1"/>
  <c r="G24" i="19"/>
  <c r="AV53" i="17" s="1"/>
  <c r="G23" i="19"/>
  <c r="AV52" i="17" s="1"/>
  <c r="G22" i="19"/>
  <c r="AV51" i="17" s="1"/>
  <c r="F24" i="19"/>
  <c r="I24" i="19" s="1"/>
  <c r="L23" i="19"/>
  <c r="BA51" i="17"/>
  <c r="J17" i="19"/>
  <c r="K17" i="19" s="1"/>
  <c r="H17" i="19"/>
  <c r="I17" i="19" s="1"/>
  <c r="D17" i="19"/>
  <c r="E17" i="19" s="1"/>
  <c r="J12" i="19"/>
  <c r="K12" i="19" s="1"/>
  <c r="H12" i="19"/>
  <c r="I12" i="19" s="1"/>
  <c r="D12" i="19"/>
  <c r="E12" i="19" s="1"/>
  <c r="AV39" i="17" s="1"/>
  <c r="J11" i="19"/>
  <c r="K11" i="19" s="1"/>
  <c r="AY38" i="17" s="1"/>
  <c r="H11" i="19"/>
  <c r="I11" i="19" s="1"/>
  <c r="D11" i="19"/>
  <c r="E11" i="19" s="1"/>
  <c r="AV38" i="17" s="1"/>
  <c r="J10" i="19"/>
  <c r="K10" i="19" s="1"/>
  <c r="H10" i="19"/>
  <c r="I10" i="19" s="1"/>
  <c r="D10" i="19"/>
  <c r="E10" i="19" s="1"/>
  <c r="J6" i="19"/>
  <c r="K6" i="19" s="1"/>
  <c r="AY32" i="17" s="1"/>
  <c r="J5" i="19"/>
  <c r="K5" i="19" s="1"/>
  <c r="AY31" i="18" s="1"/>
  <c r="J4" i="19"/>
  <c r="K4" i="19" s="1"/>
  <c r="AY30" i="17" s="1"/>
  <c r="H6" i="19"/>
  <c r="I6" i="19" s="1"/>
  <c r="AX32" i="18" s="1"/>
  <c r="H5" i="19"/>
  <c r="I5" i="19" s="1"/>
  <c r="AX31" i="18" s="1"/>
  <c r="H4" i="19"/>
  <c r="I4" i="19" s="1"/>
  <c r="D6" i="19"/>
  <c r="E6" i="19" s="1"/>
  <c r="D5" i="19"/>
  <c r="E5" i="19" s="1"/>
  <c r="D4" i="19"/>
  <c r="E4" i="19" s="1"/>
  <c r="AV30" i="17" s="1"/>
  <c r="AI23" i="18"/>
  <c r="H37" i="19" l="1"/>
  <c r="AW68" i="18" s="1"/>
  <c r="AW59" i="17"/>
  <c r="AV107" i="18"/>
  <c r="AW58" i="18"/>
  <c r="AW108" i="17"/>
  <c r="AV106" i="18"/>
  <c r="AV108" i="17"/>
  <c r="AW105" i="18"/>
  <c r="AV60" i="17"/>
  <c r="AV107" i="17"/>
  <c r="AY87" i="17"/>
  <c r="AY87" i="18"/>
  <c r="AY90" i="18"/>
  <c r="AY90" i="17"/>
  <c r="AX87" i="18"/>
  <c r="AZ191" i="18"/>
  <c r="AZ190" i="17"/>
  <c r="L98" i="19"/>
  <c r="J115" i="19"/>
  <c r="J113" i="19"/>
  <c r="J111" i="19"/>
  <c r="J110" i="19"/>
  <c r="J109" i="19"/>
  <c r="AW106" i="18"/>
  <c r="AW106" i="17"/>
  <c r="AV104" i="17"/>
  <c r="AY86" i="18"/>
  <c r="H39" i="19"/>
  <c r="AW70" i="18" s="1"/>
  <c r="H35" i="19"/>
  <c r="AW66" i="17" s="1"/>
  <c r="H34" i="19"/>
  <c r="AW65" i="17" s="1"/>
  <c r="H36" i="19"/>
  <c r="AW67" i="18" s="1"/>
  <c r="AV59" i="18"/>
  <c r="AX89" i="18"/>
  <c r="AX91" i="18"/>
  <c r="J112" i="19"/>
  <c r="AX89" i="17"/>
  <c r="AX90" i="18"/>
  <c r="AX86" i="18"/>
  <c r="AX85" i="17"/>
  <c r="AX52" i="18"/>
  <c r="AZ53" i="17"/>
  <c r="AX87" i="17"/>
  <c r="AX88" i="18"/>
  <c r="AV53" i="18"/>
  <c r="H120" i="19"/>
  <c r="I120" i="19" s="1"/>
  <c r="J120" i="19" s="1"/>
  <c r="H116" i="19"/>
  <c r="I116" i="19" s="1"/>
  <c r="J116" i="19" s="1"/>
  <c r="H119" i="19"/>
  <c r="I119" i="19" s="1"/>
  <c r="J119" i="19" s="1"/>
  <c r="G118" i="19"/>
  <c r="H118" i="19" s="1"/>
  <c r="G122" i="19"/>
  <c r="H122" i="19" s="1"/>
  <c r="H121" i="19"/>
  <c r="I121" i="19" s="1"/>
  <c r="J121" i="19" s="1"/>
  <c r="G105" i="19"/>
  <c r="H105" i="19" s="1"/>
  <c r="I105" i="19" s="1"/>
  <c r="J105" i="19" s="1"/>
  <c r="H108" i="19"/>
  <c r="I108" i="19" s="1"/>
  <c r="J108" i="19" s="1"/>
  <c r="H107" i="19"/>
  <c r="I107" i="19" s="1"/>
  <c r="J107" i="19" s="1"/>
  <c r="I106" i="19"/>
  <c r="J106" i="19" s="1"/>
  <c r="I104" i="19"/>
  <c r="J104" i="19" s="1"/>
  <c r="G102" i="19"/>
  <c r="H102" i="19" s="1"/>
  <c r="I102" i="19" s="1"/>
  <c r="J102" i="19" s="1"/>
  <c r="J114" i="19"/>
  <c r="AY30" i="18"/>
  <c r="AV51" i="18"/>
  <c r="AY37" i="17"/>
  <c r="AY37" i="18"/>
  <c r="AY52" i="18"/>
  <c r="AX32" i="17"/>
  <c r="AW52" i="18"/>
  <c r="AZ52" i="17"/>
  <c r="AX31" i="17"/>
  <c r="AW69" i="18"/>
  <c r="AW69" i="17"/>
  <c r="AW64" i="18"/>
  <c r="AW64" i="17"/>
  <c r="AW60" i="17"/>
  <c r="AV32" i="18"/>
  <c r="AV32" i="17"/>
  <c r="AX30" i="18"/>
  <c r="AX30" i="17"/>
  <c r="AX37" i="18"/>
  <c r="AX37" i="17"/>
  <c r="AX38" i="17"/>
  <c r="AX38" i="18"/>
  <c r="AX39" i="17"/>
  <c r="AX39" i="18"/>
  <c r="AX44" i="17"/>
  <c r="AX44" i="18"/>
  <c r="BA52" i="17"/>
  <c r="BA52" i="18"/>
  <c r="AV31" i="17"/>
  <c r="AV31" i="18"/>
  <c r="AW31" i="17"/>
  <c r="AW31" i="18"/>
  <c r="AW37" i="18"/>
  <c r="AW37" i="17"/>
  <c r="AW38" i="17"/>
  <c r="AW38" i="18"/>
  <c r="AW39" i="17"/>
  <c r="AW39" i="18"/>
  <c r="AW44" i="17"/>
  <c r="AW44" i="18"/>
  <c r="AW30" i="17"/>
  <c r="AW30" i="18"/>
  <c r="AV37" i="17"/>
  <c r="AV37" i="18"/>
  <c r="AV44" i="18"/>
  <c r="AV44" i="17"/>
  <c r="AY39" i="17"/>
  <c r="AY39" i="18"/>
  <c r="AY44" i="18"/>
  <c r="AY44" i="17"/>
  <c r="AX53" i="17"/>
  <c r="AX53" i="18"/>
  <c r="AV58" i="18"/>
  <c r="AV58" i="17"/>
  <c r="AY31" i="17"/>
  <c r="AY32" i="18"/>
  <c r="AW51" i="18"/>
  <c r="AX52" i="17"/>
  <c r="AY53" i="18"/>
  <c r="AV30" i="18"/>
  <c r="AV38" i="18"/>
  <c r="AV39" i="18"/>
  <c r="L24" i="19"/>
  <c r="AZ51" i="17"/>
  <c r="AW32" i="17"/>
  <c r="AY38" i="18"/>
  <c r="AY51" i="18"/>
  <c r="AV52" i="18"/>
  <c r="AW53" i="18"/>
  <c r="BA51" i="18"/>
  <c r="AL42" i="17"/>
  <c r="AL42" i="18"/>
  <c r="AM76" i="17"/>
  <c r="AW70" i="17" l="1"/>
  <c r="AW68" i="17"/>
  <c r="AW65" i="18"/>
  <c r="AW66" i="18"/>
  <c r="AZ198" i="17"/>
  <c r="AZ199" i="18"/>
  <c r="AZ201" i="17"/>
  <c r="AZ202" i="18"/>
  <c r="AZ197" i="17"/>
  <c r="AZ198" i="18"/>
  <c r="AZ199" i="17"/>
  <c r="AZ200" i="18"/>
  <c r="AZ197" i="18"/>
  <c r="AZ196" i="17"/>
  <c r="AZ202" i="17"/>
  <c r="AZ203" i="18"/>
  <c r="AZ201" i="18"/>
  <c r="AZ200" i="17"/>
  <c r="AW67" i="17"/>
  <c r="AZ195" i="17"/>
  <c r="AZ196" i="18"/>
  <c r="AZ191" i="17"/>
  <c r="AZ192" i="18"/>
  <c r="AZ195" i="18"/>
  <c r="AZ194" i="17"/>
  <c r="AZ193" i="18"/>
  <c r="AZ192" i="17"/>
  <c r="AZ190" i="18"/>
  <c r="AZ189" i="17"/>
  <c r="AZ193" i="17"/>
  <c r="AZ194" i="18"/>
  <c r="M98" i="19"/>
  <c r="N98" i="19" s="1"/>
  <c r="I122" i="19"/>
  <c r="J122" i="19" s="1"/>
  <c r="I118" i="19"/>
  <c r="J118" i="19" s="1"/>
  <c r="AX51" i="18"/>
  <c r="AX51" i="17"/>
  <c r="BA53" i="18"/>
  <c r="BA53" i="17"/>
  <c r="AG30" i="17"/>
  <c r="AG30" i="18"/>
  <c r="AG29" i="17"/>
  <c r="AV209" i="18" l="1"/>
  <c r="AV208" i="18"/>
  <c r="AV207" i="18"/>
  <c r="AV201" i="18"/>
  <c r="AV200" i="18"/>
  <c r="AV199" i="18"/>
  <c r="AV198" i="18"/>
  <c r="AV197" i="18"/>
  <c r="AW195" i="18"/>
  <c r="AW194" i="18"/>
  <c r="AW192" i="18"/>
  <c r="AW190" i="18"/>
  <c r="AY185" i="18" s="1"/>
  <c r="AX148" i="18"/>
  <c r="AI88" i="18"/>
  <c r="AK88" i="18" s="1"/>
  <c r="AM88" i="18" s="1"/>
  <c r="AJ87" i="18"/>
  <c r="AJ86" i="18"/>
  <c r="AH86" i="18"/>
  <c r="AH85" i="18"/>
  <c r="AV78" i="18"/>
  <c r="AV79" i="18" s="1"/>
  <c r="AV80" i="18" s="1"/>
  <c r="AM76" i="18"/>
  <c r="AM74" i="18"/>
  <c r="AM73" i="18"/>
  <c r="AM72" i="18"/>
  <c r="AM71" i="18"/>
  <c r="AM70" i="18"/>
  <c r="AM69" i="18"/>
  <c r="AM68" i="18"/>
  <c r="AM67" i="18"/>
  <c r="AM66" i="18"/>
  <c r="AM65" i="18"/>
  <c r="AM64" i="18"/>
  <c r="AM63" i="18"/>
  <c r="AM62" i="18"/>
  <c r="AM61" i="18"/>
  <c r="AL26" i="18"/>
  <c r="AM60" i="18"/>
  <c r="AM59" i="18"/>
  <c r="AM58" i="18"/>
  <c r="AM54" i="18"/>
  <c r="AI44" i="18"/>
  <c r="AM44" i="18" s="1"/>
  <c r="AY43" i="18"/>
  <c r="AX43" i="18"/>
  <c r="AW43" i="18"/>
  <c r="AV43" i="18"/>
  <c r="AM43" i="18"/>
  <c r="AU42" i="18"/>
  <c r="AL41" i="18"/>
  <c r="AK40" i="18"/>
  <c r="AJ40" i="18"/>
  <c r="AK39" i="18"/>
  <c r="AJ39" i="18"/>
  <c r="AY36" i="18"/>
  <c r="AX36" i="18"/>
  <c r="AW36" i="18"/>
  <c r="AV36" i="18"/>
  <c r="AM33" i="18"/>
  <c r="AI32" i="18"/>
  <c r="AI30" i="18"/>
  <c r="AO30" i="18" s="1"/>
  <c r="AY29" i="18"/>
  <c r="AX29" i="18"/>
  <c r="AW29" i="18"/>
  <c r="AV29" i="18"/>
  <c r="AI29" i="18"/>
  <c r="AG29" i="18"/>
  <c r="AU28" i="18"/>
  <c r="AI27" i="18"/>
  <c r="AN115" i="18"/>
  <c r="AL25" i="18"/>
  <c r="AL24" i="18"/>
  <c r="BX23" i="18"/>
  <c r="BY23" i="18" s="1"/>
  <c r="BZ23" i="18" s="1"/>
  <c r="CA23" i="18" s="1"/>
  <c r="CB23" i="18" s="1"/>
  <c r="CC23" i="18" s="1"/>
  <c r="CD23" i="18" s="1"/>
  <c r="CE23" i="18" s="1"/>
  <c r="CF23" i="18" s="1"/>
  <c r="CG23" i="18" s="1"/>
  <c r="CH23" i="18" s="1"/>
  <c r="AJ23" i="18"/>
  <c r="AO23" i="18" s="1"/>
  <c r="AI22" i="18"/>
  <c r="AJ22" i="18" s="1"/>
  <c r="CC15" i="18"/>
  <c r="AJ24" i="18"/>
  <c r="BX8" i="18"/>
  <c r="BY8" i="18" s="1"/>
  <c r="BZ8" i="18" s="1"/>
  <c r="CA8" i="18" s="1"/>
  <c r="CB8" i="18" s="1"/>
  <c r="CC8" i="18" s="1"/>
  <c r="CD8" i="18" s="1"/>
  <c r="CE8" i="18" s="1"/>
  <c r="CF8" i="18" s="1"/>
  <c r="CG8" i="18" s="1"/>
  <c r="AH4" i="18"/>
  <c r="AI30" i="17"/>
  <c r="AI29" i="17"/>
  <c r="AO29" i="17" s="1"/>
  <c r="AV78" i="17"/>
  <c r="AV79" i="17" s="1"/>
  <c r="AV80" i="17" s="1"/>
  <c r="AM77" i="18" l="1"/>
  <c r="AL22" i="18"/>
  <c r="AM22" i="18" s="1"/>
  <c r="AJ32" i="18"/>
  <c r="AO29" i="18"/>
  <c r="AP29" i="18" s="1"/>
  <c r="AM39" i="18"/>
  <c r="AL23" i="18"/>
  <c r="AM23" i="18" s="1"/>
  <c r="AO22" i="18"/>
  <c r="AP30" i="18"/>
  <c r="AK92" i="18"/>
  <c r="AM92" i="18" s="1"/>
  <c r="AJ25" i="18"/>
  <c r="AM25" i="18" s="1"/>
  <c r="AM24" i="18"/>
  <c r="AM40" i="18"/>
  <c r="CC9" i="18"/>
  <c r="BZ10" i="18"/>
  <c r="CG9" i="18"/>
  <c r="BY9" i="18"/>
  <c r="CD10" i="18"/>
  <c r="BZ9" i="18"/>
  <c r="CD9" i="18"/>
  <c r="BW10" i="18"/>
  <c r="CA10" i="18"/>
  <c r="CE10" i="18"/>
  <c r="BW11" i="18"/>
  <c r="CA11" i="18"/>
  <c r="CE11" i="18"/>
  <c r="BX12" i="18"/>
  <c r="BW19" i="18"/>
  <c r="BY24" i="18"/>
  <c r="CC24" i="18"/>
  <c r="CG24" i="18"/>
  <c r="BW25" i="18"/>
  <c r="CA25" i="18"/>
  <c r="CE25" i="18"/>
  <c r="CC26" i="18"/>
  <c r="CG27" i="18"/>
  <c r="CA28" i="18"/>
  <c r="BX29" i="18"/>
  <c r="AH84" i="18"/>
  <c r="X111" i="18"/>
  <c r="M112" i="18"/>
  <c r="AK113" i="18"/>
  <c r="AK114" i="18"/>
  <c r="F115" i="18"/>
  <c r="V115" i="18"/>
  <c r="AM116" i="18"/>
  <c r="BZ11" i="18"/>
  <c r="CD11" i="18"/>
  <c r="BW12" i="18"/>
  <c r="BU18" i="18"/>
  <c r="BX24" i="18"/>
  <c r="CB24" i="18"/>
  <c r="CF24" i="18"/>
  <c r="BT25" i="18"/>
  <c r="BZ25" i="18"/>
  <c r="CD25" i="18"/>
  <c r="CH25" i="18"/>
  <c r="CA26" i="18"/>
  <c r="AJ36" i="18"/>
  <c r="AM36" i="18" s="1"/>
  <c r="AI89" i="18"/>
  <c r="AK89" i="18" s="1"/>
  <c r="AM89" i="18" s="1"/>
  <c r="Y108" i="18"/>
  <c r="AA110" i="18"/>
  <c r="M111" i="18"/>
  <c r="I112" i="18"/>
  <c r="AF112" i="18"/>
  <c r="AF113" i="18"/>
  <c r="R115" i="18"/>
  <c r="AH116" i="18"/>
  <c r="CC27" i="18"/>
  <c r="BW28" i="18"/>
  <c r="BX9" i="18"/>
  <c r="CB9" i="18"/>
  <c r="CF9" i="18"/>
  <c r="BY10" i="18"/>
  <c r="CC10" i="18"/>
  <c r="CG10" i="18"/>
  <c r="BY11" i="18"/>
  <c r="CC11" i="18"/>
  <c r="CG11" i="18"/>
  <c r="AP23" i="18"/>
  <c r="BW24" i="18"/>
  <c r="CA24" i="18"/>
  <c r="CE24" i="18"/>
  <c r="BY25" i="18"/>
  <c r="CC25" i="18"/>
  <c r="CG25" i="18"/>
  <c r="BY26" i="18"/>
  <c r="CG26" i="18"/>
  <c r="BY27" i="18"/>
  <c r="U108" i="18"/>
  <c r="X109" i="18"/>
  <c r="W110" i="18"/>
  <c r="I111" i="18"/>
  <c r="AF111" i="18"/>
  <c r="AB112" i="18"/>
  <c r="P113" i="18"/>
  <c r="AK115" i="18"/>
  <c r="N115" i="18"/>
  <c r="AD115" i="18"/>
  <c r="S116" i="18"/>
  <c r="BW9" i="18"/>
  <c r="CA9" i="18"/>
  <c r="CE9" i="18"/>
  <c r="BX10" i="18"/>
  <c r="CB10" i="18"/>
  <c r="CF10" i="18"/>
  <c r="BX11" i="18"/>
  <c r="CB11" i="18"/>
  <c r="CF11" i="18"/>
  <c r="BY12" i="18"/>
  <c r="BZ24" i="18"/>
  <c r="CD24" i="18"/>
  <c r="CH24" i="18"/>
  <c r="BX25" i="18"/>
  <c r="CB25" i="18"/>
  <c r="CF25" i="18"/>
  <c r="BW26" i="18"/>
  <c r="CE26" i="18"/>
  <c r="AJ27" i="18"/>
  <c r="AQ27" i="18" s="1"/>
  <c r="AO27" i="18" s="1"/>
  <c r="AO28" i="18"/>
  <c r="AP28" i="18" s="1"/>
  <c r="CE28" i="18"/>
  <c r="CB29" i="18"/>
  <c r="BW32" i="18"/>
  <c r="T109" i="18"/>
  <c r="F110" i="18"/>
  <c r="E111" i="18"/>
  <c r="AB111" i="18"/>
  <c r="Q112" i="18"/>
  <c r="L113" i="18"/>
  <c r="O114" i="18"/>
  <c r="J115" i="18"/>
  <c r="Z115" i="18"/>
  <c r="AI26" i="18"/>
  <c r="AJ26" i="18" s="1"/>
  <c r="AO26" i="18" s="1"/>
  <c r="BX26" i="18"/>
  <c r="CB26" i="18"/>
  <c r="CF26" i="18"/>
  <c r="BX27" i="18"/>
  <c r="CB27" i="18"/>
  <c r="CF27" i="18"/>
  <c r="BT28" i="18"/>
  <c r="BZ28" i="18"/>
  <c r="CD28" i="18"/>
  <c r="CH28" i="18"/>
  <c r="BW29" i="18"/>
  <c r="CA29" i="18"/>
  <c r="AL34" i="18"/>
  <c r="AM34" i="18" s="1"/>
  <c r="T108" i="18"/>
  <c r="X108" i="18"/>
  <c r="S109" i="18"/>
  <c r="W109" i="18"/>
  <c r="E110" i="18"/>
  <c r="V110" i="18"/>
  <c r="Z110" i="18"/>
  <c r="AD110" i="18"/>
  <c r="D111" i="18"/>
  <c r="H111" i="18"/>
  <c r="L111" i="18"/>
  <c r="W111" i="18"/>
  <c r="AA111" i="18"/>
  <c r="AE111" i="18"/>
  <c r="H112" i="18"/>
  <c r="L112" i="18"/>
  <c r="P112" i="18"/>
  <c r="AA112" i="18"/>
  <c r="AE112" i="18"/>
  <c r="AJ113" i="18"/>
  <c r="AN112" i="18"/>
  <c r="O113" i="18"/>
  <c r="AE113" i="18"/>
  <c r="AJ114" i="18"/>
  <c r="AN113" i="18"/>
  <c r="R114" i="18"/>
  <c r="AN114" i="18"/>
  <c r="E115" i="18"/>
  <c r="I115" i="18"/>
  <c r="M115" i="18"/>
  <c r="Q115" i="18"/>
  <c r="U115" i="18"/>
  <c r="Y115" i="18"/>
  <c r="AC115" i="18"/>
  <c r="AG116" i="18"/>
  <c r="AL116" i="18"/>
  <c r="C116" i="18"/>
  <c r="AH12" i="18"/>
  <c r="BW27" i="18"/>
  <c r="CA27" i="18"/>
  <c r="CE27" i="18"/>
  <c r="BY28" i="18"/>
  <c r="CC28" i="18"/>
  <c r="CG28" i="18"/>
  <c r="BT29" i="18"/>
  <c r="BZ29" i="18"/>
  <c r="AL35" i="18"/>
  <c r="AK45" i="18"/>
  <c r="AM45" i="18" s="1"/>
  <c r="S108" i="18"/>
  <c r="W108" i="18"/>
  <c r="V109" i="18"/>
  <c r="Z109" i="18"/>
  <c r="D110" i="18"/>
  <c r="U110" i="18"/>
  <c r="Y110" i="18"/>
  <c r="AC110" i="18"/>
  <c r="G111" i="18"/>
  <c r="K111" i="18"/>
  <c r="V111" i="18"/>
  <c r="Z111" i="18"/>
  <c r="AD111" i="18"/>
  <c r="AH112" i="18"/>
  <c r="K112" i="18"/>
  <c r="O112" i="18"/>
  <c r="Z112" i="18"/>
  <c r="AD112" i="18"/>
  <c r="AH113" i="18"/>
  <c r="AM113" i="18"/>
  <c r="N113" i="18"/>
  <c r="R113" i="18"/>
  <c r="AH114" i="18"/>
  <c r="AM114" i="18"/>
  <c r="Q114" i="18"/>
  <c r="AM115" i="18"/>
  <c r="D115" i="18"/>
  <c r="H115" i="18"/>
  <c r="L115" i="18"/>
  <c r="P115" i="18"/>
  <c r="T115" i="18"/>
  <c r="X115" i="18"/>
  <c r="AB115" i="18"/>
  <c r="AF115" i="18"/>
  <c r="AK116" i="18"/>
  <c r="C117" i="18"/>
  <c r="BT26" i="18"/>
  <c r="BZ26" i="18"/>
  <c r="CD26" i="18"/>
  <c r="CH26" i="18"/>
  <c r="BT27" i="18"/>
  <c r="BZ27" i="18"/>
  <c r="CD27" i="18"/>
  <c r="CH27" i="18"/>
  <c r="BX28" i="18"/>
  <c r="CB28" i="18"/>
  <c r="CF28" i="18"/>
  <c r="BY29" i="18"/>
  <c r="CC29" i="18"/>
  <c r="BX32" i="18"/>
  <c r="AJ35" i="18"/>
  <c r="AK41" i="18"/>
  <c r="AM41" i="18" s="1"/>
  <c r="AI84" i="18"/>
  <c r="AI85" i="18"/>
  <c r="AK85" i="18" s="1"/>
  <c r="AM85" i="18" s="1"/>
  <c r="AI86" i="18"/>
  <c r="AK86" i="18" s="1"/>
  <c r="AM86" i="18" s="1"/>
  <c r="AI87" i="18"/>
  <c r="AK87" i="18" s="1"/>
  <c r="AM87" i="18" s="1"/>
  <c r="V108" i="18"/>
  <c r="U109" i="18"/>
  <c r="Y109" i="18"/>
  <c r="C110" i="18"/>
  <c r="G110" i="18"/>
  <c r="X110" i="18"/>
  <c r="AB110" i="18"/>
  <c r="F111" i="18"/>
  <c r="J111" i="18"/>
  <c r="U111" i="18"/>
  <c r="Y111" i="18"/>
  <c r="AC111" i="18"/>
  <c r="AG112" i="18"/>
  <c r="J112" i="18"/>
  <c r="N112" i="18"/>
  <c r="Y112" i="18"/>
  <c r="AC112" i="18"/>
  <c r="AG113" i="18"/>
  <c r="AL113" i="18"/>
  <c r="M113" i="18"/>
  <c r="Q113" i="18"/>
  <c r="AG114" i="18"/>
  <c r="AL114" i="18"/>
  <c r="P114" i="18"/>
  <c r="AL115" i="18"/>
  <c r="C115" i="18"/>
  <c r="G115" i="18"/>
  <c r="K115" i="18"/>
  <c r="O115" i="18"/>
  <c r="S115" i="18"/>
  <c r="W115" i="18"/>
  <c r="AA115" i="18"/>
  <c r="AE115" i="18"/>
  <c r="AJ116" i="18"/>
  <c r="AI88" i="17"/>
  <c r="AK88" i="17" s="1"/>
  <c r="AM88" i="17" s="1"/>
  <c r="AJ87" i="17"/>
  <c r="AJ86" i="17"/>
  <c r="AH86" i="17"/>
  <c r="AH85" i="17"/>
  <c r="AO52" i="18" l="1"/>
  <c r="AL52" i="18" s="1"/>
  <c r="AJ52" i="18" s="1"/>
  <c r="AO32" i="18"/>
  <c r="AP32" i="18" s="1"/>
  <c r="AL32" i="18"/>
  <c r="AM32" i="18" s="1"/>
  <c r="AP26" i="18"/>
  <c r="AK84" i="18"/>
  <c r="AK90" i="18" s="1"/>
  <c r="AM90" i="18" s="1"/>
  <c r="AP27" i="18"/>
  <c r="AL27" i="18"/>
  <c r="AM27" i="18" s="1"/>
  <c r="AM35" i="18"/>
  <c r="AM26" i="18"/>
  <c r="AP22" i="18"/>
  <c r="AK40" i="17"/>
  <c r="AK39" i="17"/>
  <c r="AM84" i="18" l="1"/>
  <c r="AO37" i="18"/>
  <c r="AP37" i="18" s="1"/>
  <c r="AK91" i="18"/>
  <c r="AM91" i="18" s="1"/>
  <c r="AL25" i="17"/>
  <c r="AL24" i="17"/>
  <c r="AV208" i="17"/>
  <c r="AV207" i="17"/>
  <c r="AV206" i="17"/>
  <c r="AV202" i="17"/>
  <c r="AV201" i="17"/>
  <c r="AV200" i="17"/>
  <c r="AV199" i="17"/>
  <c r="AV198" i="17"/>
  <c r="AV197" i="17"/>
  <c r="AV196" i="17"/>
  <c r="AW194" i="17"/>
  <c r="AW193" i="17"/>
  <c r="AW192" i="17"/>
  <c r="AW191" i="17"/>
  <c r="AW190" i="17"/>
  <c r="AW189" i="17"/>
  <c r="AY184" i="17" s="1"/>
  <c r="AX147" i="17"/>
  <c r="AM75" i="17"/>
  <c r="AM74" i="17"/>
  <c r="AM73" i="17"/>
  <c r="AM72" i="17"/>
  <c r="AM71" i="17"/>
  <c r="AM70" i="17"/>
  <c r="AM69" i="17"/>
  <c r="AM68" i="17"/>
  <c r="AM67" i="17"/>
  <c r="AM66" i="17"/>
  <c r="AM65" i="17"/>
  <c r="AM64" i="17"/>
  <c r="AM63" i="17"/>
  <c r="AM62" i="17"/>
  <c r="AM61" i="17"/>
  <c r="AM60" i="17"/>
  <c r="AM59" i="17"/>
  <c r="AM58" i="17"/>
  <c r="AM54" i="17"/>
  <c r="AI44" i="17"/>
  <c r="AM44" i="17" s="1"/>
  <c r="AY43" i="17"/>
  <c r="AX43" i="17"/>
  <c r="AW43" i="17"/>
  <c r="AV43" i="17"/>
  <c r="AM43" i="17"/>
  <c r="AU42" i="17"/>
  <c r="AL41" i="17"/>
  <c r="AL40" i="17"/>
  <c r="AJ40" i="17"/>
  <c r="AJ39" i="17"/>
  <c r="AM39" i="17" s="1"/>
  <c r="AY36" i="17"/>
  <c r="AX36" i="17"/>
  <c r="AW36" i="17"/>
  <c r="AV36" i="17"/>
  <c r="AM33" i="17"/>
  <c r="AY29" i="17"/>
  <c r="AX29" i="17"/>
  <c r="AW29" i="17"/>
  <c r="AV29" i="17"/>
  <c r="AU28" i="17"/>
  <c r="AI27" i="17"/>
  <c r="AH27" i="17"/>
  <c r="BX23" i="17"/>
  <c r="BY23" i="17" s="1"/>
  <c r="BZ23" i="17" s="1"/>
  <c r="CA23" i="17" s="1"/>
  <c r="CB23" i="17" s="1"/>
  <c r="CC23" i="17" s="1"/>
  <c r="CD23" i="17" s="1"/>
  <c r="CE23" i="17" s="1"/>
  <c r="CF23" i="17" s="1"/>
  <c r="CG23" i="17" s="1"/>
  <c r="CH23" i="17" s="1"/>
  <c r="AJ23" i="17"/>
  <c r="AI23" i="17"/>
  <c r="AI22" i="17"/>
  <c r="CC15" i="17"/>
  <c r="BX8" i="17"/>
  <c r="BY8" i="17" s="1"/>
  <c r="BZ8" i="17" s="1"/>
  <c r="CA8" i="17" s="1"/>
  <c r="CB8" i="17" s="1"/>
  <c r="CC8" i="17" s="1"/>
  <c r="CD8" i="17" s="1"/>
  <c r="CE8" i="17" s="1"/>
  <c r="CF8" i="17" s="1"/>
  <c r="CG8" i="17" s="1"/>
  <c r="AH4" i="17"/>
  <c r="AM78" i="17" l="1"/>
  <c r="AL28" i="18"/>
  <c r="AM28" i="18" s="1"/>
  <c r="AL31" i="18"/>
  <c r="AM31" i="18" s="1"/>
  <c r="AO23" i="17"/>
  <c r="AP23" i="17" s="1"/>
  <c r="AL23" i="17"/>
  <c r="AM23" i="17" s="1"/>
  <c r="AM93" i="18"/>
  <c r="AL30" i="18"/>
  <c r="AM30" i="18" s="1"/>
  <c r="AL29" i="18"/>
  <c r="AM29" i="18" s="1"/>
  <c r="AM52" i="18"/>
  <c r="AM55" i="18" s="1"/>
  <c r="AN55" i="18" s="1"/>
  <c r="AL26" i="17"/>
  <c r="AJ25" i="17"/>
  <c r="AJ24" i="17"/>
  <c r="AJ27" i="17"/>
  <c r="AQ27" i="17" s="1"/>
  <c r="AO27" i="17" s="1"/>
  <c r="AF114" i="17"/>
  <c r="AF112" i="17"/>
  <c r="AF111" i="17"/>
  <c r="AF110" i="17"/>
  <c r="C116" i="17"/>
  <c r="S115" i="17"/>
  <c r="C115" i="17"/>
  <c r="AL22" i="17"/>
  <c r="AI26" i="17"/>
  <c r="AJ26" i="17" s="1"/>
  <c r="AJ22" i="17"/>
  <c r="AO22" i="17" s="1"/>
  <c r="S114" i="17"/>
  <c r="Z111" i="17"/>
  <c r="AE110" i="17"/>
  <c r="L110" i="17"/>
  <c r="AA109" i="17"/>
  <c r="Z108" i="17"/>
  <c r="Y107" i="17"/>
  <c r="AL115" i="17"/>
  <c r="AH115" i="17"/>
  <c r="AD114" i="17"/>
  <c r="Z114" i="17"/>
  <c r="V114" i="17"/>
  <c r="R114" i="17"/>
  <c r="N114" i="17"/>
  <c r="J114" i="17"/>
  <c r="F114" i="17"/>
  <c r="AN113" i="17"/>
  <c r="R113" i="17"/>
  <c r="AN112" i="17"/>
  <c r="AJ113" i="17"/>
  <c r="P112" i="17"/>
  <c r="L112" i="17"/>
  <c r="AK112" i="17"/>
  <c r="AG112" i="17"/>
  <c r="AC111" i="17"/>
  <c r="Y111" i="17"/>
  <c r="N111" i="17"/>
  <c r="J111" i="17"/>
  <c r="AH111" i="17"/>
  <c r="AD110" i="17"/>
  <c r="Z110" i="17"/>
  <c r="V110" i="17"/>
  <c r="K110" i="17"/>
  <c r="G110" i="17"/>
  <c r="AD109" i="17"/>
  <c r="Z109" i="17"/>
  <c r="V109" i="17"/>
  <c r="E109" i="17"/>
  <c r="Y108" i="17"/>
  <c r="U108" i="17"/>
  <c r="X107" i="17"/>
  <c r="T107" i="17"/>
  <c r="AK115" i="17"/>
  <c r="AG115" i="17"/>
  <c r="AC114" i="17"/>
  <c r="Y114" i="17"/>
  <c r="U114" i="17"/>
  <c r="M114" i="17"/>
  <c r="I114" i="17"/>
  <c r="E114" i="17"/>
  <c r="AM114" i="17"/>
  <c r="Q113" i="17"/>
  <c r="AM113" i="17"/>
  <c r="AE112" i="17"/>
  <c r="O112" i="17"/>
  <c r="AN111" i="17"/>
  <c r="AJ112" i="17"/>
  <c r="AB111" i="17"/>
  <c r="M111" i="17"/>
  <c r="I111" i="17"/>
  <c r="AC110" i="17"/>
  <c r="U110" i="17"/>
  <c r="F110" i="17"/>
  <c r="Y109" i="17"/>
  <c r="D109" i="17"/>
  <c r="T108" i="17"/>
  <c r="S107" i="17"/>
  <c r="Q114" i="17"/>
  <c r="Q111" i="17"/>
  <c r="AG111" i="17"/>
  <c r="Y110" i="17"/>
  <c r="J110" i="17"/>
  <c r="AC109" i="17"/>
  <c r="U109" i="17"/>
  <c r="X108" i="17"/>
  <c r="W107" i="17"/>
  <c r="AN114" i="17"/>
  <c r="AJ115" i="17"/>
  <c r="AB114" i="17"/>
  <c r="X114" i="17"/>
  <c r="T114" i="17"/>
  <c r="P114" i="17"/>
  <c r="L114" i="17"/>
  <c r="H114" i="17"/>
  <c r="D114" i="17"/>
  <c r="AL114" i="17"/>
  <c r="P113" i="17"/>
  <c r="AL113" i="17"/>
  <c r="AH113" i="17"/>
  <c r="R112" i="17"/>
  <c r="N112" i="17"/>
  <c r="AM112" i="17"/>
  <c r="AE111" i="17"/>
  <c r="AA111" i="17"/>
  <c r="P111" i="17"/>
  <c r="L111" i="17"/>
  <c r="H111" i="17"/>
  <c r="AB110" i="17"/>
  <c r="X110" i="17"/>
  <c r="M110" i="17"/>
  <c r="I110" i="17"/>
  <c r="E110" i="17"/>
  <c r="AB109" i="17"/>
  <c r="X109" i="17"/>
  <c r="G109" i="17"/>
  <c r="C109" i="17"/>
  <c r="W108" i="17"/>
  <c r="S108" i="17"/>
  <c r="V107" i="17"/>
  <c r="AM115" i="17"/>
  <c r="AE114" i="17"/>
  <c r="AA114" i="17"/>
  <c r="W114" i="17"/>
  <c r="O114" i="17"/>
  <c r="K114" i="17"/>
  <c r="G114" i="17"/>
  <c r="C114" i="17"/>
  <c r="AK114" i="17"/>
  <c r="O113" i="17"/>
  <c r="AK113" i="17"/>
  <c r="AG113" i="17"/>
  <c r="Q112" i="17"/>
  <c r="M112" i="17"/>
  <c r="AL112" i="17"/>
  <c r="AH112" i="17"/>
  <c r="AD111" i="17"/>
  <c r="O111" i="17"/>
  <c r="K111" i="17"/>
  <c r="AA110" i="17"/>
  <c r="W110" i="17"/>
  <c r="H110" i="17"/>
  <c r="D110" i="17"/>
  <c r="W109" i="17"/>
  <c r="F109" i="17"/>
  <c r="V108" i="17"/>
  <c r="U107" i="17"/>
  <c r="BX32" i="17"/>
  <c r="AI85" i="17"/>
  <c r="AK85" i="17" s="1"/>
  <c r="AM85" i="17" s="1"/>
  <c r="AI84" i="17"/>
  <c r="AJ36" i="17"/>
  <c r="AM36" i="17" s="1"/>
  <c r="AI89" i="17"/>
  <c r="AK89" i="17" s="1"/>
  <c r="AM89" i="17" s="1"/>
  <c r="AI87" i="17"/>
  <c r="AK87" i="17" s="1"/>
  <c r="AM87" i="17" s="1"/>
  <c r="AK92" i="17"/>
  <c r="AM92" i="17" s="1"/>
  <c r="AI86" i="17"/>
  <c r="AK86" i="17" s="1"/>
  <c r="AM86" i="17" s="1"/>
  <c r="AJ32" i="17"/>
  <c r="AH84" i="17"/>
  <c r="BY9" i="17"/>
  <c r="CE9" i="17"/>
  <c r="BY10" i="17"/>
  <c r="CD10" i="17"/>
  <c r="BX11" i="17"/>
  <c r="CC11" i="17"/>
  <c r="BW12" i="17"/>
  <c r="BW24" i="17"/>
  <c r="BZ25" i="17"/>
  <c r="BX26" i="17"/>
  <c r="CB27" i="17"/>
  <c r="BX9" i="17"/>
  <c r="CC9" i="17"/>
  <c r="BX10" i="17"/>
  <c r="CC10" i="17"/>
  <c r="CB11" i="17"/>
  <c r="CG11" i="17"/>
  <c r="BU18" i="17"/>
  <c r="CH24" i="17"/>
  <c r="BW9" i="17"/>
  <c r="CB9" i="17"/>
  <c r="CG9" i="17"/>
  <c r="CB10" i="17"/>
  <c r="CG10" i="17"/>
  <c r="BZ11" i="17"/>
  <c r="CF11" i="17"/>
  <c r="CD24" i="17"/>
  <c r="CE25" i="17"/>
  <c r="CA9" i="17"/>
  <c r="CF9" i="17"/>
  <c r="BZ10" i="17"/>
  <c r="CF10" i="17"/>
  <c r="BY11" i="17"/>
  <c r="CD11" i="17"/>
  <c r="BY12" i="17"/>
  <c r="CC24" i="17"/>
  <c r="CD25" i="17"/>
  <c r="CA26" i="17"/>
  <c r="BZ28" i="17"/>
  <c r="BZ9" i="17"/>
  <c r="CD9" i="17"/>
  <c r="BW10" i="17"/>
  <c r="CA10" i="17"/>
  <c r="CE10" i="17"/>
  <c r="BW11" i="17"/>
  <c r="CA11" i="17"/>
  <c r="CE11" i="17"/>
  <c r="BX12" i="17"/>
  <c r="BW19" i="17"/>
  <c r="BY24" i="17"/>
  <c r="BY25" i="17"/>
  <c r="CF26" i="17"/>
  <c r="CF27" i="17"/>
  <c r="CD28" i="17"/>
  <c r="BW29" i="17"/>
  <c r="AK45" i="17"/>
  <c r="AM45" i="17" s="1"/>
  <c r="AL34" i="17"/>
  <c r="AM34" i="17" s="1"/>
  <c r="CA24" i="17"/>
  <c r="CG24" i="17"/>
  <c r="BW25" i="17"/>
  <c r="CC25" i="17"/>
  <c r="CH25" i="17"/>
  <c r="BW26" i="17"/>
  <c r="CE26" i="17"/>
  <c r="BX27" i="17"/>
  <c r="BT28" i="17"/>
  <c r="AP29" i="17"/>
  <c r="AO30" i="17"/>
  <c r="AP30" i="17" s="1"/>
  <c r="BZ24" i="17"/>
  <c r="CE24" i="17"/>
  <c r="BT25" i="17"/>
  <c r="CA25" i="17"/>
  <c r="CG25" i="17"/>
  <c r="BT26" i="17"/>
  <c r="CB26" i="17"/>
  <c r="CH28" i="17"/>
  <c r="CA29" i="17"/>
  <c r="AM40" i="17"/>
  <c r="BX24" i="17"/>
  <c r="CB24" i="17"/>
  <c r="CF24" i="17"/>
  <c r="BX25" i="17"/>
  <c r="CB25" i="17"/>
  <c r="CF25" i="17"/>
  <c r="BY26" i="17"/>
  <c r="CC26" i="17"/>
  <c r="CG26" i="17"/>
  <c r="BY27" i="17"/>
  <c r="CC27" i="17"/>
  <c r="CG27" i="17"/>
  <c r="AO28" i="17"/>
  <c r="AP28" i="17" s="1"/>
  <c r="BW28" i="17"/>
  <c r="CA28" i="17"/>
  <c r="CE28" i="17"/>
  <c r="BX29" i="17"/>
  <c r="CB29" i="17"/>
  <c r="BW32" i="17"/>
  <c r="AH12" i="17"/>
  <c r="BW27" i="17"/>
  <c r="CA27" i="17"/>
  <c r="CE27" i="17"/>
  <c r="BY28" i="17"/>
  <c r="CC28" i="17"/>
  <c r="CG28" i="17"/>
  <c r="BT29" i="17"/>
  <c r="BZ29" i="17"/>
  <c r="AL35" i="17"/>
  <c r="AK41" i="17"/>
  <c r="AM41" i="17" s="1"/>
  <c r="BZ26" i="17"/>
  <c r="CD26" i="17"/>
  <c r="CH26" i="17"/>
  <c r="BT27" i="17"/>
  <c r="BZ27" i="17"/>
  <c r="CD27" i="17"/>
  <c r="CH27" i="17"/>
  <c r="BX28" i="17"/>
  <c r="CB28" i="17"/>
  <c r="CF28" i="17"/>
  <c r="BY29" i="17"/>
  <c r="CC29" i="17"/>
  <c r="AJ35" i="17"/>
  <c r="AM37" i="18" l="1"/>
  <c r="AN37" i="18" s="1"/>
  <c r="AO32" i="17"/>
  <c r="AP32" i="17" s="1"/>
  <c r="AO26" i="17"/>
  <c r="AP26" i="17" s="1"/>
  <c r="AM26" i="17"/>
  <c r="AP22" i="17"/>
  <c r="AM22" i="17"/>
  <c r="AL32" i="17"/>
  <c r="AM32" i="17" s="1"/>
  <c r="AM35" i="17"/>
  <c r="AK84" i="17"/>
  <c r="AM84" i="17" s="1"/>
  <c r="AL27" i="17"/>
  <c r="AM27" i="17" s="1"/>
  <c r="AM24" i="17"/>
  <c r="AM25" i="17"/>
  <c r="AO52" i="17" l="1"/>
  <c r="AO37" i="17"/>
  <c r="AP37" i="17" s="1"/>
  <c r="AK90" i="17"/>
  <c r="AM90" i="17" s="1"/>
  <c r="AP27" i="17"/>
  <c r="AL52" i="17" l="1"/>
  <c r="AJ52" i="17" s="1"/>
  <c r="AK91" i="17"/>
  <c r="AM91" i="17" s="1"/>
  <c r="AM93" i="17" s="1"/>
  <c r="AL29" i="17" l="1"/>
  <c r="AM29" i="17" s="1"/>
  <c r="AL28" i="17"/>
  <c r="AM28" i="17" s="1"/>
  <c r="AL31" i="17"/>
  <c r="AM31" i="17" s="1"/>
  <c r="AM52" i="17"/>
  <c r="AM55" i="17" s="1"/>
  <c r="AL30" i="17"/>
  <c r="AM30" i="17" s="1"/>
  <c r="AN55" i="17" l="1"/>
  <c r="AM37" i="17"/>
  <c r="AN37" i="17" s="1"/>
  <c r="E39" i="9" l="1"/>
  <c r="E38" i="9"/>
  <c r="X53" i="9" l="1"/>
  <c r="Y53" i="9" s="1"/>
  <c r="X52" i="9"/>
  <c r="Y52" i="9" s="1"/>
  <c r="X51" i="9"/>
  <c r="Y51" i="9" s="1"/>
  <c r="G78" i="9"/>
  <c r="D78" i="9"/>
  <c r="G77" i="9"/>
  <c r="G76" i="9"/>
  <c r="G75" i="9"/>
  <c r="G74" i="9"/>
  <c r="G73" i="9"/>
  <c r="G72" i="9"/>
  <c r="G71" i="9"/>
  <c r="G70" i="9"/>
  <c r="G63" i="9"/>
  <c r="F16" i="9" s="1"/>
  <c r="C43" i="9"/>
  <c r="G43" i="9" s="1"/>
  <c r="N202" i="9"/>
  <c r="N201" i="9"/>
  <c r="N200" i="9"/>
  <c r="N196" i="9"/>
  <c r="R196" i="9" s="1"/>
  <c r="N195" i="9"/>
  <c r="R195" i="9" s="1"/>
  <c r="N194" i="9"/>
  <c r="N193" i="9"/>
  <c r="N192" i="9"/>
  <c r="N191" i="9"/>
  <c r="N190" i="9"/>
  <c r="O188" i="9"/>
  <c r="O187" i="9"/>
  <c r="O186" i="9"/>
  <c r="O185" i="9"/>
  <c r="O184" i="9"/>
  <c r="O183" i="9"/>
  <c r="Q178" i="9" s="1"/>
  <c r="P118" i="9"/>
  <c r="P117" i="9"/>
  <c r="P116" i="9"/>
  <c r="P115" i="9"/>
  <c r="P114" i="9"/>
  <c r="P110" i="9"/>
  <c r="P109" i="9"/>
  <c r="P108" i="9"/>
  <c r="P107" i="9"/>
  <c r="P103" i="9"/>
  <c r="R103" i="9" s="1"/>
  <c r="P102" i="9"/>
  <c r="R102" i="9" s="1"/>
  <c r="P101" i="9"/>
  <c r="R101" i="9" s="1"/>
  <c r="P100" i="9"/>
  <c r="R100" i="9" s="1"/>
  <c r="P99" i="9"/>
  <c r="R99" i="9" s="1"/>
  <c r="P98" i="9"/>
  <c r="R98" i="9" s="1"/>
  <c r="E81" i="9"/>
  <c r="T84" i="9"/>
  <c r="R84" i="9"/>
  <c r="T83" i="9"/>
  <c r="R83" i="9"/>
  <c r="T82" i="9"/>
  <c r="R82" i="9"/>
  <c r="T81" i="9"/>
  <c r="R81" i="9"/>
  <c r="T80" i="9"/>
  <c r="R80" i="9"/>
  <c r="T79" i="9"/>
  <c r="R79" i="9"/>
  <c r="G66" i="9"/>
  <c r="G65" i="9"/>
  <c r="O68" i="9"/>
  <c r="P68" i="9" s="1"/>
  <c r="O67" i="9"/>
  <c r="P67" i="9" s="1"/>
  <c r="O66" i="9"/>
  <c r="P66" i="9" s="1"/>
  <c r="G61" i="9"/>
  <c r="F14" i="9" s="1"/>
  <c r="O65" i="9"/>
  <c r="P65" i="9" s="1"/>
  <c r="O64" i="9"/>
  <c r="P64" i="9" s="1"/>
  <c r="R60" i="9"/>
  <c r="P60" i="9"/>
  <c r="R59" i="9"/>
  <c r="P59" i="9"/>
  <c r="R58" i="9"/>
  <c r="Q62" i="9" s="1"/>
  <c r="P58" i="9"/>
  <c r="G52" i="9"/>
  <c r="E16" i="9" s="1"/>
  <c r="V53" i="9"/>
  <c r="Z53" i="9" s="1"/>
  <c r="Q53" i="9"/>
  <c r="R53" i="9" s="1"/>
  <c r="O53" i="9"/>
  <c r="S53" i="9" s="1"/>
  <c r="V52" i="9"/>
  <c r="Z52" i="9" s="1"/>
  <c r="Q52" i="9"/>
  <c r="R52" i="9" s="1"/>
  <c r="O52" i="9"/>
  <c r="S52" i="9" s="1"/>
  <c r="V51" i="9"/>
  <c r="Z51" i="9" s="1"/>
  <c r="Q51" i="9"/>
  <c r="R51" i="9" s="1"/>
  <c r="O51" i="9"/>
  <c r="S51" i="9" s="1"/>
  <c r="G45" i="9"/>
  <c r="G42" i="9"/>
  <c r="F41" i="9"/>
  <c r="G41" i="9" s="1"/>
  <c r="U44" i="9"/>
  <c r="S44" i="9"/>
  <c r="Q44" i="9"/>
  <c r="O44" i="9"/>
  <c r="V44" i="9"/>
  <c r="G40" i="9"/>
  <c r="F40" i="9"/>
  <c r="V43" i="9"/>
  <c r="T43" i="9"/>
  <c r="R43" i="9"/>
  <c r="P43" i="9"/>
  <c r="F39" i="9"/>
  <c r="D39" i="9"/>
  <c r="O42" i="9"/>
  <c r="D38" i="9"/>
  <c r="G38" i="9" s="1"/>
  <c r="U39" i="9"/>
  <c r="V39" i="9" s="1"/>
  <c r="S39" i="9"/>
  <c r="T39" i="9" s="1"/>
  <c r="Q39" i="9"/>
  <c r="R39" i="9" s="1"/>
  <c r="O39" i="9"/>
  <c r="P39" i="9" s="1"/>
  <c r="U38" i="9"/>
  <c r="V38" i="9" s="1"/>
  <c r="S38" i="9"/>
  <c r="T38" i="9" s="1"/>
  <c r="Q38" i="9"/>
  <c r="R38" i="9" s="1"/>
  <c r="O38" i="9"/>
  <c r="P38" i="9" s="1"/>
  <c r="U37" i="9"/>
  <c r="V37" i="9" s="1"/>
  <c r="S37" i="9"/>
  <c r="T37" i="9" s="1"/>
  <c r="Q37" i="9"/>
  <c r="R37" i="9" s="1"/>
  <c r="O37" i="9"/>
  <c r="P37" i="9" s="1"/>
  <c r="V36" i="9"/>
  <c r="T36" i="9"/>
  <c r="R36" i="9"/>
  <c r="P36" i="9"/>
  <c r="G32" i="9"/>
  <c r="O35" i="9"/>
  <c r="G31" i="9"/>
  <c r="C30" i="9"/>
  <c r="U32" i="9"/>
  <c r="V32" i="9" s="1"/>
  <c r="S32" i="9"/>
  <c r="T32" i="9" s="1"/>
  <c r="Q32" i="9"/>
  <c r="R32" i="9" s="1"/>
  <c r="O32" i="9"/>
  <c r="P32" i="9" s="1"/>
  <c r="C28" i="9"/>
  <c r="B28" i="9"/>
  <c r="U31" i="9"/>
  <c r="V31" i="9" s="1"/>
  <c r="S31" i="9"/>
  <c r="T31" i="9" s="1"/>
  <c r="Q31" i="9"/>
  <c r="R31" i="9" s="1"/>
  <c r="O31" i="9"/>
  <c r="P31" i="9" s="1"/>
  <c r="C27" i="9"/>
  <c r="D30" i="9" s="1"/>
  <c r="B27" i="9"/>
  <c r="U30" i="9"/>
  <c r="V30" i="9" s="1"/>
  <c r="S30" i="9"/>
  <c r="T30" i="9" s="1"/>
  <c r="Q30" i="9"/>
  <c r="R30" i="9" s="1"/>
  <c r="O30" i="9"/>
  <c r="P30" i="9" s="1"/>
  <c r="V29" i="9"/>
  <c r="T29" i="9"/>
  <c r="R29" i="9"/>
  <c r="P29" i="9"/>
  <c r="D25" i="9"/>
  <c r="C25" i="9"/>
  <c r="O28" i="9"/>
  <c r="D23" i="9"/>
  <c r="C23" i="9"/>
  <c r="C22" i="9"/>
  <c r="D22" i="9" s="1"/>
  <c r="C11" i="9"/>
  <c r="E44" i="9" s="1"/>
  <c r="G44" i="9" s="1"/>
  <c r="E14" i="9" s="1"/>
  <c r="C4" i="9"/>
  <c r="S87" i="7"/>
  <c r="S86" i="7"/>
  <c r="S85" i="7"/>
  <c r="S84" i="7"/>
  <c r="S83" i="7"/>
  <c r="S82" i="7"/>
  <c r="C11" i="7"/>
  <c r="E43" i="7" s="1"/>
  <c r="G43" i="7" s="1"/>
  <c r="E11" i="7" s="1"/>
  <c r="M183" i="7"/>
  <c r="M182" i="7"/>
  <c r="M181" i="7"/>
  <c r="M177" i="7"/>
  <c r="Q177" i="7" s="1"/>
  <c r="M176" i="7"/>
  <c r="Q176" i="7" s="1"/>
  <c r="M175" i="7"/>
  <c r="M174" i="7"/>
  <c r="M173" i="7"/>
  <c r="AA172" i="7"/>
  <c r="M172" i="7"/>
  <c r="M171" i="7"/>
  <c r="N169" i="7"/>
  <c r="N168" i="7"/>
  <c r="N167" i="7"/>
  <c r="N166" i="7"/>
  <c r="N165" i="7"/>
  <c r="N164" i="7"/>
  <c r="P152" i="7" s="1"/>
  <c r="O143" i="7"/>
  <c r="O142" i="7"/>
  <c r="O141" i="7"/>
  <c r="O140" i="7"/>
  <c r="O139" i="7"/>
  <c r="O136" i="7"/>
  <c r="O135" i="7"/>
  <c r="O134" i="7"/>
  <c r="O133" i="7"/>
  <c r="N125" i="7"/>
  <c r="N122" i="7"/>
  <c r="P122" i="7" s="1"/>
  <c r="N121" i="7"/>
  <c r="P121" i="7" s="1"/>
  <c r="N120" i="7"/>
  <c r="P120" i="7" s="1"/>
  <c r="N119" i="7"/>
  <c r="P119" i="7" s="1"/>
  <c r="N118" i="7"/>
  <c r="P118" i="7" s="1"/>
  <c r="N117" i="7"/>
  <c r="P117" i="7" s="1"/>
  <c r="Q87" i="7"/>
  <c r="Q86" i="7"/>
  <c r="Q85" i="7"/>
  <c r="Q84" i="7"/>
  <c r="Q83" i="7"/>
  <c r="Q82" i="7"/>
  <c r="E85" i="7"/>
  <c r="G81" i="7"/>
  <c r="D81" i="7"/>
  <c r="G80" i="7"/>
  <c r="F80" i="7"/>
  <c r="G79" i="7"/>
  <c r="G78" i="7"/>
  <c r="G77" i="7"/>
  <c r="G76" i="7"/>
  <c r="G75" i="7"/>
  <c r="G74" i="7"/>
  <c r="G73" i="7"/>
  <c r="N71" i="7"/>
  <c r="O71" i="7" s="1"/>
  <c r="N70" i="7"/>
  <c r="O70" i="7" s="1"/>
  <c r="N69" i="7"/>
  <c r="O69" i="7" s="1"/>
  <c r="N68" i="7"/>
  <c r="O68" i="7" s="1"/>
  <c r="N67" i="7"/>
  <c r="O67" i="7" s="1"/>
  <c r="G67" i="7"/>
  <c r="G66" i="7"/>
  <c r="P65" i="7"/>
  <c r="G64" i="7"/>
  <c r="F13" i="7" s="1"/>
  <c r="Q63" i="7"/>
  <c r="O63" i="7"/>
  <c r="Q62" i="7"/>
  <c r="O62" i="7"/>
  <c r="G62" i="7"/>
  <c r="F11" i="7" s="1"/>
  <c r="Q61" i="7"/>
  <c r="O61" i="7"/>
  <c r="F25" i="7" s="1"/>
  <c r="F59" i="7"/>
  <c r="W56" i="7"/>
  <c r="X56" i="7" s="1"/>
  <c r="U56" i="7"/>
  <c r="Y56" i="7" s="1"/>
  <c r="P56" i="7"/>
  <c r="Q56" i="7" s="1"/>
  <c r="N56" i="7"/>
  <c r="R56" i="7" s="1"/>
  <c r="W55" i="7"/>
  <c r="X55" i="7" s="1"/>
  <c r="U55" i="7"/>
  <c r="Y55" i="7" s="1"/>
  <c r="P55" i="7"/>
  <c r="Q55" i="7" s="1"/>
  <c r="N55" i="7"/>
  <c r="R55" i="7" s="1"/>
  <c r="W54" i="7"/>
  <c r="X54" i="7" s="1"/>
  <c r="U54" i="7"/>
  <c r="Y54" i="7" s="1"/>
  <c r="P54" i="7"/>
  <c r="Q54" i="7" s="1"/>
  <c r="N54" i="7"/>
  <c r="R54" i="7" s="1"/>
  <c r="G50" i="7"/>
  <c r="E13" i="7" s="1"/>
  <c r="T47" i="7"/>
  <c r="R47" i="7"/>
  <c r="P47" i="7"/>
  <c r="N47" i="7"/>
  <c r="M47" i="7"/>
  <c r="U46" i="7"/>
  <c r="S46" i="7"/>
  <c r="Q46" i="7"/>
  <c r="O46" i="7"/>
  <c r="F46" i="7"/>
  <c r="N45" i="7"/>
  <c r="T42" i="7"/>
  <c r="U42" i="7" s="1"/>
  <c r="R42" i="7"/>
  <c r="S42" i="7" s="1"/>
  <c r="P42" i="7"/>
  <c r="Q42" i="7" s="1"/>
  <c r="N42" i="7"/>
  <c r="O42" i="7" s="1"/>
  <c r="G42" i="7"/>
  <c r="T41" i="7"/>
  <c r="U41" i="7" s="1"/>
  <c r="R41" i="7"/>
  <c r="S41" i="7" s="1"/>
  <c r="P41" i="7"/>
  <c r="Q41" i="7" s="1"/>
  <c r="N41" i="7"/>
  <c r="O41" i="7" s="1"/>
  <c r="F41" i="7"/>
  <c r="G41" i="7" s="1"/>
  <c r="T40" i="7"/>
  <c r="U40" i="7" s="1"/>
  <c r="R40" i="7"/>
  <c r="S40" i="7" s="1"/>
  <c r="P40" i="7"/>
  <c r="Q40" i="7" s="1"/>
  <c r="N40" i="7"/>
  <c r="O40" i="7" s="1"/>
  <c r="G40" i="7"/>
  <c r="F40" i="7"/>
  <c r="U39" i="7"/>
  <c r="S39" i="7"/>
  <c r="Q39" i="7"/>
  <c r="O39" i="7"/>
  <c r="D39" i="7"/>
  <c r="G39" i="7" s="1"/>
  <c r="N38" i="7"/>
  <c r="G38" i="7"/>
  <c r="D38" i="7"/>
  <c r="T35" i="7"/>
  <c r="U35" i="7" s="1"/>
  <c r="R35" i="7"/>
  <c r="S35" i="7" s="1"/>
  <c r="P35" i="7"/>
  <c r="Q35" i="7" s="1"/>
  <c r="N35" i="7"/>
  <c r="O35" i="7" s="1"/>
  <c r="T34" i="7"/>
  <c r="U34" i="7" s="1"/>
  <c r="R34" i="7"/>
  <c r="S34" i="7" s="1"/>
  <c r="P34" i="7"/>
  <c r="Q34" i="7" s="1"/>
  <c r="N34" i="7"/>
  <c r="O34" i="7" s="1"/>
  <c r="T33" i="7"/>
  <c r="U33" i="7" s="1"/>
  <c r="R33" i="7"/>
  <c r="S33" i="7" s="1"/>
  <c r="P33" i="7"/>
  <c r="Q33" i="7" s="1"/>
  <c r="N33" i="7"/>
  <c r="O33" i="7" s="1"/>
  <c r="U32" i="7"/>
  <c r="S32" i="7"/>
  <c r="Q32" i="7"/>
  <c r="O32" i="7"/>
  <c r="G32" i="7"/>
  <c r="N31" i="7"/>
  <c r="F31" i="7"/>
  <c r="G31" i="7" s="1"/>
  <c r="C30" i="7"/>
  <c r="C28" i="7"/>
  <c r="D26" i="7"/>
  <c r="C26" i="7"/>
  <c r="D24" i="7"/>
  <c r="C24" i="7"/>
  <c r="C23" i="7"/>
  <c r="D23" i="7" s="1"/>
  <c r="C4" i="7"/>
  <c r="P65" i="6"/>
  <c r="Q63" i="6"/>
  <c r="Q62" i="6"/>
  <c r="Q61" i="6"/>
  <c r="O63" i="6"/>
  <c r="O61" i="6"/>
  <c r="F25" i="6" s="1"/>
  <c r="O62" i="6"/>
  <c r="C24" i="6"/>
  <c r="U56" i="6"/>
  <c r="Y56" i="6" s="1"/>
  <c r="U55" i="6"/>
  <c r="Y55" i="6" s="1"/>
  <c r="U54" i="6"/>
  <c r="Y54" i="6" s="1"/>
  <c r="N56" i="6"/>
  <c r="R56" i="6" s="1"/>
  <c r="N55" i="6"/>
  <c r="R55" i="6" s="1"/>
  <c r="N54" i="6"/>
  <c r="R54" i="6" s="1"/>
  <c r="F24" i="6" s="1"/>
  <c r="U46" i="6"/>
  <c r="S46" i="6"/>
  <c r="Q46" i="6"/>
  <c r="O46" i="6"/>
  <c r="U39" i="6"/>
  <c r="S39" i="6"/>
  <c r="Q39" i="6"/>
  <c r="O39" i="6"/>
  <c r="U32" i="6"/>
  <c r="S32" i="6"/>
  <c r="Q32" i="6"/>
  <c r="O32" i="6"/>
  <c r="N38" i="6"/>
  <c r="T42" i="6"/>
  <c r="U42" i="6" s="1"/>
  <c r="R42" i="6"/>
  <c r="S42" i="6" s="1"/>
  <c r="P42" i="6"/>
  <c r="Q42" i="6" s="1"/>
  <c r="N42" i="6"/>
  <c r="O42" i="6" s="1"/>
  <c r="T41" i="6"/>
  <c r="U41" i="6" s="1"/>
  <c r="R41" i="6"/>
  <c r="S41" i="6" s="1"/>
  <c r="P41" i="6"/>
  <c r="Q41" i="6" s="1"/>
  <c r="N41" i="6"/>
  <c r="O41" i="6" s="1"/>
  <c r="T40" i="6"/>
  <c r="U40" i="6" s="1"/>
  <c r="R40" i="6"/>
  <c r="S40" i="6" s="1"/>
  <c r="P40" i="6"/>
  <c r="Q40" i="6" s="1"/>
  <c r="N40" i="6"/>
  <c r="O40" i="6" s="1"/>
  <c r="G66" i="6"/>
  <c r="G67" i="6"/>
  <c r="N127" i="6"/>
  <c r="O127" i="6" s="1"/>
  <c r="Q127" i="6" s="1"/>
  <c r="G64" i="6"/>
  <c r="G50" i="6"/>
  <c r="U47" i="7" l="1"/>
  <c r="F30" i="9"/>
  <c r="G30" i="9" s="1"/>
  <c r="H69" i="9"/>
  <c r="F77" i="9"/>
  <c r="G39" i="9"/>
  <c r="F24" i="9"/>
  <c r="G14" i="9"/>
  <c r="H14" i="9" s="1"/>
  <c r="F23" i="9"/>
  <c r="G23" i="9" s="1"/>
  <c r="F22" i="9"/>
  <c r="G22" i="9" s="1"/>
  <c r="F25" i="9"/>
  <c r="G25" i="9" s="1"/>
  <c r="C24" i="9"/>
  <c r="D24" i="9" s="1"/>
  <c r="C12" i="9"/>
  <c r="F57" i="9" s="1"/>
  <c r="D57" i="9" s="1"/>
  <c r="F34" i="9"/>
  <c r="D35" i="9"/>
  <c r="G35" i="9" s="1"/>
  <c r="E40" i="9"/>
  <c r="F33" i="9"/>
  <c r="G33" i="9" s="1"/>
  <c r="D34" i="9"/>
  <c r="P44" i="9"/>
  <c r="R44" i="9"/>
  <c r="T44" i="9"/>
  <c r="F23" i="7"/>
  <c r="G23" i="7" s="1"/>
  <c r="H72" i="7"/>
  <c r="G17" i="7" s="1"/>
  <c r="F26" i="7"/>
  <c r="G26" i="7" s="1"/>
  <c r="G11" i="7"/>
  <c r="H11" i="7" s="1"/>
  <c r="O117" i="7"/>
  <c r="Q117" i="7" s="1"/>
  <c r="O118" i="7"/>
  <c r="Q118" i="7" s="1"/>
  <c r="O119" i="7"/>
  <c r="Q119" i="7" s="1"/>
  <c r="O120" i="7"/>
  <c r="Q120" i="7" s="1"/>
  <c r="O121" i="7"/>
  <c r="Q121" i="7" s="1"/>
  <c r="O122" i="7"/>
  <c r="Q122" i="7" s="1"/>
  <c r="F24" i="7"/>
  <c r="G24" i="7" s="1"/>
  <c r="D30" i="7"/>
  <c r="F34" i="7"/>
  <c r="D35" i="7"/>
  <c r="G35" i="7" s="1"/>
  <c r="O47" i="7"/>
  <c r="Q47" i="7"/>
  <c r="S47" i="7"/>
  <c r="C25" i="7"/>
  <c r="D25" i="7" s="1"/>
  <c r="G25" i="7" s="1"/>
  <c r="C12" i="7"/>
  <c r="F57" i="7" s="1"/>
  <c r="F29" i="7"/>
  <c r="G29" i="7" s="1"/>
  <c r="F33" i="7"/>
  <c r="G33" i="7" s="1"/>
  <c r="D34" i="7"/>
  <c r="E40" i="7"/>
  <c r="P127" i="6"/>
  <c r="E85" i="6"/>
  <c r="F40" i="6"/>
  <c r="G42" i="6"/>
  <c r="G24" i="9" l="1"/>
  <c r="G57" i="9"/>
  <c r="F29" i="9"/>
  <c r="G29" i="9" s="1"/>
  <c r="F28" i="9"/>
  <c r="G28" i="9" s="1"/>
  <c r="F27" i="9"/>
  <c r="G27" i="9" s="1"/>
  <c r="F26" i="9"/>
  <c r="G26" i="9" s="1"/>
  <c r="G34" i="9"/>
  <c r="F30" i="7"/>
  <c r="G30" i="7" s="1"/>
  <c r="Q107" i="7"/>
  <c r="R161" i="7"/>
  <c r="J130" i="7"/>
  <c r="D57" i="7"/>
  <c r="G34" i="7"/>
  <c r="F41" i="6"/>
  <c r="G41" i="6" s="1"/>
  <c r="F31" i="6"/>
  <c r="G31" i="6" s="1"/>
  <c r="N131" i="6"/>
  <c r="N126" i="6"/>
  <c r="O126" i="6" s="1"/>
  <c r="Q126" i="6" s="1"/>
  <c r="N125" i="6"/>
  <c r="O125" i="6" s="1"/>
  <c r="Q125" i="6" s="1"/>
  <c r="N123" i="6"/>
  <c r="O123" i="6" s="1"/>
  <c r="Q123" i="6" s="1"/>
  <c r="W55" i="6"/>
  <c r="X55" i="6" s="1"/>
  <c r="W56" i="6"/>
  <c r="X56" i="6" s="1"/>
  <c r="W54" i="6"/>
  <c r="P54" i="6"/>
  <c r="C23" i="6"/>
  <c r="C25" i="6" s="1"/>
  <c r="D25" i="6" s="1"/>
  <c r="M47" i="6"/>
  <c r="N45" i="6"/>
  <c r="T47" i="6"/>
  <c r="R47" i="6"/>
  <c r="P47" i="6"/>
  <c r="N47" i="6"/>
  <c r="P55" i="6"/>
  <c r="Q55" i="6" s="1"/>
  <c r="P56" i="6"/>
  <c r="Q56" i="6" s="1"/>
  <c r="N35" i="6"/>
  <c r="O35" i="6" s="1"/>
  <c r="N34" i="6"/>
  <c r="O34" i="6" s="1"/>
  <c r="N33" i="6"/>
  <c r="O33" i="6" s="1"/>
  <c r="T35" i="6"/>
  <c r="U35" i="6" s="1"/>
  <c r="T34" i="6"/>
  <c r="U34" i="6" s="1"/>
  <c r="T33" i="6"/>
  <c r="U33" i="6" s="1"/>
  <c r="R35" i="6"/>
  <c r="S35" i="6" s="1"/>
  <c r="R34" i="6"/>
  <c r="S34" i="6" s="1"/>
  <c r="R33" i="6"/>
  <c r="S33" i="6" s="1"/>
  <c r="P35" i="6"/>
  <c r="Q35" i="6" s="1"/>
  <c r="P34" i="6"/>
  <c r="Q34" i="6" s="1"/>
  <c r="P33" i="6"/>
  <c r="Q33" i="6" s="1"/>
  <c r="N31" i="6"/>
  <c r="AA178" i="6"/>
  <c r="C28" i="6"/>
  <c r="D30" i="6" s="1"/>
  <c r="N171" i="6"/>
  <c r="N172" i="6"/>
  <c r="N173" i="6"/>
  <c r="N174" i="6"/>
  <c r="N175" i="6"/>
  <c r="N170" i="6"/>
  <c r="P158" i="6" s="1"/>
  <c r="M189" i="6"/>
  <c r="M188" i="6"/>
  <c r="M187" i="6"/>
  <c r="M183" i="6"/>
  <c r="Q183" i="6" s="1"/>
  <c r="M182" i="6"/>
  <c r="Q182" i="6" s="1"/>
  <c r="M181" i="6"/>
  <c r="M180" i="6"/>
  <c r="M179" i="6"/>
  <c r="M178" i="6"/>
  <c r="M177" i="6"/>
  <c r="D26" i="6"/>
  <c r="F59" i="6"/>
  <c r="F46" i="6"/>
  <c r="F13" i="6"/>
  <c r="E13" i="6"/>
  <c r="F80" i="6"/>
  <c r="G81" i="6"/>
  <c r="G80" i="6"/>
  <c r="G79" i="6"/>
  <c r="G78" i="6"/>
  <c r="G77" i="6"/>
  <c r="G76" i="6"/>
  <c r="G75" i="6"/>
  <c r="G74" i="6"/>
  <c r="G73" i="6"/>
  <c r="D81" i="6"/>
  <c r="G62" i="6"/>
  <c r="F11" i="6" s="1"/>
  <c r="O149" i="6"/>
  <c r="O148" i="6"/>
  <c r="O147" i="6"/>
  <c r="O146" i="6"/>
  <c r="O145" i="6"/>
  <c r="O142" i="6"/>
  <c r="O141" i="6"/>
  <c r="O140" i="6"/>
  <c r="O139" i="6"/>
  <c r="N128" i="6"/>
  <c r="O128" i="6" s="1"/>
  <c r="Q128" i="6" s="1"/>
  <c r="N124" i="6"/>
  <c r="P124" i="6" s="1"/>
  <c r="Q93" i="6"/>
  <c r="R93" i="6" s="1"/>
  <c r="N71" i="6"/>
  <c r="O71" i="6" s="1"/>
  <c r="N70" i="6"/>
  <c r="O70" i="6" s="1"/>
  <c r="C11" i="6"/>
  <c r="D35" i="6" s="1"/>
  <c r="G35" i="6" s="1"/>
  <c r="D24" i="6"/>
  <c r="C26" i="6"/>
  <c r="C30" i="6"/>
  <c r="Q92" i="6"/>
  <c r="R92" i="6" s="1"/>
  <c r="Q91" i="6"/>
  <c r="R91" i="6" s="1"/>
  <c r="Q90" i="6"/>
  <c r="R90" i="6" s="1"/>
  <c r="Q89" i="6"/>
  <c r="R89" i="6" s="1"/>
  <c r="Q88" i="6"/>
  <c r="R88" i="6" s="1"/>
  <c r="N69" i="6"/>
  <c r="O69" i="6" s="1"/>
  <c r="N68" i="6"/>
  <c r="O68" i="6" s="1"/>
  <c r="N67" i="6"/>
  <c r="O67" i="6" s="1"/>
  <c r="C4" i="6"/>
  <c r="G32" i="6"/>
  <c r="D39" i="6"/>
  <c r="G39" i="6" s="1"/>
  <c r="D38" i="6"/>
  <c r="G38" i="6" s="1"/>
  <c r="F27" i="7" l="1"/>
  <c r="G27" i="7" s="1"/>
  <c r="F28" i="7"/>
  <c r="G28" i="7" s="1"/>
  <c r="J28" i="7"/>
  <c r="G36" i="9"/>
  <c r="H36" i="9" s="1"/>
  <c r="F11" i="9"/>
  <c r="G57" i="7"/>
  <c r="F30" i="6"/>
  <c r="G30" i="6" s="1"/>
  <c r="D34" i="6"/>
  <c r="G25" i="6"/>
  <c r="O124" i="6"/>
  <c r="Q124" i="6" s="1"/>
  <c r="P123" i="6"/>
  <c r="P125" i="6"/>
  <c r="P126" i="6"/>
  <c r="P128" i="6"/>
  <c r="Q113" i="6"/>
  <c r="F28" i="6"/>
  <c r="G28" i="6" s="1"/>
  <c r="F29" i="6"/>
  <c r="G29" i="6" s="1"/>
  <c r="F26" i="6"/>
  <c r="G26" i="6" s="1"/>
  <c r="X54" i="6"/>
  <c r="U47" i="6"/>
  <c r="Q54" i="6"/>
  <c r="Q47" i="6"/>
  <c r="S47" i="6"/>
  <c r="D23" i="6"/>
  <c r="O47" i="6"/>
  <c r="H72" i="6"/>
  <c r="G17" i="6" s="1"/>
  <c r="F33" i="6"/>
  <c r="G33" i="6" s="1"/>
  <c r="C12" i="6"/>
  <c r="F34" i="6"/>
  <c r="E43" i="6"/>
  <c r="G43" i="6" s="1"/>
  <c r="E11" i="6" s="1"/>
  <c r="G11" i="6" s="1"/>
  <c r="H11" i="6" s="1"/>
  <c r="E40" i="6"/>
  <c r="G40" i="6" s="1"/>
  <c r="G36" i="7" l="1"/>
  <c r="G44" i="7" s="1"/>
  <c r="G34" i="6"/>
  <c r="G46" i="9"/>
  <c r="H46" i="9" s="1"/>
  <c r="F6" i="7"/>
  <c r="H57" i="7"/>
  <c r="F23" i="6"/>
  <c r="G23" i="6" s="1"/>
  <c r="F57" i="6"/>
  <c r="D57" i="6" s="1"/>
  <c r="G24" i="6"/>
  <c r="H37" i="7" l="1"/>
  <c r="G57" i="6"/>
  <c r="F6" i="6" s="1"/>
  <c r="F27" i="6"/>
  <c r="G27" i="6" s="1"/>
  <c r="G36" i="6" s="1"/>
  <c r="G44" i="6" s="1"/>
  <c r="G47" i="9"/>
  <c r="R167" i="6"/>
  <c r="J130" i="6"/>
  <c r="H57" i="6" l="1"/>
  <c r="H37" i="6"/>
  <c r="AM42" i="18" l="1"/>
  <c r="AM46" i="18" s="1"/>
  <c r="AM47" i="18" l="1"/>
  <c r="AM48" i="18" s="1"/>
  <c r="AN48" i="18" s="1"/>
  <c r="AN46" i="18"/>
  <c r="AM42" i="17"/>
  <c r="AM46" i="17" s="1"/>
  <c r="AM47" i="17" l="1"/>
  <c r="AM48" i="17" s="1"/>
  <c r="AN46" i="17"/>
  <c r="AN48" i="17" l="1"/>
  <c r="E11" i="9"/>
  <c r="G11" i="9"/>
  <c r="H11" i="9"/>
  <c r="E12" i="9"/>
  <c r="F12" i="9"/>
  <c r="G12" i="9"/>
  <c r="H12" i="9"/>
  <c r="E13" i="9"/>
  <c r="F13" i="9"/>
  <c r="G13" i="9"/>
  <c r="H13" i="9"/>
  <c r="E15" i="9"/>
  <c r="F15" i="9"/>
  <c r="G15" i="9"/>
  <c r="H15" i="9"/>
  <c r="E17" i="9"/>
  <c r="F17" i="9"/>
  <c r="G17" i="9"/>
  <c r="H17" i="9"/>
  <c r="G19" i="9"/>
  <c r="G48" i="9"/>
  <c r="G49" i="9"/>
  <c r="H49" i="9"/>
  <c r="G50" i="9"/>
  <c r="G51" i="9"/>
  <c r="H51" i="9"/>
  <c r="G53" i="9"/>
  <c r="H53" i="9"/>
  <c r="G58" i="9"/>
  <c r="G59" i="9"/>
  <c r="H59" i="9"/>
  <c r="G60" i="9"/>
  <c r="G62" i="9"/>
  <c r="G64" i="9"/>
  <c r="H64" i="9"/>
  <c r="G67" i="9"/>
  <c r="H67" i="9"/>
  <c r="G80" i="9"/>
  <c r="H80" i="9"/>
  <c r="G81" i="9"/>
  <c r="G82" i="9"/>
  <c r="H82" i="9"/>
  <c r="J1" i="6"/>
  <c r="L1" i="6"/>
  <c r="E6" i="6"/>
  <c r="G6" i="6"/>
  <c r="H6" i="6"/>
  <c r="E7" i="6"/>
  <c r="F7" i="6"/>
  <c r="G7" i="6"/>
  <c r="H7" i="6"/>
  <c r="E9" i="6"/>
  <c r="F9" i="6"/>
  <c r="G9" i="6"/>
  <c r="H9" i="6"/>
  <c r="E10" i="6"/>
  <c r="F10" i="6"/>
  <c r="G10" i="6"/>
  <c r="H10" i="6"/>
  <c r="E12" i="6"/>
  <c r="F12" i="6"/>
  <c r="G12" i="6"/>
  <c r="H12" i="6"/>
  <c r="E16" i="6"/>
  <c r="F16" i="6"/>
  <c r="G16" i="6"/>
  <c r="H16" i="6"/>
  <c r="G18" i="6"/>
  <c r="G45" i="6"/>
  <c r="G46" i="6"/>
  <c r="G47" i="6"/>
  <c r="H47" i="6"/>
  <c r="G48" i="6"/>
  <c r="G49" i="6"/>
  <c r="H49" i="6"/>
  <c r="G51" i="6"/>
  <c r="H51" i="6"/>
  <c r="G58" i="6"/>
  <c r="G59" i="6"/>
  <c r="G60" i="6"/>
  <c r="H60" i="6"/>
  <c r="G61" i="6"/>
  <c r="G63" i="6"/>
  <c r="H63" i="6"/>
  <c r="G65" i="6"/>
  <c r="H65" i="6"/>
  <c r="G68" i="6"/>
  <c r="H68" i="6"/>
  <c r="G83" i="6"/>
  <c r="H83" i="6"/>
  <c r="G85" i="6"/>
  <c r="G87" i="6"/>
  <c r="H87" i="6"/>
  <c r="J1" i="7"/>
  <c r="L1" i="7"/>
  <c r="E6" i="7"/>
  <c r="G6" i="7"/>
  <c r="H6" i="7"/>
  <c r="E7" i="7"/>
  <c r="F7" i="7"/>
  <c r="G7" i="7"/>
  <c r="H7" i="7"/>
  <c r="E9" i="7"/>
  <c r="F9" i="7"/>
  <c r="G9" i="7"/>
  <c r="H9" i="7"/>
  <c r="E10" i="7"/>
  <c r="F10" i="7"/>
  <c r="G10" i="7"/>
  <c r="H10" i="7"/>
  <c r="E12" i="7"/>
  <c r="F12" i="7"/>
  <c r="G12" i="7"/>
  <c r="H12" i="7"/>
  <c r="E16" i="7"/>
  <c r="F16" i="7"/>
  <c r="G16" i="7"/>
  <c r="H16" i="7"/>
  <c r="G18" i="7"/>
  <c r="G45" i="7"/>
  <c r="G46" i="7"/>
  <c r="G47" i="7"/>
  <c r="H47" i="7"/>
  <c r="G48" i="7"/>
  <c r="G49" i="7"/>
  <c r="H49" i="7"/>
  <c r="G51" i="7"/>
  <c r="H51" i="7"/>
  <c r="G58" i="7"/>
  <c r="G59" i="7"/>
  <c r="G60" i="7"/>
  <c r="H60" i="7"/>
  <c r="G61" i="7"/>
  <c r="G63" i="7"/>
  <c r="H63" i="7"/>
  <c r="G65" i="7"/>
  <c r="H65" i="7"/>
  <c r="G68" i="7"/>
  <c r="H68" i="7"/>
  <c r="G83" i="7"/>
  <c r="H83" i="7"/>
  <c r="G85" i="7"/>
  <c r="G87" i="7"/>
  <c r="H87" i="7"/>
</calcChain>
</file>

<file path=xl/comments1.xml><?xml version="1.0" encoding="utf-8"?>
<comments xmlns="http://schemas.openxmlformats.org/spreadsheetml/2006/main">
  <authors>
    <author>Abhimanyu.Pandit</author>
    <author>rakesh.karkal</author>
  </authors>
  <commentList>
    <comment ref="Q53" authorId="0">
      <text>
        <r>
          <rPr>
            <b/>
            <sz val="9"/>
            <color indexed="81"/>
            <rFont val="Tahoma"/>
            <family val="2"/>
          </rPr>
          <t>Abhimanyu.Pandit:</t>
        </r>
        <r>
          <rPr>
            <sz val="9"/>
            <color indexed="81"/>
            <rFont val="Tahoma"/>
            <family val="2"/>
          </rPr>
          <t xml:space="preserve">
only rubber sealing 650/rmtrs price increase in u type guide</t>
        </r>
      </text>
    </comment>
    <comment ref="X53" authorId="0">
      <text>
        <r>
          <rPr>
            <b/>
            <sz val="9"/>
            <color indexed="81"/>
            <rFont val="Tahoma"/>
            <family val="2"/>
          </rPr>
          <t>Abhimanyu.Pandit:</t>
        </r>
        <r>
          <rPr>
            <sz val="9"/>
            <color indexed="81"/>
            <rFont val="Tahoma"/>
            <family val="2"/>
          </rPr>
          <t xml:space="preserve">
only rubber sealing 650/rmtrs price increase in u type guide</t>
        </r>
      </text>
    </comment>
    <comment ref="N54" authorId="0">
      <text>
        <r>
          <rPr>
            <b/>
            <sz val="9"/>
            <color indexed="81"/>
            <rFont val="Tahoma"/>
            <family val="2"/>
          </rPr>
          <t>Abhimanyu.Pandit:</t>
        </r>
        <r>
          <rPr>
            <sz val="9"/>
            <color indexed="81"/>
            <rFont val="Tahoma"/>
            <family val="2"/>
          </rPr>
          <t xml:space="preserve">
wt. increased by 30% on u type guide for box type guide</t>
        </r>
      </text>
    </comment>
    <comment ref="Q54" authorId="1">
      <text>
        <r>
          <rPr>
            <b/>
            <sz val="8"/>
            <color indexed="81"/>
            <rFont val="Tahoma"/>
            <family val="2"/>
          </rPr>
          <t>rakesh.karkal:</t>
        </r>
        <r>
          <rPr>
            <sz val="8"/>
            <color indexed="81"/>
            <rFont val="Tahoma"/>
            <family val="2"/>
          </rPr>
          <t xml:space="preserve">
U Type Guide Cost + Extra basic cost - 650 For Rubber</t>
        </r>
      </text>
    </comment>
    <comment ref="R54" authorId="1">
      <text/>
    </comment>
    <comment ref="U54" authorId="0">
      <text>
        <r>
          <rPr>
            <b/>
            <sz val="9"/>
            <color indexed="81"/>
            <rFont val="Tahoma"/>
            <family val="2"/>
          </rPr>
          <t>Abhimanyu.Pandit:</t>
        </r>
        <r>
          <rPr>
            <sz val="9"/>
            <color indexed="81"/>
            <rFont val="Tahoma"/>
            <family val="2"/>
          </rPr>
          <t xml:space="preserve">
wt. increased by 30% on u type guide for box type guide</t>
        </r>
      </text>
    </comment>
    <comment ref="X54" authorId="1">
      <text>
        <r>
          <rPr>
            <b/>
            <sz val="8"/>
            <color indexed="81"/>
            <rFont val="Tahoma"/>
            <family val="2"/>
          </rPr>
          <t>rakesh.karkal:</t>
        </r>
        <r>
          <rPr>
            <sz val="8"/>
            <color indexed="81"/>
            <rFont val="Tahoma"/>
            <family val="2"/>
          </rPr>
          <t xml:space="preserve">
U Type Guide Cost + Extra basic cost - 650 For Rubber</t>
        </r>
      </text>
    </comment>
    <comment ref="Y54" authorId="1">
      <text/>
    </comment>
    <comment ref="Q55" authorId="1">
      <text>
        <r>
          <rPr>
            <b/>
            <sz val="8"/>
            <color indexed="81"/>
            <rFont val="Tahoma"/>
            <family val="2"/>
          </rPr>
          <t>rakesh.karkal:</t>
        </r>
        <r>
          <rPr>
            <sz val="8"/>
            <color indexed="81"/>
            <rFont val="Tahoma"/>
            <family val="2"/>
          </rPr>
          <t xml:space="preserve">
U Type Guide Cost + Extra basic cost - 650 For Rubber</t>
        </r>
      </text>
    </comment>
    <comment ref="R55" authorId="1">
      <text>
        <r>
          <rPr>
            <b/>
            <sz val="8"/>
            <color indexed="81"/>
            <rFont val="Tahoma"/>
            <family val="2"/>
          </rPr>
          <t>rakesh.karkal:</t>
        </r>
        <r>
          <rPr>
            <sz val="8"/>
            <color indexed="81"/>
            <rFont val="Tahoma"/>
            <family val="2"/>
          </rPr>
          <t xml:space="preserve">
U Type Guide + Extra cost 1100 (650+ 450) 650 for rubber &amp; 450 for Box Type</t>
        </r>
      </text>
    </comment>
    <comment ref="X55" authorId="1">
      <text>
        <r>
          <rPr>
            <b/>
            <sz val="8"/>
            <color indexed="81"/>
            <rFont val="Tahoma"/>
            <family val="2"/>
          </rPr>
          <t>rakesh.karkal:</t>
        </r>
        <r>
          <rPr>
            <sz val="8"/>
            <color indexed="81"/>
            <rFont val="Tahoma"/>
            <family val="2"/>
          </rPr>
          <t xml:space="preserve">
U Type Guide Cost + Extra basic cost - 650 For Rubber</t>
        </r>
      </text>
    </comment>
    <comment ref="Y55" authorId="1">
      <text>
        <r>
          <rPr>
            <b/>
            <sz val="8"/>
            <color indexed="81"/>
            <rFont val="Tahoma"/>
            <family val="2"/>
          </rPr>
          <t>rakesh.karkal:</t>
        </r>
        <r>
          <rPr>
            <sz val="8"/>
            <color indexed="81"/>
            <rFont val="Tahoma"/>
            <family val="2"/>
          </rPr>
          <t xml:space="preserve">
U Type Guide + Extra cost 1100 (650+ 450) 650 for rubber &amp; 450 for Box Type</t>
        </r>
      </text>
    </comment>
    <comment ref="Q56" authorId="1">
      <text>
        <r>
          <rPr>
            <b/>
            <sz val="8"/>
            <color indexed="81"/>
            <rFont val="Tahoma"/>
            <family val="2"/>
          </rPr>
          <t>rakesh.karkal:</t>
        </r>
        <r>
          <rPr>
            <sz val="8"/>
            <color indexed="81"/>
            <rFont val="Tahoma"/>
            <family val="2"/>
          </rPr>
          <t xml:space="preserve">
U Type Guide Cost + Extra basic cost - 650 For Rubber</t>
        </r>
      </text>
    </comment>
    <comment ref="R56" authorId="1">
      <text>
        <r>
          <rPr>
            <b/>
            <sz val="8"/>
            <color indexed="81"/>
            <rFont val="Tahoma"/>
            <family val="2"/>
          </rPr>
          <t>rakesh.karkal:</t>
        </r>
        <r>
          <rPr>
            <sz val="8"/>
            <color indexed="81"/>
            <rFont val="Tahoma"/>
            <family val="2"/>
          </rPr>
          <t xml:space="preserve">
U Type Guide + Extra cost 1100 (650+ 450) 650 for rubber &amp; 450 for Box Type</t>
        </r>
      </text>
    </comment>
    <comment ref="X56" authorId="1">
      <text>
        <r>
          <rPr>
            <b/>
            <sz val="8"/>
            <color indexed="81"/>
            <rFont val="Tahoma"/>
            <family val="2"/>
          </rPr>
          <t>rakesh.karkal:</t>
        </r>
        <r>
          <rPr>
            <sz val="8"/>
            <color indexed="81"/>
            <rFont val="Tahoma"/>
            <family val="2"/>
          </rPr>
          <t xml:space="preserve">
U Type Guide Cost + Extra basic cost - 650 For Rubber</t>
        </r>
      </text>
    </comment>
    <comment ref="Y56" authorId="1">
      <text>
        <r>
          <rPr>
            <b/>
            <sz val="8"/>
            <color indexed="81"/>
            <rFont val="Tahoma"/>
            <family val="2"/>
          </rPr>
          <t>rakesh.karkal:</t>
        </r>
        <r>
          <rPr>
            <sz val="8"/>
            <color indexed="81"/>
            <rFont val="Tahoma"/>
            <family val="2"/>
          </rPr>
          <t xml:space="preserve">
U Type Guide + Extra cost 1100 (650+ 450) 650 for rubber &amp; 450 for Box Type</t>
        </r>
      </text>
    </comment>
  </commentList>
</comments>
</file>

<file path=xl/comments2.xml><?xml version="1.0" encoding="utf-8"?>
<comments xmlns="http://schemas.openxmlformats.org/spreadsheetml/2006/main">
  <authors>
    <author>Abhimanyu.Pandit</author>
    <author>rakesh.karkal</author>
  </authors>
  <commentList>
    <comment ref="Q53" authorId="0">
      <text>
        <r>
          <rPr>
            <b/>
            <sz val="9"/>
            <color indexed="81"/>
            <rFont val="Tahoma"/>
            <family val="2"/>
          </rPr>
          <t>Abhimanyu.Pandit:</t>
        </r>
        <r>
          <rPr>
            <sz val="9"/>
            <color indexed="81"/>
            <rFont val="Tahoma"/>
            <family val="2"/>
          </rPr>
          <t xml:space="preserve">
only rubber sealing 650/rmtrs price increase in u type guide</t>
        </r>
      </text>
    </comment>
    <comment ref="X53" authorId="0">
      <text>
        <r>
          <rPr>
            <b/>
            <sz val="9"/>
            <color indexed="81"/>
            <rFont val="Tahoma"/>
            <family val="2"/>
          </rPr>
          <t>Abhimanyu.Pandit:</t>
        </r>
        <r>
          <rPr>
            <sz val="9"/>
            <color indexed="81"/>
            <rFont val="Tahoma"/>
            <family val="2"/>
          </rPr>
          <t xml:space="preserve">
only rubber sealing 650/rmtrs price increase in u type guide</t>
        </r>
      </text>
    </comment>
    <comment ref="N54" authorId="0">
      <text>
        <r>
          <rPr>
            <b/>
            <sz val="9"/>
            <color indexed="81"/>
            <rFont val="Tahoma"/>
            <family val="2"/>
          </rPr>
          <t>Abhimanyu.Pandit:</t>
        </r>
        <r>
          <rPr>
            <sz val="9"/>
            <color indexed="81"/>
            <rFont val="Tahoma"/>
            <family val="2"/>
          </rPr>
          <t xml:space="preserve">
wt. increased by 30% on u type guide for box type guide</t>
        </r>
      </text>
    </comment>
    <comment ref="Q54" authorId="1">
      <text>
        <r>
          <rPr>
            <b/>
            <sz val="8"/>
            <color indexed="81"/>
            <rFont val="Tahoma"/>
            <family val="2"/>
          </rPr>
          <t>rakesh.karkal:</t>
        </r>
        <r>
          <rPr>
            <sz val="8"/>
            <color indexed="81"/>
            <rFont val="Tahoma"/>
            <family val="2"/>
          </rPr>
          <t xml:space="preserve">
U Type Guide Cost + Extra basic cost - 650 For Rubber</t>
        </r>
      </text>
    </comment>
    <comment ref="R54" authorId="1">
      <text/>
    </comment>
    <comment ref="U54" authorId="0">
      <text>
        <r>
          <rPr>
            <b/>
            <sz val="9"/>
            <color indexed="81"/>
            <rFont val="Tahoma"/>
            <family val="2"/>
          </rPr>
          <t>Abhimanyu.Pandit:</t>
        </r>
        <r>
          <rPr>
            <sz val="9"/>
            <color indexed="81"/>
            <rFont val="Tahoma"/>
            <family val="2"/>
          </rPr>
          <t xml:space="preserve">
wt. increased by 30% on u type guide for box type guide</t>
        </r>
      </text>
    </comment>
    <comment ref="X54" authorId="1">
      <text>
        <r>
          <rPr>
            <b/>
            <sz val="8"/>
            <color indexed="81"/>
            <rFont val="Tahoma"/>
            <family val="2"/>
          </rPr>
          <t>rakesh.karkal:</t>
        </r>
        <r>
          <rPr>
            <sz val="8"/>
            <color indexed="81"/>
            <rFont val="Tahoma"/>
            <family val="2"/>
          </rPr>
          <t xml:space="preserve">
U Type Guide Cost + Extra basic cost - 650 For Rubber</t>
        </r>
      </text>
    </comment>
    <comment ref="Y54" authorId="1">
      <text/>
    </comment>
    <comment ref="Q55" authorId="1">
      <text>
        <r>
          <rPr>
            <b/>
            <sz val="8"/>
            <color indexed="81"/>
            <rFont val="Tahoma"/>
            <family val="2"/>
          </rPr>
          <t>rakesh.karkal:</t>
        </r>
        <r>
          <rPr>
            <sz val="8"/>
            <color indexed="81"/>
            <rFont val="Tahoma"/>
            <family val="2"/>
          </rPr>
          <t xml:space="preserve">
U Type Guide Cost + Extra basic cost - 650 For Rubber</t>
        </r>
      </text>
    </comment>
    <comment ref="R55" authorId="1">
      <text>
        <r>
          <rPr>
            <b/>
            <sz val="8"/>
            <color indexed="81"/>
            <rFont val="Tahoma"/>
            <family val="2"/>
          </rPr>
          <t>rakesh.karkal:</t>
        </r>
        <r>
          <rPr>
            <sz val="8"/>
            <color indexed="81"/>
            <rFont val="Tahoma"/>
            <family val="2"/>
          </rPr>
          <t xml:space="preserve">
U Type Guide + Extra cost 1100 (650+ 450) 650 for rubber &amp; 450 for Box Type</t>
        </r>
      </text>
    </comment>
    <comment ref="X55" authorId="1">
      <text>
        <r>
          <rPr>
            <b/>
            <sz val="8"/>
            <color indexed="81"/>
            <rFont val="Tahoma"/>
            <family val="2"/>
          </rPr>
          <t>rakesh.karkal:</t>
        </r>
        <r>
          <rPr>
            <sz val="8"/>
            <color indexed="81"/>
            <rFont val="Tahoma"/>
            <family val="2"/>
          </rPr>
          <t xml:space="preserve">
U Type Guide Cost + Extra basic cost - 650 For Rubber</t>
        </r>
      </text>
    </comment>
    <comment ref="Y55" authorId="1">
      <text>
        <r>
          <rPr>
            <b/>
            <sz val="8"/>
            <color indexed="81"/>
            <rFont val="Tahoma"/>
            <family val="2"/>
          </rPr>
          <t>rakesh.karkal:</t>
        </r>
        <r>
          <rPr>
            <sz val="8"/>
            <color indexed="81"/>
            <rFont val="Tahoma"/>
            <family val="2"/>
          </rPr>
          <t xml:space="preserve">
U Type Guide + Extra cost 1100 (650+ 450) 650 for rubber &amp; 450 for Box Type</t>
        </r>
      </text>
    </comment>
    <comment ref="Q56" authorId="1">
      <text>
        <r>
          <rPr>
            <b/>
            <sz val="8"/>
            <color indexed="81"/>
            <rFont val="Tahoma"/>
            <family val="2"/>
          </rPr>
          <t>rakesh.karkal:</t>
        </r>
        <r>
          <rPr>
            <sz val="8"/>
            <color indexed="81"/>
            <rFont val="Tahoma"/>
            <family val="2"/>
          </rPr>
          <t xml:space="preserve">
U Type Guide Cost + Extra basic cost - 650 For Rubber</t>
        </r>
      </text>
    </comment>
    <comment ref="R56" authorId="1">
      <text>
        <r>
          <rPr>
            <b/>
            <sz val="8"/>
            <color indexed="81"/>
            <rFont val="Tahoma"/>
            <family val="2"/>
          </rPr>
          <t>rakesh.karkal:</t>
        </r>
        <r>
          <rPr>
            <sz val="8"/>
            <color indexed="81"/>
            <rFont val="Tahoma"/>
            <family val="2"/>
          </rPr>
          <t xml:space="preserve">
U Type Guide + Extra cost 1100 (650+ 450) 650 for rubber &amp; 450 for Box Type</t>
        </r>
      </text>
    </comment>
    <comment ref="X56" authorId="1">
      <text>
        <r>
          <rPr>
            <b/>
            <sz val="8"/>
            <color indexed="81"/>
            <rFont val="Tahoma"/>
            <family val="2"/>
          </rPr>
          <t>rakesh.karkal:</t>
        </r>
        <r>
          <rPr>
            <sz val="8"/>
            <color indexed="81"/>
            <rFont val="Tahoma"/>
            <family val="2"/>
          </rPr>
          <t xml:space="preserve">
U Type Guide Cost + Extra basic cost - 650 For Rubber</t>
        </r>
      </text>
    </comment>
    <comment ref="Y56" authorId="1">
      <text>
        <r>
          <rPr>
            <b/>
            <sz val="8"/>
            <color indexed="81"/>
            <rFont val="Tahoma"/>
            <family val="2"/>
          </rPr>
          <t>rakesh.karkal:</t>
        </r>
        <r>
          <rPr>
            <sz val="8"/>
            <color indexed="81"/>
            <rFont val="Tahoma"/>
            <family val="2"/>
          </rPr>
          <t xml:space="preserve">
U Type Guide + Extra cost 1100 (650+ 450) 650 for rubber &amp; 450 for Box Type</t>
        </r>
      </text>
    </comment>
  </commentList>
</comments>
</file>

<file path=xl/comments3.xml><?xml version="1.0" encoding="utf-8"?>
<comments xmlns="http://schemas.openxmlformats.org/spreadsheetml/2006/main">
  <authors>
    <author>Abhimanyu.Pandit</author>
    <author>rakesh.karkal</author>
  </authors>
  <commentList>
    <comment ref="R50" authorId="0">
      <text>
        <r>
          <rPr>
            <b/>
            <sz val="9"/>
            <color indexed="81"/>
            <rFont val="Tahoma"/>
            <family val="2"/>
          </rPr>
          <t>Abhimanyu.Pandit:</t>
        </r>
        <r>
          <rPr>
            <sz val="9"/>
            <color indexed="81"/>
            <rFont val="Tahoma"/>
            <family val="2"/>
          </rPr>
          <t xml:space="preserve">
only rubber sealing 650/rmtrs price increase in u type guide</t>
        </r>
      </text>
    </comment>
    <comment ref="Y50" authorId="0">
      <text>
        <r>
          <rPr>
            <b/>
            <sz val="9"/>
            <color indexed="81"/>
            <rFont val="Tahoma"/>
            <family val="2"/>
          </rPr>
          <t>Abhimanyu.Pandit:</t>
        </r>
        <r>
          <rPr>
            <sz val="9"/>
            <color indexed="81"/>
            <rFont val="Tahoma"/>
            <family val="2"/>
          </rPr>
          <t xml:space="preserve">
only rubber sealing 650/rmtrs price increase in u type guide</t>
        </r>
      </text>
    </comment>
    <comment ref="O51" authorId="0">
      <text>
        <r>
          <rPr>
            <b/>
            <sz val="9"/>
            <color indexed="81"/>
            <rFont val="Tahoma"/>
            <family val="2"/>
          </rPr>
          <t>Abhimanyu.Pandit:</t>
        </r>
        <r>
          <rPr>
            <sz val="9"/>
            <color indexed="81"/>
            <rFont val="Tahoma"/>
            <family val="2"/>
          </rPr>
          <t xml:space="preserve">
wt. increased by 30% on u type guide for box type guide</t>
        </r>
      </text>
    </comment>
    <comment ref="R51" authorId="1">
      <text>
        <r>
          <rPr>
            <b/>
            <sz val="8"/>
            <color indexed="81"/>
            <rFont val="Tahoma"/>
            <family val="2"/>
          </rPr>
          <t>rakesh.karkal:</t>
        </r>
        <r>
          <rPr>
            <sz val="8"/>
            <color indexed="81"/>
            <rFont val="Tahoma"/>
            <family val="2"/>
          </rPr>
          <t xml:space="preserve">
U Type Guide Cost + Extra basic cost - 650 For Rubber</t>
        </r>
      </text>
    </comment>
    <comment ref="S51" authorId="1">
      <text/>
    </comment>
    <comment ref="V51" authorId="0">
      <text>
        <r>
          <rPr>
            <b/>
            <sz val="9"/>
            <color indexed="81"/>
            <rFont val="Tahoma"/>
            <family val="2"/>
          </rPr>
          <t>Abhimanyu.Pandit:</t>
        </r>
        <r>
          <rPr>
            <sz val="9"/>
            <color indexed="81"/>
            <rFont val="Tahoma"/>
            <family val="2"/>
          </rPr>
          <t xml:space="preserve">
wt. increased by 30% on u type guide for box type guide</t>
        </r>
      </text>
    </comment>
    <comment ref="Y51" authorId="1">
      <text>
        <r>
          <rPr>
            <b/>
            <sz val="8"/>
            <color indexed="81"/>
            <rFont val="Tahoma"/>
            <family val="2"/>
          </rPr>
          <t>rakesh.karkal:</t>
        </r>
        <r>
          <rPr>
            <sz val="8"/>
            <color indexed="81"/>
            <rFont val="Tahoma"/>
            <family val="2"/>
          </rPr>
          <t xml:space="preserve">
U Type Guide Cost + Extra basic cost - 650 For Rubber</t>
        </r>
      </text>
    </comment>
    <comment ref="Z51" authorId="1">
      <text/>
    </comment>
    <comment ref="R52" authorId="1">
      <text>
        <r>
          <rPr>
            <b/>
            <sz val="8"/>
            <color indexed="81"/>
            <rFont val="Tahoma"/>
            <family val="2"/>
          </rPr>
          <t>rakesh.karkal:</t>
        </r>
        <r>
          <rPr>
            <sz val="8"/>
            <color indexed="81"/>
            <rFont val="Tahoma"/>
            <family val="2"/>
          </rPr>
          <t xml:space="preserve">
U Type Guide Cost + Extra basic cost - 650 For Rubber</t>
        </r>
      </text>
    </comment>
    <comment ref="S52" authorId="1">
      <text>
        <r>
          <rPr>
            <b/>
            <sz val="8"/>
            <color indexed="81"/>
            <rFont val="Tahoma"/>
            <family val="2"/>
          </rPr>
          <t>rakesh.karkal:</t>
        </r>
        <r>
          <rPr>
            <sz val="8"/>
            <color indexed="81"/>
            <rFont val="Tahoma"/>
            <family val="2"/>
          </rPr>
          <t xml:space="preserve">
U Type Guide + Extra cost 1100 (650+ 450) 650 for rubber &amp; 450 for Box Type</t>
        </r>
      </text>
    </comment>
    <comment ref="Y52" authorId="1">
      <text>
        <r>
          <rPr>
            <b/>
            <sz val="8"/>
            <color indexed="81"/>
            <rFont val="Tahoma"/>
            <family val="2"/>
          </rPr>
          <t>rakesh.karkal:</t>
        </r>
        <r>
          <rPr>
            <sz val="8"/>
            <color indexed="81"/>
            <rFont val="Tahoma"/>
            <family val="2"/>
          </rPr>
          <t xml:space="preserve">
U Type Guide Cost + Extra basic cost - 650 For Rubber</t>
        </r>
      </text>
    </comment>
    <comment ref="Z52" authorId="1">
      <text>
        <r>
          <rPr>
            <b/>
            <sz val="8"/>
            <color indexed="81"/>
            <rFont val="Tahoma"/>
            <family val="2"/>
          </rPr>
          <t>rakesh.karkal:</t>
        </r>
        <r>
          <rPr>
            <sz val="8"/>
            <color indexed="81"/>
            <rFont val="Tahoma"/>
            <family val="2"/>
          </rPr>
          <t xml:space="preserve">
U Type Guide + Extra cost 1100 (650+ 450) 650 for rubber &amp; 450 for Box Type</t>
        </r>
      </text>
    </comment>
    <comment ref="R53" authorId="1">
      <text>
        <r>
          <rPr>
            <b/>
            <sz val="8"/>
            <color indexed="81"/>
            <rFont val="Tahoma"/>
            <family val="2"/>
          </rPr>
          <t>rakesh.karkal:</t>
        </r>
        <r>
          <rPr>
            <sz val="8"/>
            <color indexed="81"/>
            <rFont val="Tahoma"/>
            <family val="2"/>
          </rPr>
          <t xml:space="preserve">
U Type Guide Cost + Extra basic cost - 650 For Rubber</t>
        </r>
      </text>
    </comment>
    <comment ref="S53" authorId="1">
      <text>
        <r>
          <rPr>
            <b/>
            <sz val="8"/>
            <color indexed="81"/>
            <rFont val="Tahoma"/>
            <family val="2"/>
          </rPr>
          <t>rakesh.karkal:</t>
        </r>
        <r>
          <rPr>
            <sz val="8"/>
            <color indexed="81"/>
            <rFont val="Tahoma"/>
            <family val="2"/>
          </rPr>
          <t xml:space="preserve">
U Type Guide + Extra cost 1100 (650+ 450) 650 for rubber &amp; 450 for Box Type</t>
        </r>
      </text>
    </comment>
    <comment ref="Y53" authorId="1">
      <text>
        <r>
          <rPr>
            <b/>
            <sz val="8"/>
            <color indexed="81"/>
            <rFont val="Tahoma"/>
            <family val="2"/>
          </rPr>
          <t>rakesh.karkal:</t>
        </r>
        <r>
          <rPr>
            <sz val="8"/>
            <color indexed="81"/>
            <rFont val="Tahoma"/>
            <family val="2"/>
          </rPr>
          <t xml:space="preserve">
U Type Guide Cost + Extra basic cost - 650 For Rubber</t>
        </r>
      </text>
    </comment>
    <comment ref="Z53" authorId="1">
      <text>
        <r>
          <rPr>
            <b/>
            <sz val="8"/>
            <color indexed="81"/>
            <rFont val="Tahoma"/>
            <family val="2"/>
          </rPr>
          <t>rakesh.karkal:</t>
        </r>
        <r>
          <rPr>
            <sz val="8"/>
            <color indexed="81"/>
            <rFont val="Tahoma"/>
            <family val="2"/>
          </rPr>
          <t xml:space="preserve">
U Type Guide + Extra cost 1100 (650+ 450) 650 for rubber &amp; 450 for Box Type</t>
        </r>
      </text>
    </comment>
  </commentList>
</comments>
</file>

<file path=xl/comments4.xml><?xml version="1.0" encoding="utf-8"?>
<comments xmlns="http://schemas.openxmlformats.org/spreadsheetml/2006/main">
  <authors>
    <author>Abhimanyu.Pandit</author>
    <author>rakesh.karkal</author>
    <author>Tanvi</author>
  </authors>
  <commentList>
    <comment ref="AH27" authorId="0">
      <text>
        <r>
          <rPr>
            <b/>
            <sz val="9"/>
            <color indexed="81"/>
            <rFont val="Tahoma"/>
            <family val="2"/>
          </rPr>
          <t>Abhimanyu.Pandit:</t>
        </r>
        <r>
          <rPr>
            <sz val="9"/>
            <color indexed="81"/>
            <rFont val="Tahoma"/>
            <family val="2"/>
          </rPr>
          <t xml:space="preserve">
Profile Type 75, 85, 88, 115</t>
        </r>
      </text>
    </comment>
    <comment ref="AW50" authorId="0">
      <text>
        <r>
          <rPr>
            <b/>
            <sz val="9"/>
            <color indexed="81"/>
            <rFont val="Tahoma"/>
            <family val="2"/>
          </rPr>
          <t>Abhimanyu.Pandit:</t>
        </r>
        <r>
          <rPr>
            <sz val="9"/>
            <color indexed="81"/>
            <rFont val="Tahoma"/>
            <family val="2"/>
          </rPr>
          <t xml:space="preserve">
only rubber sealing 650/rmtrs price increase in u type guide</t>
        </r>
      </text>
    </comment>
    <comment ref="AW51" authorId="1">
      <text>
        <r>
          <rPr>
            <b/>
            <sz val="8"/>
            <color indexed="81"/>
            <rFont val="Tahoma"/>
            <family val="2"/>
          </rPr>
          <t>rakesh.karkal:</t>
        </r>
        <r>
          <rPr>
            <sz val="8"/>
            <color indexed="81"/>
            <rFont val="Tahoma"/>
            <family val="2"/>
          </rPr>
          <t xml:space="preserve">
U Type Guide Cost + Extra basic cost - 650 For Rubber</t>
        </r>
      </text>
    </comment>
    <comment ref="AX51" authorId="1">
      <text/>
    </comment>
    <comment ref="AW52" authorId="1">
      <text>
        <r>
          <rPr>
            <b/>
            <sz val="8"/>
            <color indexed="81"/>
            <rFont val="Tahoma"/>
            <family val="2"/>
          </rPr>
          <t>rakesh.karkal:</t>
        </r>
        <r>
          <rPr>
            <sz val="8"/>
            <color indexed="81"/>
            <rFont val="Tahoma"/>
            <family val="2"/>
          </rPr>
          <t xml:space="preserve">
U Type Guide Cost + Extra basic cost - 650 For Rubber</t>
        </r>
      </text>
    </comment>
    <comment ref="AX52" authorId="1">
      <text/>
    </comment>
    <comment ref="AW53" authorId="1">
      <text>
        <r>
          <rPr>
            <b/>
            <sz val="8"/>
            <color indexed="81"/>
            <rFont val="Tahoma"/>
            <family val="2"/>
          </rPr>
          <t>rakesh.karkal:</t>
        </r>
        <r>
          <rPr>
            <sz val="8"/>
            <color indexed="81"/>
            <rFont val="Tahoma"/>
            <family val="2"/>
          </rPr>
          <t xml:space="preserve">
U Type Guide Cost + Extra basic cost - 650 For Rubber</t>
        </r>
      </text>
    </comment>
    <comment ref="AX53" authorId="1">
      <text/>
    </comment>
    <comment ref="AG82" authorId="2">
      <text>
        <r>
          <rPr>
            <b/>
            <sz val="9"/>
            <color indexed="81"/>
            <rFont val="Tahoma"/>
            <family val="2"/>
          </rPr>
          <t>Tanvi:</t>
        </r>
        <r>
          <rPr>
            <sz val="9"/>
            <color indexed="81"/>
            <rFont val="Tahoma"/>
            <family val="2"/>
          </rPr>
          <t xml:space="preserve">
All Shutters, High Speed door.</t>
        </r>
      </text>
    </comment>
  </commentList>
</comments>
</file>

<file path=xl/comments5.xml><?xml version="1.0" encoding="utf-8"?>
<comments xmlns="http://schemas.openxmlformats.org/spreadsheetml/2006/main">
  <authors>
    <author>Abhimanyu.Pandit</author>
    <author>Tanvi</author>
  </authors>
  <commentList>
    <comment ref="AH27" authorId="0">
      <text>
        <r>
          <rPr>
            <b/>
            <sz val="9"/>
            <color indexed="81"/>
            <rFont val="Tahoma"/>
            <family val="2"/>
          </rPr>
          <t>Abhimanyu.Pandit:</t>
        </r>
        <r>
          <rPr>
            <sz val="9"/>
            <color indexed="81"/>
            <rFont val="Tahoma"/>
            <family val="2"/>
          </rPr>
          <t xml:space="preserve">
Profile Type 75, 85, 88, 115</t>
        </r>
      </text>
    </comment>
    <comment ref="AG82" authorId="1">
      <text>
        <r>
          <rPr>
            <b/>
            <sz val="9"/>
            <color indexed="81"/>
            <rFont val="Tahoma"/>
            <family val="2"/>
          </rPr>
          <t>Tanvi:</t>
        </r>
        <r>
          <rPr>
            <sz val="9"/>
            <color indexed="81"/>
            <rFont val="Tahoma"/>
            <family val="2"/>
          </rPr>
          <t xml:space="preserve">
All Shutters, High Speed door.</t>
        </r>
      </text>
    </comment>
  </commentList>
</comments>
</file>

<file path=xl/sharedStrings.xml><?xml version="1.0" encoding="utf-8"?>
<sst xmlns="http://schemas.openxmlformats.org/spreadsheetml/2006/main" count="2495" uniqueCount="441">
  <si>
    <t>Mark Up</t>
  </si>
  <si>
    <t>EX-Works,Germany</t>
  </si>
  <si>
    <t>FOB,Germany</t>
  </si>
  <si>
    <t>CIF</t>
  </si>
  <si>
    <t>EX-Works,Pune</t>
  </si>
  <si>
    <t>Project Name</t>
  </si>
  <si>
    <t>Project Location</t>
  </si>
  <si>
    <t>Date</t>
  </si>
  <si>
    <t>Clear Opening in Meters</t>
  </si>
  <si>
    <t>Total Sqm</t>
  </si>
  <si>
    <t>Qty</t>
  </si>
  <si>
    <t>Height of the door in Meters</t>
  </si>
  <si>
    <t xml:space="preserve">Yes </t>
  </si>
  <si>
    <t>No</t>
  </si>
  <si>
    <t xml:space="preserve">Price </t>
  </si>
  <si>
    <t>Euro Value in INR</t>
  </si>
  <si>
    <t>With in Pune</t>
  </si>
  <si>
    <t>Outstationed</t>
  </si>
  <si>
    <t xml:space="preserve">Outside pune </t>
  </si>
  <si>
    <t>Manual Rolling shutter</t>
  </si>
  <si>
    <t>Gear Operated Rolling shutter</t>
  </si>
  <si>
    <t>Galvanised  Strips Only</t>
  </si>
  <si>
    <t>Full Galvanised strips,bottom,guide,top cover</t>
  </si>
  <si>
    <t>Not Required</t>
  </si>
  <si>
    <t>Perforation</t>
  </si>
  <si>
    <t>Grill</t>
  </si>
  <si>
    <t>Enamel</t>
  </si>
  <si>
    <t>P.U</t>
  </si>
  <si>
    <t>Weight of the shutter</t>
  </si>
  <si>
    <t>Not required</t>
  </si>
  <si>
    <t>Dollar Value in INR</t>
  </si>
  <si>
    <t>Required</t>
  </si>
  <si>
    <t>*Fields marked in Yellow should have some value</t>
  </si>
  <si>
    <t>Freight</t>
  </si>
  <si>
    <t>M S Pipe</t>
  </si>
  <si>
    <t>MS Pipe</t>
  </si>
  <si>
    <t>Machined Shaft</t>
  </si>
  <si>
    <t>Bearings</t>
  </si>
  <si>
    <t>Hardware, acces. &amp; Consumables</t>
  </si>
  <si>
    <t>Labour for Fabrication &amp; Assby</t>
  </si>
  <si>
    <t xml:space="preserve">Subtotal </t>
  </si>
  <si>
    <t>Packing Charges</t>
  </si>
  <si>
    <t>Total Price</t>
  </si>
  <si>
    <t>Hardware</t>
  </si>
  <si>
    <t>Sqm</t>
  </si>
  <si>
    <t>/ No.</t>
  </si>
  <si>
    <t>36 +</t>
  </si>
  <si>
    <t>/Sqm</t>
  </si>
  <si>
    <t>Labour for Fab &amp; Assembly</t>
  </si>
  <si>
    <t xml:space="preserve">Unit </t>
  </si>
  <si>
    <t>Description</t>
  </si>
  <si>
    <t>Rates/Unit</t>
  </si>
  <si>
    <t>Rmeter</t>
  </si>
  <si>
    <t>MM</t>
  </si>
  <si>
    <t>Set</t>
  </si>
  <si>
    <t>SQM</t>
  </si>
  <si>
    <t>Strip Thickness</t>
  </si>
  <si>
    <t xml:space="preserve">Preimer </t>
  </si>
  <si>
    <t xml:space="preserve">Painting </t>
  </si>
  <si>
    <t>Full Perforation</t>
  </si>
  <si>
    <t>Partly Perforation</t>
  </si>
  <si>
    <t>Full Grill</t>
  </si>
  <si>
    <t>Partly Grill</t>
  </si>
  <si>
    <t>Sub Total</t>
  </si>
  <si>
    <t>Wicket Door</t>
  </si>
  <si>
    <t>Locking arrangement</t>
  </si>
  <si>
    <t>0.75 x 1.8</t>
  </si>
  <si>
    <t>1.0 x 2.1</t>
  </si>
  <si>
    <t>0.9 x 1.8</t>
  </si>
  <si>
    <t>Distance charges</t>
  </si>
  <si>
    <t>ADD ONS</t>
  </si>
  <si>
    <t>M.S Brackets.</t>
  </si>
  <si>
    <t>M/C Shaft</t>
  </si>
  <si>
    <t>(Not applicable for Victec motors)</t>
  </si>
  <si>
    <t>Up to</t>
  </si>
  <si>
    <t>/R Mtr</t>
  </si>
  <si>
    <t>Thk</t>
  </si>
  <si>
    <t>wt/no.</t>
  </si>
  <si>
    <t>rate/kg</t>
  </si>
  <si>
    <t>/No.</t>
  </si>
  <si>
    <t>But min.3200</t>
  </si>
  <si>
    <t>But min. 4800</t>
  </si>
  <si>
    <t>But min. 8400</t>
  </si>
  <si>
    <t>Long Distange charges</t>
  </si>
  <si>
    <t>for</t>
  </si>
  <si>
    <t>Above 200 km</t>
  </si>
  <si>
    <t xml:space="preserve">for </t>
  </si>
  <si>
    <t>Above 500 KM</t>
  </si>
  <si>
    <t>Above 500 KM with unknown/not reachable/outskert  /remote location etc……..</t>
  </si>
  <si>
    <t>Kg</t>
  </si>
  <si>
    <t>Rate/Kg</t>
  </si>
  <si>
    <t>Unit</t>
  </si>
  <si>
    <t>/Rmeter</t>
  </si>
  <si>
    <t>75mm x 2.5mmthk</t>
  </si>
  <si>
    <t>100mmx3.0mmthk</t>
  </si>
  <si>
    <t>150mmx3.0mmthk</t>
  </si>
  <si>
    <t>100mm x 10g(with 35x5 angle)</t>
  </si>
  <si>
    <t>100mm x 10g(with 40x5 angle)</t>
  </si>
  <si>
    <t>100mm x 10g(with 50x6 angle)</t>
  </si>
  <si>
    <t>Client Name</t>
  </si>
  <si>
    <t xml:space="preserve">Price /Sqm </t>
  </si>
  <si>
    <t>48+</t>
  </si>
  <si>
    <t>But min. 14400</t>
  </si>
  <si>
    <t>But min. 19200</t>
  </si>
  <si>
    <t>Direct Drive-DFM-170</t>
  </si>
  <si>
    <t>Direct Drive-DFM-250</t>
  </si>
  <si>
    <t>Direct Drive-DFM-350</t>
  </si>
  <si>
    <t>Center Mounted-150</t>
  </si>
  <si>
    <t>Center Mounted-250</t>
  </si>
  <si>
    <t>Direct Drive-DFM-500</t>
  </si>
  <si>
    <t>Direct Drive-DFM-750</t>
  </si>
  <si>
    <t xml:space="preserve">Motors </t>
  </si>
  <si>
    <t>In Direct Drive-KJ600</t>
  </si>
  <si>
    <t>In Direct Drive-KJ800</t>
  </si>
  <si>
    <t>In Direct Drive-KJ1000</t>
  </si>
  <si>
    <t>In Direct Drive-KJ1300</t>
  </si>
  <si>
    <t>INR</t>
  </si>
  <si>
    <t>Custom Duty</t>
  </si>
  <si>
    <t xml:space="preserve">Landing Cost </t>
  </si>
  <si>
    <t>In Direct Drive-KJ1500</t>
  </si>
  <si>
    <t xml:space="preserve">Operation cost </t>
  </si>
  <si>
    <t>Additional Charge (If any)</t>
  </si>
  <si>
    <t>Motor Price</t>
  </si>
  <si>
    <t>Shutter Price</t>
  </si>
  <si>
    <t xml:space="preserve">Total Amount </t>
  </si>
  <si>
    <t>Total Amount Sqm</t>
  </si>
  <si>
    <t>Additional charges</t>
  </si>
  <si>
    <t>Advance Control</t>
  </si>
  <si>
    <t>Basic Price</t>
  </si>
  <si>
    <t>Quick View</t>
  </si>
  <si>
    <t>Motor</t>
  </si>
  <si>
    <t>Accessories</t>
  </si>
  <si>
    <t>Flashing Light</t>
  </si>
  <si>
    <t>Safety Photocell</t>
  </si>
  <si>
    <t>Extra Push Button</t>
  </si>
  <si>
    <t>Key Switch</t>
  </si>
  <si>
    <t>Remote Control with receiver</t>
  </si>
  <si>
    <t>Extra Remote</t>
  </si>
  <si>
    <t>Ele. Safety Edge</t>
  </si>
  <si>
    <t>Price in Rs/Unit</t>
  </si>
  <si>
    <t>Total for Motorised Rolling shutters with Accessories</t>
  </si>
  <si>
    <t>Emergency operatuion by chain for Direct Drive</t>
  </si>
  <si>
    <t>Operation Cost</t>
  </si>
  <si>
    <t>Rubber Safety Edge</t>
  </si>
  <si>
    <t>Sub-Total</t>
  </si>
  <si>
    <t xml:space="preserve">Grand Total </t>
  </si>
  <si>
    <t>PL. Note :- All quoted SS material is natural finish, &amp; without Buffing</t>
  </si>
  <si>
    <t>Total price for Shutter</t>
  </si>
  <si>
    <t xml:space="preserve">Total Price for Motor </t>
  </si>
  <si>
    <t>Around Pune</t>
  </si>
  <si>
    <t>Excise Duty</t>
  </si>
  <si>
    <t>Indirect Drive-German Drive-1500</t>
  </si>
  <si>
    <t>Indirect Drive-German Drive-2200</t>
  </si>
  <si>
    <t>In Direct Drive-KJ2000</t>
  </si>
  <si>
    <t>Torque TA4 RD 1063NM</t>
  </si>
  <si>
    <t>Torque TA 5 RD 1943NM</t>
  </si>
  <si>
    <t>Torque TA 6 RD 3503NM</t>
  </si>
  <si>
    <t>Advance Control- for german drive</t>
  </si>
  <si>
    <t>vision window</t>
  </si>
  <si>
    <t>Sizes (Width)</t>
  </si>
  <si>
    <t>Max no of vision window</t>
  </si>
  <si>
    <t>Vision Window</t>
  </si>
  <si>
    <t>SS 304</t>
  </si>
  <si>
    <t>SS 316</t>
  </si>
  <si>
    <t xml:space="preserve">Slat Material </t>
  </si>
  <si>
    <t xml:space="preserve">Slat Type </t>
  </si>
  <si>
    <t>Weight /meter in Kg</t>
  </si>
  <si>
    <t>U Type Guide</t>
  </si>
  <si>
    <t>Box Type Guide</t>
  </si>
  <si>
    <t>Bottom Profile</t>
  </si>
  <si>
    <t xml:space="preserve">GI brackets </t>
  </si>
  <si>
    <t>MS &amp; GI Bracket</t>
  </si>
  <si>
    <t>S.S Top Cover(0.5 &amp; 0.4 mm thick)</t>
  </si>
  <si>
    <t>Hood Cover 0.5mm</t>
  </si>
  <si>
    <t>Hood Cover 0.4mm</t>
  </si>
  <si>
    <t>Motor Cover - 0.5 mm</t>
  </si>
  <si>
    <t>Motor Cover SS - 0.50mm</t>
  </si>
  <si>
    <t>Per No.</t>
  </si>
  <si>
    <t>Wicket Door Dimension</t>
  </si>
  <si>
    <t>No.</t>
  </si>
  <si>
    <t>Natural Finish</t>
  </si>
  <si>
    <t>Buff Finish</t>
  </si>
  <si>
    <t xml:space="preserve">Interlocking </t>
  </si>
  <si>
    <t>Interlocking 2 Door</t>
  </si>
  <si>
    <t>Interlocking 3 Door</t>
  </si>
  <si>
    <t>Extended Warranty</t>
  </si>
  <si>
    <t>No Of Years</t>
  </si>
  <si>
    <t>1 Year</t>
  </si>
  <si>
    <t>2 Year</t>
  </si>
  <si>
    <t>3 Year</t>
  </si>
  <si>
    <t>4 Year</t>
  </si>
  <si>
    <t>Total for Motorised Rolling shutters</t>
  </si>
  <si>
    <t>Product Category</t>
  </si>
  <si>
    <t>Catogery</t>
  </si>
  <si>
    <t>Industrial</t>
  </si>
  <si>
    <t>Residential</t>
  </si>
  <si>
    <t>Commerical</t>
  </si>
  <si>
    <t>Shutter</t>
  </si>
  <si>
    <t>Control Type</t>
  </si>
  <si>
    <t>Std. Control</t>
  </si>
  <si>
    <t>Model No.</t>
  </si>
  <si>
    <t>Drive Type</t>
  </si>
  <si>
    <t>Direct Drive with Chain Operation</t>
  </si>
  <si>
    <t>Indirect Drive</t>
  </si>
  <si>
    <t>Direct Drive</t>
  </si>
  <si>
    <t>Shutter Lifting Wt. for motor</t>
  </si>
  <si>
    <t>In Direct Drive-KJ3000</t>
  </si>
  <si>
    <t>Code No.</t>
  </si>
  <si>
    <t>Chain Drive for Drive Drive</t>
  </si>
  <si>
    <t>Safety Catch</t>
  </si>
  <si>
    <t>Year -2015-2016</t>
  </si>
  <si>
    <t>MS, GI Galvalum Single Wall Rolling shutter</t>
  </si>
  <si>
    <t>MS</t>
  </si>
  <si>
    <t xml:space="preserve">GI Strips </t>
  </si>
  <si>
    <t>GI</t>
  </si>
  <si>
    <t>Galvalum</t>
  </si>
  <si>
    <t>1)</t>
  </si>
  <si>
    <t>2)</t>
  </si>
  <si>
    <t>Material</t>
  </si>
  <si>
    <t>Thickness</t>
  </si>
  <si>
    <t>0.9mm  MS</t>
  </si>
  <si>
    <t>0.9mm  GI</t>
  </si>
  <si>
    <t>1.00mm MS</t>
  </si>
  <si>
    <t>1.00mm GI</t>
  </si>
  <si>
    <t>1.00mm GAL</t>
  </si>
  <si>
    <t>1.2mm MS</t>
  </si>
  <si>
    <t>1.2mm GI</t>
  </si>
  <si>
    <t>Corrogated 75mm MS</t>
  </si>
  <si>
    <t>Corrogated 75mm GI</t>
  </si>
  <si>
    <t>Corrogated 75mm GAL</t>
  </si>
  <si>
    <t>Corrogated 90mm MS</t>
  </si>
  <si>
    <t>Corrogated 90mm GI</t>
  </si>
  <si>
    <t>Corrogated 90mm GAL</t>
  </si>
  <si>
    <t>Corrogated 115mm MS</t>
  </si>
  <si>
    <t>Corrogated 115mm GI</t>
  </si>
  <si>
    <t>Corrogated 115mm GAL</t>
  </si>
  <si>
    <t>Flat 85mm MS</t>
  </si>
  <si>
    <t>Flat 85mm GI</t>
  </si>
  <si>
    <t>Flat 85mm GAL</t>
  </si>
  <si>
    <t>Profile</t>
  </si>
  <si>
    <t>MS Strips</t>
  </si>
  <si>
    <t>GI Strips</t>
  </si>
  <si>
    <t>Galvalum Strips</t>
  </si>
  <si>
    <t xml:space="preserve">Rate/Kg of MS </t>
  </si>
  <si>
    <t>Rate/Kg of GI</t>
  </si>
  <si>
    <t>Rate/Kg of Galva</t>
  </si>
  <si>
    <t>Slats</t>
  </si>
  <si>
    <t>MS Guide</t>
  </si>
  <si>
    <t>GI Guide</t>
  </si>
  <si>
    <t>Kg/rmrt</t>
  </si>
  <si>
    <t>Guide Rail</t>
  </si>
  <si>
    <t>U Type Guide with Rubber Seal</t>
  </si>
  <si>
    <t>Kg/rmrt u Type guide</t>
  </si>
  <si>
    <t>Kg/rmts for Box Type Guide</t>
  </si>
  <si>
    <t>3)</t>
  </si>
  <si>
    <t>4)</t>
  </si>
  <si>
    <t>5)</t>
  </si>
  <si>
    <t>6)</t>
  </si>
  <si>
    <t>7)</t>
  </si>
  <si>
    <t>MS Bottom Profile</t>
  </si>
  <si>
    <t>GI Bottom Profile</t>
  </si>
  <si>
    <t>MS Rate/Kg</t>
  </si>
  <si>
    <t>GI Rate/Kg</t>
  </si>
  <si>
    <t>8)</t>
  </si>
  <si>
    <t>9)</t>
  </si>
  <si>
    <t>10)</t>
  </si>
  <si>
    <t>MS rate/kg</t>
  </si>
  <si>
    <t>GI rate/kg</t>
  </si>
  <si>
    <t>G.I. Brackets.</t>
  </si>
  <si>
    <t>M.S.Brackets.</t>
  </si>
  <si>
    <t>size</t>
  </si>
  <si>
    <t>11)</t>
  </si>
  <si>
    <t>12)</t>
  </si>
  <si>
    <t>GI Hood Cover</t>
  </si>
  <si>
    <t>Hood Cover 0.9mm</t>
  </si>
  <si>
    <t>Hood Cover 0.8mm</t>
  </si>
  <si>
    <t>Size</t>
  </si>
  <si>
    <t>Wt/ Rmtrs</t>
  </si>
  <si>
    <t>rate / kg for 0.90 mm</t>
  </si>
  <si>
    <t>rate / kg for 0.80 mm</t>
  </si>
  <si>
    <t>13)</t>
  </si>
  <si>
    <t>14)</t>
  </si>
  <si>
    <t>Shutter Cost Break Up</t>
  </si>
  <si>
    <t>Shutter Add on Cost</t>
  </si>
  <si>
    <t>Special Machine Brick Grill</t>
  </si>
  <si>
    <t>Honey Comb Grill</t>
  </si>
  <si>
    <t>rate / sqm</t>
  </si>
  <si>
    <t>Grill Type</t>
  </si>
  <si>
    <t>Grill Pattern</t>
  </si>
  <si>
    <t>Perforation Pattern</t>
  </si>
  <si>
    <t>Brick Grill</t>
  </si>
  <si>
    <t>Painting Type</t>
  </si>
  <si>
    <t>Enamel Paint</t>
  </si>
  <si>
    <t>PU Paint</t>
  </si>
  <si>
    <t>Epoxy Paint</t>
  </si>
  <si>
    <t>Powder Coated</t>
  </si>
  <si>
    <t>Width</t>
  </si>
  <si>
    <t>Height</t>
  </si>
  <si>
    <t>Rate</t>
  </si>
  <si>
    <t>Motor Cost</t>
  </si>
  <si>
    <t>motor</t>
  </si>
  <si>
    <t>Gear Mechansim Charges</t>
  </si>
  <si>
    <t>sqm</t>
  </si>
  <si>
    <t>Need to check with nitesh sir</t>
  </si>
  <si>
    <t>Total WT.</t>
  </si>
  <si>
    <t>75mm x 3.00mmthk</t>
  </si>
  <si>
    <t>Kg/rmtrs</t>
  </si>
  <si>
    <t>Wt. / rmtrs</t>
  </si>
  <si>
    <t>rate / kg</t>
  </si>
  <si>
    <t>MS Pipe inchi</t>
  </si>
  <si>
    <t>need to check</t>
  </si>
  <si>
    <t>Slat required / meter ht</t>
  </si>
  <si>
    <t>Corrogated 88mm MS</t>
  </si>
  <si>
    <t>Corrogated 88mm GI</t>
  </si>
  <si>
    <t>Corrogated 88mm GAL</t>
  </si>
  <si>
    <t>wt./ No.</t>
  </si>
  <si>
    <t>Shutter Lift wt.</t>
  </si>
  <si>
    <t>Wt. for motor</t>
  </si>
  <si>
    <t xml:space="preserve">Wt. /Sqm </t>
  </si>
  <si>
    <t>slat profile for shaft selection</t>
  </si>
  <si>
    <t>for 115</t>
  </si>
  <si>
    <t>for 75</t>
  </si>
  <si>
    <t>w</t>
  </si>
  <si>
    <t>h</t>
  </si>
  <si>
    <t>safety catch consider in project costing</t>
  </si>
  <si>
    <t>Wind Hooks</t>
  </si>
  <si>
    <t>Wind hooks</t>
  </si>
  <si>
    <t>Removeable Guide</t>
  </si>
  <si>
    <t>Removable Guide</t>
  </si>
  <si>
    <t>Extra Push Button - 1 No.</t>
  </si>
  <si>
    <t>Pull Cord Switch - 1 No.</t>
  </si>
  <si>
    <t>Magnetic Loop Detector - 1 No.</t>
  </si>
  <si>
    <t>Remote Cont. with Recver. - 1 No.</t>
  </si>
  <si>
    <t>Extra Remote Control - 1 No.</t>
  </si>
  <si>
    <t>Microwave Radar - 1 No.</t>
  </si>
  <si>
    <t>Magnetic Radar - 1 No.</t>
  </si>
  <si>
    <t>Key Switch - 1  No.</t>
  </si>
  <si>
    <t>Flashing Lamp - 1  No.</t>
  </si>
  <si>
    <t>Flashing Lamp with Alarm - 1  No.</t>
  </si>
  <si>
    <t>Safety Photocell  - 1  No.</t>
  </si>
  <si>
    <t>Wired Safety Edge Sensor - 1  No.</t>
  </si>
  <si>
    <t>Safety Catch - 1  No.</t>
  </si>
  <si>
    <t>Traffic Lamp - 1 No.</t>
  </si>
  <si>
    <t>R/Meter</t>
  </si>
  <si>
    <r>
      <t>Rubber Bottom Seal -</t>
    </r>
    <r>
      <rPr>
        <sz val="10"/>
        <color rgb="FFFF0000"/>
        <rFont val="Arial"/>
        <family val="2"/>
      </rPr>
      <t xml:space="preserve"> (W)</t>
    </r>
  </si>
  <si>
    <t>BOM For Supporting Shutcture</t>
  </si>
  <si>
    <t>Wt/Mtrs</t>
  </si>
  <si>
    <t>Total Wt</t>
  </si>
  <si>
    <t>ISMC -Vertical</t>
  </si>
  <si>
    <t>ISMC- Horizontal</t>
  </si>
  <si>
    <t>ISMC-Vertical Intermediate</t>
  </si>
  <si>
    <t>ISMC-Frame to Roof</t>
  </si>
  <si>
    <t>Foundation plates</t>
  </si>
  <si>
    <t>200*200*8</t>
  </si>
  <si>
    <t>Miscellnous</t>
  </si>
  <si>
    <t>Labour</t>
  </si>
  <si>
    <t>Painting</t>
  </si>
  <si>
    <t>125*65</t>
  </si>
  <si>
    <t>150*75</t>
  </si>
  <si>
    <t>Sub formula</t>
  </si>
  <si>
    <t>Main Formula</t>
  </si>
  <si>
    <t>GI &amp; GI Strips</t>
  </si>
  <si>
    <t>Motor cover</t>
  </si>
  <si>
    <t>wireless Safety edege sensor</t>
  </si>
  <si>
    <t xml:space="preserve">set </t>
  </si>
  <si>
    <t>Rubber in side Guide - Both Side</t>
  </si>
  <si>
    <t>MS Bottom Profile with Angel</t>
  </si>
  <si>
    <t>GI Bottom Profile with Angel</t>
  </si>
  <si>
    <t xml:space="preserve">Strips </t>
  </si>
  <si>
    <t>Weight</t>
  </si>
  <si>
    <t xml:space="preserve">Corrogated 75mm </t>
  </si>
  <si>
    <t>Corrogated 88mm</t>
  </si>
  <si>
    <t>Corrogated 115mm</t>
  </si>
  <si>
    <t xml:space="preserve">Flat 85mm </t>
  </si>
  <si>
    <t>Gal. Strips</t>
  </si>
  <si>
    <t>MS &amp; GI Guide</t>
  </si>
  <si>
    <t>U Type Guide - MS</t>
  </si>
  <si>
    <t>U Type Guide with Rubber Seal - MS</t>
  </si>
  <si>
    <t>Box Type Guide - MS</t>
  </si>
  <si>
    <t>U Type Guide - GI</t>
  </si>
  <si>
    <t>U Type Guide with Rubber Seal - GI</t>
  </si>
  <si>
    <t>Box Type Guide - GI</t>
  </si>
  <si>
    <t>Rate/Rmeter</t>
  </si>
  <si>
    <t>MS Bracket</t>
  </si>
  <si>
    <t>GI Bracket</t>
  </si>
  <si>
    <t>Up to Sqm</t>
  </si>
  <si>
    <t>GI Sheet for Hood Cover</t>
  </si>
  <si>
    <t>Extra cost for Perforation</t>
  </si>
  <si>
    <t>Paiting Charges</t>
  </si>
  <si>
    <t>Model Name</t>
  </si>
  <si>
    <t>Prices in Doller</t>
  </si>
  <si>
    <t>Convert In INR</t>
  </si>
  <si>
    <t>Fright Charges</t>
  </si>
  <si>
    <t>Inventary Charges</t>
  </si>
  <si>
    <t>Motor Prices</t>
  </si>
  <si>
    <t>Total Prices</t>
  </si>
  <si>
    <t>Year -2017-2018</t>
  </si>
  <si>
    <t>Motor price</t>
  </si>
  <si>
    <t>Push Button Box</t>
  </si>
  <si>
    <t>Nice - 1100</t>
  </si>
  <si>
    <t>Nice - 1400</t>
  </si>
  <si>
    <t>Total</t>
  </si>
  <si>
    <t>Chain &amp; Bracket + Sprocket</t>
  </si>
  <si>
    <t>Weight loss</t>
  </si>
  <si>
    <t>Wastage %</t>
  </si>
  <si>
    <t>Price Fluctuation</t>
  </si>
  <si>
    <t>Basic including Transport (Landed)</t>
  </si>
  <si>
    <t>Conversion</t>
  </si>
  <si>
    <t>Total Loading</t>
  </si>
  <si>
    <t>Total Basic Rate.</t>
  </si>
  <si>
    <t>NA For Slat + Grill</t>
  </si>
  <si>
    <t>120mm x 10g(with 35x5 angle)</t>
  </si>
  <si>
    <t>Extra for warrenty / AMC / Repair</t>
  </si>
  <si>
    <t>MS Coil for Slat</t>
  </si>
  <si>
    <t>GI Coil for Slat</t>
  </si>
  <si>
    <t>Gal. Coil for Slat</t>
  </si>
  <si>
    <t>MS Coil for Guide</t>
  </si>
  <si>
    <t>GI Coil for Guide</t>
  </si>
  <si>
    <t>Changes in Costing &amp; Offer</t>
  </si>
  <si>
    <t>Guide Thickness required in 2.00mm, 2.50mm &amp; 3.00mm</t>
  </si>
  <si>
    <t>Wicket Door costing Show extra cost as a Accessories in Offer</t>
  </si>
  <si>
    <t>Motor Cover costing Show extra cost as a Accessories In Offer</t>
  </si>
  <si>
    <t>Hood Cover costing Show extra cost as a Accessories In Offer</t>
  </si>
  <si>
    <t>Remove for Indirect Drive</t>
  </si>
  <si>
    <t>Only for single side &amp; other side only support required.</t>
  </si>
  <si>
    <t>120mm x 10g(with 40x5 angle)</t>
  </si>
  <si>
    <t>120mm x 10g(with 50x6 angle)</t>
  </si>
  <si>
    <t>100 X 75 X 2.00mm</t>
  </si>
  <si>
    <t>100 X 75 X 2.50mm</t>
  </si>
  <si>
    <t>100 X 75 X 3.00mm</t>
  </si>
  <si>
    <t>Rubber sealing for side Guide</t>
  </si>
  <si>
    <t>Hood Cover</t>
  </si>
  <si>
    <t>1.0 x 1.80</t>
  </si>
  <si>
    <t>Hood Cover 0.7mm</t>
  </si>
  <si>
    <t>Direct Drive-RDF-380</t>
  </si>
  <si>
    <t>Direct Drive-RDF-550</t>
  </si>
  <si>
    <t>Direct drive German Drive-1500 Converted to ID</t>
  </si>
  <si>
    <t>Direct drive  German Drive-2200 Converted to ID</t>
  </si>
  <si>
    <t>Full Primer</t>
  </si>
  <si>
    <t>Semi Primer</t>
  </si>
  <si>
    <t>Aluminum Bottom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</si>
</sst>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[$€-2]\ #,##0.00"/>
    <numFmt numFmtId="166" formatCode="[$INR]\ #,##0.00"/>
    <numFmt numFmtId="167" formatCode="#,##0.000"/>
    <numFmt numFmtId="168" formatCode="0.000"/>
    <numFmt numFmtId="169" formatCode="[$INR]\ #,##0.000000"/>
    <numFmt numFmtId="170" formatCode="\ \ \ "/>
  </numFmts>
  <fonts count="4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8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sz val="10"/>
      <color indexed="9"/>
      <name val="Verdana"/>
      <family val="2"/>
    </font>
    <font>
      <b/>
      <u/>
      <sz val="9"/>
      <name val="Verdana"/>
      <family val="2"/>
    </font>
    <font>
      <sz val="9"/>
      <name val="Verdana"/>
      <family val="2"/>
    </font>
    <font>
      <sz val="12"/>
      <name val="Arial"/>
      <family val="2"/>
    </font>
    <font>
      <b/>
      <sz val="10"/>
      <color indexed="10"/>
      <name val="Verdana"/>
      <family val="2"/>
    </font>
    <font>
      <b/>
      <u/>
      <sz val="12"/>
      <color indexed="10"/>
      <name val="Verdana"/>
      <family val="2"/>
    </font>
    <font>
      <sz val="10"/>
      <color indexed="63"/>
      <name val="Verdana"/>
      <family val="2"/>
    </font>
    <font>
      <sz val="11"/>
      <color indexed="10"/>
      <name val="Calibri"/>
      <family val="2"/>
    </font>
    <font>
      <b/>
      <sz val="10"/>
      <color indexed="8"/>
      <name val="Verdana"/>
      <family val="2"/>
    </font>
    <font>
      <sz val="10"/>
      <color indexed="8"/>
      <name val="Verdana"/>
      <family val="2"/>
    </font>
    <font>
      <sz val="10"/>
      <name val="Arial"/>
      <family val="2"/>
    </font>
    <font>
      <sz val="10"/>
      <color indexed="10"/>
      <name val="Calibri"/>
      <family val="2"/>
    </font>
    <font>
      <sz val="10"/>
      <name val="Arial"/>
      <family val="2"/>
    </font>
    <font>
      <sz val="10"/>
      <color indexed="22"/>
      <name val="Verdana"/>
      <family val="2"/>
    </font>
    <font>
      <b/>
      <sz val="11"/>
      <color indexed="8"/>
      <name val="Verdana"/>
      <family val="2"/>
    </font>
    <font>
      <b/>
      <sz val="10"/>
      <color rgb="FFFF0000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1"/>
      <color theme="5"/>
      <name val="Calibri"/>
      <family val="2"/>
      <scheme val="minor"/>
    </font>
    <font>
      <b/>
      <u/>
      <sz val="9"/>
      <color rgb="FFFF0000"/>
      <name val="Verdana"/>
      <family val="2"/>
    </font>
    <font>
      <b/>
      <sz val="12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name val="Verdana"/>
      <family val="2"/>
    </font>
    <font>
      <sz val="10"/>
      <color rgb="FFFF0000"/>
      <name val="Verdana"/>
      <family val="2"/>
    </font>
    <font>
      <sz val="10"/>
      <color indexed="10"/>
      <name val="Verdana"/>
      <family val="2"/>
    </font>
    <font>
      <b/>
      <sz val="12"/>
      <color theme="1"/>
      <name val="Calibri"/>
      <family val="2"/>
      <scheme val="minor"/>
    </font>
    <font>
      <sz val="10"/>
      <color rgb="FFFF000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164" fontId="7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46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</cellStyleXfs>
  <cellXfs count="798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2" borderId="1" xfId="0" applyFont="1" applyFill="1" applyBorder="1" applyAlignment="1" applyProtection="1">
      <alignment horizontal="center"/>
      <protection locked="0"/>
    </xf>
    <xf numFmtId="2" fontId="4" fillId="0" borderId="1" xfId="0" applyNumberFormat="1" applyFont="1" applyFill="1" applyBorder="1" applyAlignment="1" applyProtection="1">
      <alignment horizontal="center"/>
      <protection hidden="1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5" fontId="4" fillId="2" borderId="1" xfId="0" applyNumberFormat="1" applyFont="1" applyFill="1" applyBorder="1" applyAlignment="1" applyProtection="1">
      <alignment horizont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6" fillId="0" borderId="1" xfId="0" applyFont="1" applyBorder="1"/>
    <xf numFmtId="0" fontId="10" fillId="0" borderId="0" xfId="0" applyFont="1"/>
    <xf numFmtId="2" fontId="4" fillId="0" borderId="1" xfId="0" applyNumberFormat="1" applyFont="1" applyBorder="1" applyAlignment="1" applyProtection="1">
      <alignment horizontal="center"/>
      <protection hidden="1"/>
    </xf>
    <xf numFmtId="0" fontId="10" fillId="0" borderId="0" xfId="0" applyFont="1" applyAlignment="1">
      <alignment horizontal="center"/>
    </xf>
    <xf numFmtId="166" fontId="4" fillId="0" borderId="1" xfId="0" applyNumberFormat="1" applyFont="1" applyBorder="1" applyAlignment="1" applyProtection="1">
      <alignment horizontal="center"/>
      <protection hidden="1"/>
    </xf>
    <xf numFmtId="0" fontId="4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5" xfId="0" applyFont="1" applyBorder="1" applyAlignment="1">
      <alignment horizontal="left"/>
    </xf>
    <xf numFmtId="0" fontId="12" fillId="3" borderId="6" xfId="0" applyFont="1" applyFill="1" applyBorder="1"/>
    <xf numFmtId="0" fontId="4" fillId="0" borderId="5" xfId="0" applyFont="1" applyBorder="1"/>
    <xf numFmtId="0" fontId="12" fillId="0" borderId="1" xfId="0" applyFont="1" applyBorder="1"/>
    <xf numFmtId="0" fontId="4" fillId="0" borderId="8" xfId="0" applyFont="1" applyBorder="1" applyAlignment="1" applyProtection="1">
      <alignment horizontal="center"/>
      <protection hidden="1"/>
    </xf>
    <xf numFmtId="2" fontId="4" fillId="0" borderId="9" xfId="0" applyNumberFormat="1" applyFont="1" applyBorder="1" applyAlignment="1" applyProtection="1">
      <alignment horizontal="center"/>
      <protection hidden="1"/>
    </xf>
    <xf numFmtId="2" fontId="14" fillId="0" borderId="1" xfId="0" applyNumberFormat="1" applyFont="1" applyFill="1" applyBorder="1" applyAlignment="1" applyProtection="1">
      <alignment horizontal="center"/>
      <protection hidden="1"/>
    </xf>
    <xf numFmtId="0" fontId="6" fillId="0" borderId="10" xfId="0" applyFont="1" applyBorder="1"/>
    <xf numFmtId="9" fontId="4" fillId="0" borderId="1" xfId="0" applyNumberFormat="1" applyFont="1" applyFill="1" applyBorder="1" applyAlignment="1" applyProtection="1">
      <alignment horizontal="center"/>
      <protection hidden="1"/>
    </xf>
    <xf numFmtId="166" fontId="4" fillId="0" borderId="1" xfId="0" applyNumberFormat="1" applyFont="1" applyFill="1" applyBorder="1" applyAlignment="1" applyProtection="1">
      <alignment horizontal="center"/>
      <protection hidden="1"/>
    </xf>
    <xf numFmtId="0" fontId="0" fillId="0" borderId="11" xfId="0" applyBorder="1"/>
    <xf numFmtId="0" fontId="0" fillId="0" borderId="7" xfId="0" applyBorder="1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4" fillId="0" borderId="12" xfId="0" applyFont="1" applyBorder="1"/>
    <xf numFmtId="0" fontId="0" fillId="4" borderId="7" xfId="0" applyFill="1" applyBorder="1"/>
    <xf numFmtId="0" fontId="4" fillId="0" borderId="14" xfId="0" applyFont="1" applyBorder="1" applyAlignment="1" applyProtection="1">
      <alignment horizontal="center"/>
      <protection hidden="1"/>
    </xf>
    <xf numFmtId="166" fontId="4" fillId="0" borderId="15" xfId="0" applyNumberFormat="1" applyFont="1" applyBorder="1" applyProtection="1">
      <protection hidden="1"/>
    </xf>
    <xf numFmtId="0" fontId="4" fillId="0" borderId="14" xfId="0" applyFont="1" applyFill="1" applyBorder="1" applyAlignment="1" applyProtection="1">
      <alignment horizontal="center"/>
      <protection hidden="1"/>
    </xf>
    <xf numFmtId="166" fontId="4" fillId="0" borderId="0" xfId="0" applyNumberFormat="1" applyFont="1" applyBorder="1"/>
    <xf numFmtId="166" fontId="4" fillId="0" borderId="3" xfId="0" applyNumberFormat="1" applyFont="1" applyBorder="1"/>
    <xf numFmtId="166" fontId="4" fillId="0" borderId="0" xfId="0" applyNumberFormat="1" applyFont="1"/>
    <xf numFmtId="0" fontId="7" fillId="0" borderId="7" xfId="0" applyFont="1" applyBorder="1" applyAlignment="1">
      <alignment horizontal="left"/>
    </xf>
    <xf numFmtId="0" fontId="7" fillId="0" borderId="0" xfId="0" applyFont="1" applyBorder="1"/>
    <xf numFmtId="0" fontId="7" fillId="0" borderId="2" xfId="0" applyFont="1" applyBorder="1"/>
    <xf numFmtId="0" fontId="18" fillId="0" borderId="11" xfId="0" applyFont="1" applyBorder="1"/>
    <xf numFmtId="0" fontId="18" fillId="0" borderId="4" xfId="0" applyFont="1" applyBorder="1"/>
    <xf numFmtId="0" fontId="20" fillId="0" borderId="0" xfId="0" applyFont="1" applyBorder="1"/>
    <xf numFmtId="0" fontId="20" fillId="0" borderId="2" xfId="0" applyFont="1" applyBorder="1"/>
    <xf numFmtId="0" fontId="20" fillId="4" borderId="5" xfId="0" applyFont="1" applyFill="1" applyBorder="1" applyAlignment="1"/>
    <xf numFmtId="0" fontId="20" fillId="0" borderId="3" xfId="0" applyFont="1" applyBorder="1" applyAlignment="1">
      <alignment horizontal="right"/>
    </xf>
    <xf numFmtId="0" fontId="20" fillId="0" borderId="12" xfId="0" applyFont="1" applyBorder="1"/>
    <xf numFmtId="0" fontId="21" fillId="0" borderId="0" xfId="0" applyFont="1"/>
    <xf numFmtId="2" fontId="4" fillId="0" borderId="0" xfId="0" applyNumberFormat="1" applyFont="1" applyFill="1" applyBorder="1" applyAlignment="1" applyProtection="1">
      <alignment horizontal="center"/>
      <protection hidden="1"/>
    </xf>
    <xf numFmtId="0" fontId="4" fillId="0" borderId="16" xfId="0" applyFont="1" applyFill="1" applyBorder="1" applyAlignment="1" applyProtection="1">
      <alignment horizontal="center"/>
      <protection hidden="1"/>
    </xf>
    <xf numFmtId="0" fontId="4" fillId="0" borderId="17" xfId="0" applyFont="1" applyFill="1" applyBorder="1" applyAlignment="1" applyProtection="1">
      <alignment horizontal="center"/>
      <protection hidden="1"/>
    </xf>
    <xf numFmtId="0" fontId="6" fillId="0" borderId="14" xfId="0" applyFont="1" applyBorder="1" applyAlignment="1" applyProtection="1">
      <alignment horizontal="center"/>
      <protection hidden="1"/>
    </xf>
    <xf numFmtId="2" fontId="4" fillId="2" borderId="1" xfId="0" applyNumberFormat="1" applyFont="1" applyFill="1" applyBorder="1" applyAlignment="1" applyProtection="1">
      <alignment horizontal="center"/>
      <protection locked="0" hidden="1"/>
    </xf>
    <xf numFmtId="166" fontId="4" fillId="0" borderId="18" xfId="0" applyNumberFormat="1" applyFont="1" applyFill="1" applyBorder="1" applyAlignment="1" applyProtection="1">
      <alignment horizontal="center"/>
      <protection hidden="1"/>
    </xf>
    <xf numFmtId="4" fontId="4" fillId="0" borderId="1" xfId="0" applyNumberFormat="1" applyFont="1" applyBorder="1" applyAlignment="1" applyProtection="1">
      <alignment horizontal="center"/>
      <protection hidden="1"/>
    </xf>
    <xf numFmtId="166" fontId="4" fillId="0" borderId="14" xfId="0" applyNumberFormat="1" applyFont="1" applyFill="1" applyBorder="1" applyAlignment="1" applyProtection="1">
      <alignment horizontal="center"/>
      <protection hidden="1"/>
    </xf>
    <xf numFmtId="0" fontId="4" fillId="0" borderId="14" xfId="0" applyFont="1" applyBorder="1"/>
    <xf numFmtId="166" fontId="6" fillId="0" borderId="14" xfId="0" applyNumberFormat="1" applyFont="1" applyFill="1" applyBorder="1" applyAlignment="1" applyProtection="1">
      <alignment horizontal="center"/>
      <protection hidden="1"/>
    </xf>
    <xf numFmtId="0" fontId="6" fillId="5" borderId="19" xfId="0" applyFont="1" applyFill="1" applyBorder="1" applyAlignment="1" applyProtection="1">
      <alignment horizontal="center"/>
      <protection hidden="1"/>
    </xf>
    <xf numFmtId="0" fontId="6" fillId="5" borderId="20" xfId="0" applyFont="1" applyFill="1" applyBorder="1" applyAlignment="1" applyProtection="1">
      <alignment horizontal="center"/>
      <protection hidden="1"/>
    </xf>
    <xf numFmtId="0" fontId="6" fillId="5" borderId="21" xfId="0" applyFont="1" applyFill="1" applyBorder="1" applyAlignment="1" applyProtection="1">
      <alignment horizontal="center"/>
      <protection hidden="1"/>
    </xf>
    <xf numFmtId="0" fontId="6" fillId="5" borderId="14" xfId="0" applyFont="1" applyFill="1" applyBorder="1" applyAlignment="1" applyProtection="1">
      <alignment horizontal="center"/>
      <protection hidden="1"/>
    </xf>
    <xf numFmtId="166" fontId="4" fillId="5" borderId="1" xfId="0" applyNumberFormat="1" applyFont="1" applyFill="1" applyBorder="1" applyAlignment="1" applyProtection="1">
      <alignment horizontal="right"/>
      <protection hidden="1"/>
    </xf>
    <xf numFmtId="166" fontId="4" fillId="5" borderId="15" xfId="0" applyNumberFormat="1" applyFont="1" applyFill="1" applyBorder="1" applyAlignment="1" applyProtection="1">
      <alignment horizontal="right"/>
      <protection hidden="1"/>
    </xf>
    <xf numFmtId="0" fontId="4" fillId="5" borderId="14" xfId="0" applyFont="1" applyFill="1" applyBorder="1" applyAlignment="1" applyProtection="1">
      <alignment horizontal="center"/>
      <protection hidden="1"/>
    </xf>
    <xf numFmtId="166" fontId="4" fillId="5" borderId="14" xfId="0" applyNumberFormat="1" applyFont="1" applyFill="1" applyBorder="1" applyAlignment="1" applyProtection="1">
      <alignment horizontal="center"/>
      <protection hidden="1"/>
    </xf>
    <xf numFmtId="4" fontId="6" fillId="5" borderId="1" xfId="0" applyNumberFormat="1" applyFont="1" applyFill="1" applyBorder="1" applyAlignment="1" applyProtection="1">
      <alignment horizontal="center"/>
      <protection hidden="1"/>
    </xf>
    <xf numFmtId="166" fontId="6" fillId="5" borderId="15" xfId="0" applyNumberFormat="1" applyFont="1" applyFill="1" applyBorder="1" applyAlignment="1" applyProtection="1">
      <alignment horizontal="center"/>
      <protection hidden="1"/>
    </xf>
    <xf numFmtId="165" fontId="6" fillId="2" borderId="1" xfId="0" applyNumberFormat="1" applyFont="1" applyFill="1" applyBorder="1" applyAlignment="1" applyProtection="1">
      <alignment horizontal="center"/>
      <protection locked="0"/>
    </xf>
    <xf numFmtId="166" fontId="4" fillId="0" borderId="22" xfId="0" applyNumberFormat="1" applyFont="1" applyFill="1" applyBorder="1" applyAlignment="1" applyProtection="1">
      <alignment horizontal="center"/>
      <protection hidden="1"/>
    </xf>
    <xf numFmtId="0" fontId="4" fillId="0" borderId="0" xfId="0" applyFont="1" applyFill="1"/>
    <xf numFmtId="0" fontId="6" fillId="6" borderId="20" xfId="0" applyFont="1" applyFill="1" applyBorder="1" applyAlignment="1" applyProtection="1">
      <alignment horizontal="center"/>
      <protection hidden="1"/>
    </xf>
    <xf numFmtId="166" fontId="4" fillId="6" borderId="23" xfId="0" applyNumberFormat="1" applyFont="1" applyFill="1" applyBorder="1" applyAlignment="1" applyProtection="1">
      <alignment horizontal="center"/>
      <protection hidden="1"/>
    </xf>
    <xf numFmtId="0" fontId="6" fillId="6" borderId="24" xfId="0" applyFont="1" applyFill="1" applyBorder="1" applyAlignment="1" applyProtection="1">
      <alignment horizontal="center"/>
      <protection hidden="1"/>
    </xf>
    <xf numFmtId="2" fontId="6" fillId="2" borderId="1" xfId="0" applyNumberFormat="1" applyFont="1" applyFill="1" applyBorder="1" applyAlignment="1" applyProtection="1">
      <alignment horizontal="center"/>
      <protection locked="0" hidden="1"/>
    </xf>
    <xf numFmtId="0" fontId="4" fillId="0" borderId="14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165" fontId="4" fillId="2" borderId="26" xfId="0" applyNumberFormat="1" applyFont="1" applyFill="1" applyBorder="1" applyAlignment="1" applyProtection="1">
      <alignment horizontal="center"/>
      <protection locked="0"/>
    </xf>
    <xf numFmtId="2" fontId="4" fillId="0" borderId="26" xfId="0" applyNumberFormat="1" applyFont="1" applyFill="1" applyBorder="1" applyAlignment="1" applyProtection="1">
      <alignment horizontal="center"/>
      <protection hidden="1"/>
    </xf>
    <xf numFmtId="0" fontId="22" fillId="6" borderId="27" xfId="0" applyFont="1" applyFill="1" applyBorder="1" applyAlignment="1" applyProtection="1">
      <protection hidden="1"/>
    </xf>
    <xf numFmtId="0" fontId="4" fillId="0" borderId="28" xfId="0" applyFont="1" applyBorder="1" applyAlignment="1">
      <alignment horizontal="center" wrapText="1"/>
    </xf>
    <xf numFmtId="166" fontId="4" fillId="0" borderId="0" xfId="0" applyNumberFormat="1" applyFont="1" applyBorder="1" applyProtection="1">
      <protection hidden="1"/>
    </xf>
    <xf numFmtId="166" fontId="6" fillId="5" borderId="1" xfId="0" applyNumberFormat="1" applyFont="1" applyFill="1" applyBorder="1" applyAlignment="1" applyProtection="1">
      <alignment horizontal="right"/>
      <protection hidden="1"/>
    </xf>
    <xf numFmtId="0" fontId="6" fillId="2" borderId="8" xfId="0" applyFont="1" applyFill="1" applyBorder="1" applyAlignment="1" applyProtection="1">
      <alignment horizontal="center" wrapText="1"/>
      <protection locked="0"/>
    </xf>
    <xf numFmtId="0" fontId="4" fillId="2" borderId="8" xfId="0" applyFont="1" applyFill="1" applyBorder="1" applyAlignment="1" applyProtection="1">
      <alignment horizontal="center"/>
      <protection locked="0"/>
    </xf>
    <xf numFmtId="2" fontId="4" fillId="2" borderId="8" xfId="0" applyNumberFormat="1" applyFont="1" applyFill="1" applyBorder="1" applyAlignment="1" applyProtection="1">
      <alignment horizontal="center"/>
      <protection locked="0"/>
    </xf>
    <xf numFmtId="2" fontId="4" fillId="0" borderId="8" xfId="0" applyNumberFormat="1" applyFont="1" applyFill="1" applyBorder="1" applyAlignment="1" applyProtection="1">
      <alignment horizontal="center"/>
      <protection hidden="1"/>
    </xf>
    <xf numFmtId="166" fontId="6" fillId="5" borderId="14" xfId="0" applyNumberFormat="1" applyFont="1" applyFill="1" applyBorder="1" applyAlignment="1" applyProtection="1">
      <alignment horizontal="center"/>
      <protection hidden="1"/>
    </xf>
    <xf numFmtId="166" fontId="6" fillId="5" borderId="15" xfId="0" applyNumberFormat="1" applyFont="1" applyFill="1" applyBorder="1" applyAlignment="1" applyProtection="1">
      <alignment horizontal="right"/>
      <protection hidden="1"/>
    </xf>
    <xf numFmtId="0" fontId="4" fillId="0" borderId="16" xfId="0" applyFont="1" applyBorder="1" applyAlignment="1">
      <alignment horizontal="center"/>
    </xf>
    <xf numFmtId="0" fontId="4" fillId="0" borderId="9" xfId="0" applyFont="1" applyBorder="1"/>
    <xf numFmtId="166" fontId="4" fillId="0" borderId="9" xfId="0" applyNumberFormat="1" applyFont="1" applyBorder="1"/>
    <xf numFmtId="0" fontId="4" fillId="0" borderId="29" xfId="0" applyFont="1" applyBorder="1"/>
    <xf numFmtId="0" fontId="6" fillId="7" borderId="25" xfId="0" applyFont="1" applyFill="1" applyBorder="1" applyAlignment="1">
      <alignment horizontal="center"/>
    </xf>
    <xf numFmtId="0" fontId="6" fillId="7" borderId="30" xfId="0" applyFont="1" applyFill="1" applyBorder="1"/>
    <xf numFmtId="166" fontId="6" fillId="7" borderId="6" xfId="0" applyNumberFormat="1" applyFont="1" applyFill="1" applyBorder="1"/>
    <xf numFmtId="0" fontId="6" fillId="7" borderId="31" xfId="0" applyFont="1" applyFill="1" applyBorder="1"/>
    <xf numFmtId="14" fontId="4" fillId="0" borderId="8" xfId="0" applyNumberFormat="1" applyFont="1" applyBorder="1" applyAlignment="1" applyProtection="1">
      <alignment horizontal="center"/>
      <protection hidden="1"/>
    </xf>
    <xf numFmtId="0" fontId="4" fillId="0" borderId="15" xfId="0" applyFont="1" applyBorder="1"/>
    <xf numFmtId="0" fontId="6" fillId="2" borderId="1" xfId="0" applyFont="1" applyFill="1" applyBorder="1" applyAlignment="1" applyProtection="1">
      <alignment horizontal="center"/>
      <protection locked="0"/>
    </xf>
    <xf numFmtId="166" fontId="4" fillId="0" borderId="0" xfId="0" applyNumberFormat="1" applyFont="1" applyFill="1" applyBorder="1" applyProtection="1">
      <protection hidden="1"/>
    </xf>
    <xf numFmtId="0" fontId="7" fillId="0" borderId="11" xfId="0" applyFont="1" applyFill="1" applyBorder="1" applyProtection="1">
      <protection hidden="1"/>
    </xf>
    <xf numFmtId="0" fontId="7" fillId="0" borderId="4" xfId="0" applyFont="1" applyFill="1" applyBorder="1" applyProtection="1">
      <protection hidden="1"/>
    </xf>
    <xf numFmtId="0" fontId="7" fillId="0" borderId="5" xfId="0" applyFont="1" applyFill="1" applyBorder="1" applyProtection="1">
      <protection hidden="1"/>
    </xf>
    <xf numFmtId="0" fontId="7" fillId="0" borderId="12" xfId="0" applyFont="1" applyFill="1" applyBorder="1" applyProtection="1">
      <protection hidden="1"/>
    </xf>
    <xf numFmtId="0" fontId="7" fillId="0" borderId="7" xfId="0" applyFont="1" applyFill="1" applyBorder="1" applyProtection="1">
      <protection hidden="1"/>
    </xf>
    <xf numFmtId="0" fontId="7" fillId="0" borderId="0" xfId="0" applyFont="1" applyFill="1" applyBorder="1" applyProtection="1">
      <protection hidden="1"/>
    </xf>
    <xf numFmtId="0" fontId="7" fillId="0" borderId="3" xfId="0" applyFont="1" applyFill="1" applyBorder="1" applyProtection="1">
      <protection hidden="1"/>
    </xf>
    <xf numFmtId="0" fontId="4" fillId="0" borderId="3" xfId="0" applyFont="1" applyFill="1" applyBorder="1" applyProtection="1">
      <protection hidden="1"/>
    </xf>
    <xf numFmtId="9" fontId="7" fillId="0" borderId="0" xfId="0" applyNumberFormat="1" applyFont="1" applyFill="1" applyBorder="1" applyProtection="1">
      <protection hidden="1"/>
    </xf>
    <xf numFmtId="0" fontId="7" fillId="0" borderId="2" xfId="0" applyFont="1" applyFill="1" applyBorder="1" applyProtection="1">
      <protection hidden="1"/>
    </xf>
    <xf numFmtId="0" fontId="4" fillId="0" borderId="7" xfId="0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0" fontId="4" fillId="0" borderId="2" xfId="0" applyFont="1" applyFill="1" applyBorder="1" applyProtection="1">
      <protection hidden="1"/>
    </xf>
    <xf numFmtId="0" fontId="4" fillId="0" borderId="5" xfId="0" applyFont="1" applyFill="1" applyBorder="1" applyProtection="1">
      <protection hidden="1"/>
    </xf>
    <xf numFmtId="0" fontId="4" fillId="0" borderId="12" xfId="0" applyFont="1" applyFill="1" applyBorder="1" applyProtection="1">
      <protection hidden="1"/>
    </xf>
    <xf numFmtId="0" fontId="7" fillId="0" borderId="0" xfId="0" applyFont="1" applyFill="1" applyBorder="1" applyAlignment="1" applyProtection="1">
      <alignment horizontal="right"/>
      <protection hidden="1"/>
    </xf>
    <xf numFmtId="0" fontId="7" fillId="0" borderId="3" xfId="0" applyFont="1" applyFill="1" applyBorder="1" applyAlignment="1" applyProtection="1">
      <alignment horizontal="right"/>
      <protection hidden="1"/>
    </xf>
    <xf numFmtId="0" fontId="4" fillId="0" borderId="3" xfId="0" applyFont="1" applyFill="1" applyBorder="1" applyAlignment="1" applyProtection="1">
      <alignment horizontal="right"/>
      <protection hidden="1"/>
    </xf>
    <xf numFmtId="9" fontId="7" fillId="0" borderId="11" xfId="0" applyNumberFormat="1" applyFont="1" applyFill="1" applyBorder="1" applyProtection="1">
      <protection hidden="1"/>
    </xf>
    <xf numFmtId="0" fontId="4" fillId="0" borderId="7" xfId="0" applyFont="1" applyBorder="1" applyAlignment="1">
      <alignment horizontal="left"/>
    </xf>
    <xf numFmtId="0" fontId="20" fillId="0" borderId="0" xfId="0" applyFont="1" applyBorder="1" applyAlignment="1">
      <alignment horizontal="right"/>
    </xf>
    <xf numFmtId="0" fontId="20" fillId="4" borderId="7" xfId="0" applyFont="1" applyFill="1" applyBorder="1" applyAlignment="1"/>
    <xf numFmtId="0" fontId="7" fillId="0" borderId="3" xfId="0" applyFont="1" applyFill="1" applyBorder="1"/>
    <xf numFmtId="0" fontId="0" fillId="0" borderId="0" xfId="0" applyBorder="1" applyAlignment="1">
      <alignment horizontal="right"/>
    </xf>
    <xf numFmtId="0" fontId="23" fillId="0" borderId="0" xfId="0" applyFont="1"/>
    <xf numFmtId="0" fontId="4" fillId="0" borderId="4" xfId="0" applyFont="1" applyFill="1" applyBorder="1"/>
    <xf numFmtId="0" fontId="4" fillId="0" borderId="11" xfId="0" applyFont="1" applyFill="1" applyBorder="1"/>
    <xf numFmtId="0" fontId="6" fillId="0" borderId="16" xfId="0" applyFont="1" applyBorder="1" applyAlignment="1" applyProtection="1">
      <alignment horizontal="center"/>
      <protection hidden="1"/>
    </xf>
    <xf numFmtId="166" fontId="4" fillId="0" borderId="10" xfId="0" applyNumberFormat="1" applyFont="1" applyBorder="1" applyAlignment="1" applyProtection="1">
      <alignment horizontal="center"/>
      <protection hidden="1"/>
    </xf>
    <xf numFmtId="0" fontId="4" fillId="0" borderId="17" xfId="0" applyFont="1" applyBorder="1" applyAlignment="1" applyProtection="1">
      <alignment horizontal="center"/>
      <protection hidden="1"/>
    </xf>
    <xf numFmtId="2" fontId="4" fillId="0" borderId="13" xfId="0" applyNumberFormat="1" applyFont="1" applyBorder="1" applyAlignment="1" applyProtection="1">
      <alignment horizontal="center"/>
      <protection hidden="1"/>
    </xf>
    <xf numFmtId="0" fontId="16" fillId="6" borderId="25" xfId="0" applyFont="1" applyFill="1" applyBorder="1" applyAlignment="1" applyProtection="1">
      <protection hidden="1"/>
    </xf>
    <xf numFmtId="0" fontId="16" fillId="6" borderId="30" xfId="0" applyFont="1" applyFill="1" applyBorder="1" applyAlignment="1" applyProtection="1">
      <protection hidden="1"/>
    </xf>
    <xf numFmtId="0" fontId="6" fillId="0" borderId="16" xfId="0" applyFont="1" applyBorder="1" applyAlignment="1">
      <alignment horizontal="center"/>
    </xf>
    <xf numFmtId="0" fontId="6" fillId="6" borderId="25" xfId="0" applyFont="1" applyFill="1" applyBorder="1"/>
    <xf numFmtId="0" fontId="6" fillId="6" borderId="30" xfId="0" applyFont="1" applyFill="1" applyBorder="1"/>
    <xf numFmtId="0" fontId="4" fillId="6" borderId="9" xfId="0" applyFont="1" applyFill="1" applyBorder="1"/>
    <xf numFmtId="0" fontId="4" fillId="6" borderId="10" xfId="0" applyFont="1" applyFill="1" applyBorder="1"/>
    <xf numFmtId="0" fontId="6" fillId="6" borderId="16" xfId="0" applyFont="1" applyFill="1" applyBorder="1" applyAlignment="1" applyProtection="1">
      <alignment horizontal="center"/>
      <protection hidden="1"/>
    </xf>
    <xf numFmtId="0" fontId="6" fillId="6" borderId="33" xfId="0" applyFont="1" applyFill="1" applyBorder="1" applyAlignment="1">
      <alignment horizontal="center"/>
    </xf>
    <xf numFmtId="0" fontId="6" fillId="6" borderId="34" xfId="0" applyFont="1" applyFill="1" applyBorder="1" applyAlignment="1">
      <alignment horizontal="center"/>
    </xf>
    <xf numFmtId="166" fontId="6" fillId="0" borderId="16" xfId="0" applyNumberFormat="1" applyFont="1" applyFill="1" applyBorder="1" applyAlignment="1" applyProtection="1">
      <alignment horizontal="center"/>
      <protection hidden="1"/>
    </xf>
    <xf numFmtId="166" fontId="6" fillId="0" borderId="9" xfId="0" applyNumberFormat="1" applyFont="1" applyFill="1" applyBorder="1" applyProtection="1">
      <protection hidden="1"/>
    </xf>
    <xf numFmtId="0" fontId="6" fillId="2" borderId="9" xfId="0" applyFont="1" applyFill="1" applyBorder="1" applyAlignment="1" applyProtection="1">
      <alignment horizontal="center"/>
      <protection locked="0"/>
    </xf>
    <xf numFmtId="166" fontId="4" fillId="0" borderId="35" xfId="0" applyNumberFormat="1" applyFont="1" applyFill="1" applyBorder="1" applyAlignment="1" applyProtection="1">
      <alignment horizontal="center"/>
      <protection hidden="1"/>
    </xf>
    <xf numFmtId="0" fontId="6" fillId="6" borderId="17" xfId="0" applyFont="1" applyFill="1" applyBorder="1" applyAlignment="1" applyProtection="1">
      <alignment horizontal="center"/>
      <protection hidden="1"/>
    </xf>
    <xf numFmtId="2" fontId="4" fillId="6" borderId="13" xfId="0" applyNumberFormat="1" applyFont="1" applyFill="1" applyBorder="1" applyAlignment="1" applyProtection="1">
      <alignment horizontal="center"/>
      <protection hidden="1"/>
    </xf>
    <xf numFmtId="166" fontId="4" fillId="6" borderId="32" xfId="0" applyNumberFormat="1" applyFont="1" applyFill="1" applyBorder="1" applyAlignment="1" applyProtection="1">
      <alignment horizontal="center"/>
      <protection hidden="1"/>
    </xf>
    <xf numFmtId="0" fontId="4" fillId="0" borderId="38" xfId="0" applyFont="1" applyBorder="1"/>
    <xf numFmtId="0" fontId="4" fillId="0" borderId="15" xfId="0" applyFont="1" applyFill="1" applyBorder="1"/>
    <xf numFmtId="0" fontId="4" fillId="0" borderId="35" xfId="0" applyFont="1" applyBorder="1"/>
    <xf numFmtId="0" fontId="6" fillId="6" borderId="25" xfId="0" applyFont="1" applyFill="1" applyBorder="1" applyAlignment="1" applyProtection="1">
      <alignment horizontal="center"/>
      <protection hidden="1"/>
    </xf>
    <xf numFmtId="0" fontId="6" fillId="6" borderId="30" xfId="0" applyFont="1" applyFill="1" applyBorder="1" applyAlignment="1" applyProtection="1">
      <alignment horizontal="center"/>
      <protection hidden="1"/>
    </xf>
    <xf numFmtId="0" fontId="6" fillId="6" borderId="31" xfId="0" applyFont="1" applyFill="1" applyBorder="1" applyAlignment="1" applyProtection="1">
      <alignment horizontal="center"/>
      <protection hidden="1"/>
    </xf>
    <xf numFmtId="166" fontId="4" fillId="0" borderId="9" xfId="0" applyNumberFormat="1" applyFont="1" applyBorder="1" applyProtection="1">
      <protection hidden="1"/>
    </xf>
    <xf numFmtId="0" fontId="24" fillId="0" borderId="0" xfId="0" applyFont="1"/>
    <xf numFmtId="0" fontId="25" fillId="0" borderId="0" xfId="0" applyFont="1"/>
    <xf numFmtId="0" fontId="25" fillId="0" borderId="0" xfId="0" applyFont="1" applyFill="1"/>
    <xf numFmtId="0" fontId="4" fillId="6" borderId="0" xfId="0" applyFont="1" applyFill="1" applyAlignment="1">
      <alignment horizontal="center"/>
    </xf>
    <xf numFmtId="0" fontId="4" fillId="6" borderId="0" xfId="0" applyFont="1" applyFill="1"/>
    <xf numFmtId="0" fontId="6" fillId="6" borderId="25" xfId="0" applyFont="1" applyFill="1" applyBorder="1" applyAlignment="1" applyProtection="1">
      <alignment horizontal="left"/>
      <protection hidden="1"/>
    </xf>
    <xf numFmtId="0" fontId="6" fillId="0" borderId="8" xfId="0" applyFont="1" applyBorder="1"/>
    <xf numFmtId="9" fontId="4" fillId="2" borderId="1" xfId="0" applyNumberFormat="1" applyFont="1" applyFill="1" applyBorder="1" applyAlignment="1" applyProtection="1">
      <alignment horizontal="center"/>
      <protection locked="0"/>
    </xf>
    <xf numFmtId="166" fontId="4" fillId="0" borderId="38" xfId="0" applyNumberFormat="1" applyFont="1" applyBorder="1" applyProtection="1">
      <protection hidden="1"/>
    </xf>
    <xf numFmtId="0" fontId="18" fillId="0" borderId="0" xfId="0" applyFont="1" applyBorder="1"/>
    <xf numFmtId="2" fontId="4" fillId="0" borderId="1" xfId="0" applyNumberFormat="1" applyFont="1" applyFill="1" applyBorder="1" applyAlignment="1" applyProtection="1">
      <alignment horizontal="center"/>
      <protection locked="0" hidden="1"/>
    </xf>
    <xf numFmtId="9" fontId="4" fillId="0" borderId="1" xfId="0" applyNumberFormat="1" applyFont="1" applyBorder="1" applyAlignment="1" applyProtection="1">
      <alignment horizontal="center"/>
      <protection hidden="1"/>
    </xf>
    <xf numFmtId="2" fontId="4" fillId="2" borderId="13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Protection="1">
      <protection hidden="1"/>
    </xf>
    <xf numFmtId="0" fontId="25" fillId="0" borderId="2" xfId="0" applyFont="1" applyFill="1" applyBorder="1" applyProtection="1">
      <protection hidden="1"/>
    </xf>
    <xf numFmtId="0" fontId="25" fillId="0" borderId="42" xfId="0" applyFont="1" applyFill="1" applyBorder="1" applyProtection="1">
      <protection hidden="1"/>
    </xf>
    <xf numFmtId="0" fontId="25" fillId="0" borderId="11" xfId="0" applyFont="1" applyFill="1" applyBorder="1" applyProtection="1">
      <protection hidden="1"/>
    </xf>
    <xf numFmtId="0" fontId="26" fillId="0" borderId="11" xfId="0" applyFont="1" applyFill="1" applyBorder="1" applyProtection="1">
      <protection hidden="1"/>
    </xf>
    <xf numFmtId="2" fontId="25" fillId="0" borderId="0" xfId="0" applyNumberFormat="1" applyFont="1" applyFill="1" applyBorder="1" applyProtection="1">
      <protection hidden="1"/>
    </xf>
    <xf numFmtId="2" fontId="25" fillId="0" borderId="2" xfId="0" applyNumberFormat="1" applyFont="1" applyFill="1" applyBorder="1" applyProtection="1">
      <protection hidden="1"/>
    </xf>
    <xf numFmtId="0" fontId="25" fillId="0" borderId="3" xfId="0" applyFont="1" applyFill="1" applyBorder="1" applyProtection="1">
      <protection hidden="1"/>
    </xf>
    <xf numFmtId="0" fontId="25" fillId="0" borderId="12" xfId="0" applyFont="1" applyFill="1" applyBorder="1" applyProtection="1">
      <protection hidden="1"/>
    </xf>
    <xf numFmtId="2" fontId="25" fillId="0" borderId="30" xfId="0" applyNumberFormat="1" applyFont="1" applyFill="1" applyBorder="1" applyProtection="1">
      <protection hidden="1"/>
    </xf>
    <xf numFmtId="0" fontId="25" fillId="0" borderId="30" xfId="0" applyFont="1" applyFill="1" applyBorder="1" applyProtection="1">
      <protection hidden="1"/>
    </xf>
    <xf numFmtId="2" fontId="25" fillId="0" borderId="31" xfId="0" applyNumberFormat="1" applyFont="1" applyFill="1" applyBorder="1" applyProtection="1">
      <protection hidden="1"/>
    </xf>
    <xf numFmtId="0" fontId="6" fillId="0" borderId="1" xfId="0" applyFont="1" applyBorder="1" applyAlignment="1">
      <alignment horizontal="center" wrapText="1"/>
    </xf>
    <xf numFmtId="0" fontId="4" fillId="0" borderId="26" xfId="0" applyFont="1" applyBorder="1"/>
    <xf numFmtId="164" fontId="21" fillId="0" borderId="0" xfId="1" applyFont="1"/>
    <xf numFmtId="0" fontId="27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7" fillId="0" borderId="0" xfId="0" applyFont="1" applyFill="1" applyBorder="1" applyAlignment="1" applyProtection="1">
      <alignment horizontal="left" wrapText="1"/>
      <protection hidden="1"/>
    </xf>
    <xf numFmtId="0" fontId="7" fillId="0" borderId="3" xfId="0" applyFont="1" applyFill="1" applyBorder="1" applyAlignment="1" applyProtection="1">
      <alignment horizontal="left" wrapText="1"/>
      <protection hidden="1"/>
    </xf>
    <xf numFmtId="0" fontId="15" fillId="0" borderId="7" xfId="0" applyFont="1" applyBorder="1" applyAlignment="1">
      <alignment horizontal="center" wrapText="1"/>
    </xf>
    <xf numFmtId="0" fontId="26" fillId="0" borderId="0" xfId="0" applyFont="1" applyFill="1" applyBorder="1" applyProtection="1">
      <protection hidden="1"/>
    </xf>
    <xf numFmtId="0" fontId="4" fillId="0" borderId="0" xfId="0" applyFont="1" applyFill="1" applyBorder="1"/>
    <xf numFmtId="0" fontId="17" fillId="0" borderId="1" xfId="0" applyFont="1" applyFill="1" applyBorder="1" applyAlignment="1">
      <alignment horizontal="center"/>
    </xf>
    <xf numFmtId="0" fontId="12" fillId="3" borderId="19" xfId="0" applyFont="1" applyFill="1" applyBorder="1"/>
    <xf numFmtId="0" fontId="4" fillId="0" borderId="20" xfId="0" applyFont="1" applyBorder="1" applyAlignment="1">
      <alignment horizontal="center"/>
    </xf>
    <xf numFmtId="0" fontId="17" fillId="0" borderId="20" xfId="0" applyFont="1" applyFill="1" applyBorder="1" applyAlignment="1">
      <alignment horizontal="center"/>
    </xf>
    <xf numFmtId="166" fontId="4" fillId="0" borderId="20" xfId="0" applyNumberFormat="1" applyFont="1" applyBorder="1"/>
    <xf numFmtId="0" fontId="4" fillId="0" borderId="20" xfId="0" applyFont="1" applyBorder="1"/>
    <xf numFmtId="0" fontId="4" fillId="0" borderId="21" xfId="0" applyFont="1" applyBorder="1"/>
    <xf numFmtId="0" fontId="17" fillId="8" borderId="20" xfId="0" applyFont="1" applyFill="1" applyBorder="1" applyAlignment="1">
      <alignment horizontal="center"/>
    </xf>
    <xf numFmtId="166" fontId="4" fillId="8" borderId="20" xfId="0" applyNumberFormat="1" applyFont="1" applyFill="1" applyBorder="1"/>
    <xf numFmtId="0" fontId="4" fillId="8" borderId="20" xfId="0" applyFont="1" applyFill="1" applyBorder="1"/>
    <xf numFmtId="0" fontId="4" fillId="8" borderId="21" xfId="0" applyFont="1" applyFill="1" applyBorder="1"/>
    <xf numFmtId="0" fontId="4" fillId="8" borderId="1" xfId="0" applyFont="1" applyFill="1" applyBorder="1"/>
    <xf numFmtId="166" fontId="4" fillId="8" borderId="1" xfId="0" applyNumberFormat="1" applyFont="1" applyFill="1" applyBorder="1"/>
    <xf numFmtId="0" fontId="4" fillId="8" borderId="15" xfId="0" applyFont="1" applyFill="1" applyBorder="1"/>
    <xf numFmtId="0" fontId="4" fillId="8" borderId="26" xfId="0" applyFont="1" applyFill="1" applyBorder="1"/>
    <xf numFmtId="166" fontId="4" fillId="8" borderId="26" xfId="0" applyNumberFormat="1" applyFont="1" applyFill="1" applyBorder="1"/>
    <xf numFmtId="0" fontId="4" fillId="8" borderId="39" xfId="0" applyFont="1" applyFill="1" applyBorder="1"/>
    <xf numFmtId="0" fontId="12" fillId="3" borderId="27" xfId="0" applyFont="1" applyFill="1" applyBorder="1"/>
    <xf numFmtId="166" fontId="6" fillId="0" borderId="20" xfId="0" applyNumberFormat="1" applyFont="1" applyBorder="1"/>
    <xf numFmtId="0" fontId="6" fillId="0" borderId="20" xfId="0" applyFont="1" applyBorder="1"/>
    <xf numFmtId="0" fontId="4" fillId="0" borderId="28" xfId="0" applyFont="1" applyFill="1" applyBorder="1"/>
    <xf numFmtId="0" fontId="4" fillId="0" borderId="26" xfId="0" applyFont="1" applyFill="1" applyBorder="1"/>
    <xf numFmtId="0" fontId="4" fillId="0" borderId="39" xfId="0" applyFont="1" applyFill="1" applyBorder="1"/>
    <xf numFmtId="0" fontId="25" fillId="0" borderId="1" xfId="0" applyFont="1" applyBorder="1"/>
    <xf numFmtId="0" fontId="0" fillId="0" borderId="1" xfId="0" applyBorder="1"/>
    <xf numFmtId="0" fontId="7" fillId="0" borderId="1" xfId="0" applyFont="1" applyFill="1" applyBorder="1" applyProtection="1">
      <protection hidden="1"/>
    </xf>
    <xf numFmtId="0" fontId="0" fillId="0" borderId="20" xfId="0" applyBorder="1"/>
    <xf numFmtId="0" fontId="23" fillId="0" borderId="20" xfId="0" applyFont="1" applyBorder="1"/>
    <xf numFmtId="0" fontId="0" fillId="0" borderId="21" xfId="0" applyBorder="1"/>
    <xf numFmtId="0" fontId="15" fillId="0" borderId="14" xfId="0" applyFont="1" applyBorder="1" applyAlignment="1">
      <alignment horizontal="center" wrapText="1"/>
    </xf>
    <xf numFmtId="0" fontId="0" fillId="0" borderId="15" xfId="0" applyBorder="1"/>
    <xf numFmtId="0" fontId="0" fillId="0" borderId="14" xfId="0" applyBorder="1" applyAlignment="1">
      <alignment wrapText="1"/>
    </xf>
    <xf numFmtId="0" fontId="21" fillId="0" borderId="28" xfId="0" applyFont="1" applyBorder="1"/>
    <xf numFmtId="0" fontId="7" fillId="0" borderId="26" xfId="0" applyFont="1" applyFill="1" applyBorder="1" applyProtection="1">
      <protection hidden="1"/>
    </xf>
    <xf numFmtId="0" fontId="0" fillId="0" borderId="39" xfId="0" applyBorder="1"/>
    <xf numFmtId="0" fontId="0" fillId="0" borderId="14" xfId="0" applyBorder="1"/>
    <xf numFmtId="0" fontId="7" fillId="0" borderId="28" xfId="0" applyFont="1" applyBorder="1"/>
    <xf numFmtId="0" fontId="4" fillId="0" borderId="39" xfId="0" applyFont="1" applyBorder="1"/>
    <xf numFmtId="0" fontId="4" fillId="8" borderId="1" xfId="0" applyFont="1" applyFill="1" applyBorder="1" applyAlignment="1">
      <alignment horizontal="center"/>
    </xf>
    <xf numFmtId="0" fontId="34" fillId="0" borderId="20" xfId="0" applyFont="1" applyBorder="1"/>
    <xf numFmtId="0" fontId="34" fillId="0" borderId="21" xfId="0" applyFont="1" applyBorder="1"/>
    <xf numFmtId="0" fontId="4" fillId="0" borderId="28" xfId="0" applyFont="1" applyBorder="1"/>
    <xf numFmtId="0" fontId="25" fillId="0" borderId="0" xfId="0" applyFont="1" applyFill="1" applyBorder="1"/>
    <xf numFmtId="0" fontId="35" fillId="0" borderId="0" xfId="0" applyFont="1" applyBorder="1"/>
    <xf numFmtId="166" fontId="25" fillId="0" borderId="0" xfId="0" applyNumberFormat="1" applyFont="1" applyBorder="1"/>
    <xf numFmtId="0" fontId="35" fillId="0" borderId="0" xfId="0" applyFont="1" applyFill="1" applyBorder="1" applyProtection="1">
      <protection hidden="1"/>
    </xf>
    <xf numFmtId="0" fontId="25" fillId="0" borderId="1" xfId="0" applyFont="1" applyFill="1" applyBorder="1"/>
    <xf numFmtId="0" fontId="4" fillId="9" borderId="1" xfId="0" applyFont="1" applyFill="1" applyBorder="1"/>
    <xf numFmtId="0" fontId="4" fillId="0" borderId="1" xfId="0" applyFont="1" applyBorder="1" applyAlignment="1">
      <alignment horizontal="center" vertical="center"/>
    </xf>
    <xf numFmtId="9" fontId="4" fillId="0" borderId="1" xfId="2" applyFont="1" applyBorder="1" applyAlignment="1">
      <alignment horizontal="center"/>
    </xf>
    <xf numFmtId="9" fontId="4" fillId="0" borderId="1" xfId="2" applyFont="1" applyBorder="1"/>
    <xf numFmtId="2" fontId="4" fillId="0" borderId="1" xfId="0" applyNumberFormat="1" applyFont="1" applyBorder="1"/>
    <xf numFmtId="0" fontId="7" fillId="0" borderId="1" xfId="0" applyFont="1" applyFill="1" applyBorder="1"/>
    <xf numFmtId="2" fontId="4" fillId="0" borderId="1" xfId="0" applyNumberFormat="1" applyFont="1" applyFill="1" applyBorder="1"/>
    <xf numFmtId="4" fontId="4" fillId="0" borderId="1" xfId="0" applyNumberFormat="1" applyFont="1" applyFill="1" applyBorder="1" applyAlignment="1" applyProtection="1">
      <alignment horizontal="right"/>
      <protection hidden="1"/>
    </xf>
    <xf numFmtId="4" fontId="4" fillId="0" borderId="8" xfId="0" applyNumberFormat="1" applyFont="1" applyFill="1" applyBorder="1" applyAlignment="1" applyProtection="1">
      <alignment horizontal="right"/>
      <protection hidden="1"/>
    </xf>
    <xf numFmtId="4" fontId="4" fillId="0" borderId="1" xfId="0" applyNumberFormat="1" applyFont="1" applyBorder="1" applyAlignment="1" applyProtection="1">
      <alignment horizontal="right"/>
      <protection hidden="1"/>
    </xf>
    <xf numFmtId="4" fontId="4" fillId="0" borderId="8" xfId="0" applyNumberFormat="1" applyFont="1" applyBorder="1" applyAlignment="1" applyProtection="1">
      <alignment horizontal="right"/>
      <protection hidden="1"/>
    </xf>
    <xf numFmtId="4" fontId="4" fillId="0" borderId="10" xfId="0" applyNumberFormat="1" applyFont="1" applyBorder="1" applyAlignment="1" applyProtection="1">
      <alignment horizontal="right"/>
      <protection hidden="1"/>
    </xf>
    <xf numFmtId="0" fontId="22" fillId="6" borderId="43" xfId="0" applyFont="1" applyFill="1" applyBorder="1" applyAlignment="1" applyProtection="1">
      <alignment horizontal="left"/>
      <protection hidden="1"/>
    </xf>
    <xf numFmtId="0" fontId="16" fillId="6" borderId="43" xfId="0" applyFont="1" applyFill="1" applyBorder="1" applyAlignment="1" applyProtection="1">
      <alignment horizontal="center"/>
      <protection hidden="1"/>
    </xf>
    <xf numFmtId="0" fontId="16" fillId="6" borderId="44" xfId="0" applyFont="1" applyFill="1" applyBorder="1" applyAlignment="1" applyProtection="1">
      <alignment horizontal="center"/>
      <protection hidden="1"/>
    </xf>
    <xf numFmtId="0" fontId="4" fillId="0" borderId="18" xfId="0" applyFont="1" applyBorder="1" applyAlignment="1">
      <alignment horizontal="center"/>
    </xf>
    <xf numFmtId="4" fontId="4" fillId="0" borderId="26" xfId="0" applyNumberFormat="1" applyFont="1" applyFill="1" applyBorder="1" applyAlignment="1" applyProtection="1">
      <alignment horizontal="right"/>
      <protection hidden="1"/>
    </xf>
    <xf numFmtId="0" fontId="4" fillId="0" borderId="45" xfId="0" applyFont="1" applyBorder="1"/>
    <xf numFmtId="4" fontId="6" fillId="0" borderId="36" xfId="0" applyNumberFormat="1" applyFont="1" applyBorder="1" applyProtection="1">
      <protection hidden="1"/>
    </xf>
    <xf numFmtId="4" fontId="6" fillId="6" borderId="34" xfId="0" applyNumberFormat="1" applyFont="1" applyFill="1" applyBorder="1"/>
    <xf numFmtId="4" fontId="6" fillId="6" borderId="37" xfId="0" applyNumberFormat="1" applyFont="1" applyFill="1" applyBorder="1"/>
    <xf numFmtId="0" fontId="25" fillId="0" borderId="30" xfId="0" applyFont="1" applyBorder="1"/>
    <xf numFmtId="3" fontId="4" fillId="2" borderId="1" xfId="0" applyNumberFormat="1" applyFont="1" applyFill="1" applyBorder="1" applyAlignment="1" applyProtection="1">
      <alignment horizontal="center"/>
      <protection locked="0"/>
    </xf>
    <xf numFmtId="0" fontId="26" fillId="0" borderId="31" xfId="0" applyFont="1" applyFill="1" applyBorder="1" applyProtection="1">
      <protection hidden="1"/>
    </xf>
    <xf numFmtId="4" fontId="6" fillId="6" borderId="0" xfId="0" applyNumberFormat="1" applyFont="1" applyFill="1" applyBorder="1"/>
    <xf numFmtId="4" fontId="6" fillId="0" borderId="8" xfId="0" applyNumberFormat="1" applyFont="1" applyFill="1" applyBorder="1" applyAlignment="1" applyProtection="1">
      <alignment horizontal="right"/>
      <protection hidden="1"/>
    </xf>
    <xf numFmtId="4" fontId="4" fillId="0" borderId="20" xfId="0" applyNumberFormat="1" applyFont="1" applyFill="1" applyBorder="1" applyAlignment="1" applyProtection="1">
      <alignment horizontal="right"/>
      <protection hidden="1"/>
    </xf>
    <xf numFmtId="0" fontId="4" fillId="0" borderId="19" xfId="0" applyFont="1" applyBorder="1" applyAlignment="1" applyProtection="1">
      <alignment horizontal="center"/>
      <protection hidden="1"/>
    </xf>
    <xf numFmtId="0" fontId="4" fillId="0" borderId="20" xfId="0" applyFont="1" applyFill="1" applyBorder="1" applyAlignment="1" applyProtection="1">
      <alignment horizontal="center"/>
      <protection hidden="1"/>
    </xf>
    <xf numFmtId="4" fontId="4" fillId="0" borderId="20" xfId="0" applyNumberFormat="1" applyFont="1" applyFill="1" applyBorder="1"/>
    <xf numFmtId="4" fontId="4" fillId="0" borderId="21" xfId="0" applyNumberFormat="1" applyFont="1" applyFill="1" applyBorder="1"/>
    <xf numFmtId="0" fontId="4" fillId="0" borderId="28" xfId="0" applyFont="1" applyBorder="1" applyAlignment="1" applyProtection="1">
      <alignment horizontal="center"/>
      <protection hidden="1"/>
    </xf>
    <xf numFmtId="0" fontId="4" fillId="0" borderId="26" xfId="0" applyFont="1" applyFill="1" applyBorder="1" applyAlignment="1" applyProtection="1">
      <alignment horizontal="center"/>
      <protection hidden="1"/>
    </xf>
    <xf numFmtId="4" fontId="4" fillId="0" borderId="26" xfId="0" applyNumberFormat="1" applyFont="1" applyFill="1" applyBorder="1"/>
    <xf numFmtId="4" fontId="4" fillId="0" borderId="39" xfId="0" applyNumberFormat="1" applyFont="1" applyFill="1" applyBorder="1"/>
    <xf numFmtId="0" fontId="6" fillId="6" borderId="0" xfId="0" applyFont="1" applyFill="1" applyBorder="1"/>
    <xf numFmtId="0" fontId="26" fillId="0" borderId="1" xfId="0" applyFont="1" applyFill="1" applyBorder="1" applyProtection="1">
      <protection hidden="1"/>
    </xf>
    <xf numFmtId="2" fontId="4" fillId="2" borderId="1" xfId="0" applyNumberFormat="1" applyFont="1" applyFill="1" applyBorder="1" applyAlignment="1" applyProtection="1">
      <alignment horizontal="center"/>
      <protection locked="0"/>
    </xf>
    <xf numFmtId="1" fontId="4" fillId="2" borderId="1" xfId="0" applyNumberFormat="1" applyFont="1" applyFill="1" applyBorder="1" applyAlignment="1" applyProtection="1">
      <alignment horizontal="center"/>
      <protection locked="0"/>
    </xf>
    <xf numFmtId="0" fontId="6" fillId="0" borderId="46" xfId="0" applyFont="1" applyBorder="1"/>
    <xf numFmtId="0" fontId="4" fillId="0" borderId="46" xfId="0" applyFont="1" applyBorder="1"/>
    <xf numFmtId="0" fontId="10" fillId="0" borderId="47" xfId="0" applyFont="1" applyBorder="1"/>
    <xf numFmtId="0" fontId="4" fillId="0" borderId="47" xfId="0" applyFont="1" applyBorder="1"/>
    <xf numFmtId="166" fontId="4" fillId="0" borderId="47" xfId="0" applyNumberFormat="1" applyFont="1" applyBorder="1" applyProtection="1">
      <protection hidden="1"/>
    </xf>
    <xf numFmtId="166" fontId="4" fillId="0" borderId="47" xfId="0" applyNumberFormat="1" applyFont="1" applyFill="1" applyBorder="1" applyProtection="1">
      <protection hidden="1"/>
    </xf>
    <xf numFmtId="0" fontId="4" fillId="0" borderId="47" xfId="0" applyFont="1" applyFill="1" applyBorder="1"/>
    <xf numFmtId="4" fontId="10" fillId="0" borderId="47" xfId="0" applyNumberFormat="1" applyFont="1" applyBorder="1"/>
    <xf numFmtId="4" fontId="4" fillId="0" borderId="0" xfId="0" applyNumberFormat="1" applyFont="1"/>
    <xf numFmtId="0" fontId="12" fillId="3" borderId="1" xfId="0" applyFont="1" applyFill="1" applyBorder="1"/>
    <xf numFmtId="0" fontId="17" fillId="8" borderId="1" xfId="0" applyFont="1" applyFill="1" applyBorder="1" applyAlignment="1">
      <alignment horizontal="center"/>
    </xf>
    <xf numFmtId="164" fontId="25" fillId="0" borderId="1" xfId="1" applyFont="1" applyBorder="1"/>
    <xf numFmtId="164" fontId="25" fillId="0" borderId="14" xfId="1" applyFont="1" applyBorder="1"/>
    <xf numFmtId="164" fontId="25" fillId="0" borderId="28" xfId="1" applyFont="1" applyBorder="1"/>
    <xf numFmtId="0" fontId="10" fillId="0" borderId="1" xfId="0" applyFont="1" applyBorder="1"/>
    <xf numFmtId="0" fontId="21" fillId="0" borderId="1" xfId="0" applyFont="1" applyBorder="1"/>
    <xf numFmtId="4" fontId="4" fillId="0" borderId="1" xfId="0" applyNumberFormat="1" applyFont="1" applyBorder="1"/>
    <xf numFmtId="4" fontId="4" fillId="0" borderId="26" xfId="0" applyNumberFormat="1" applyFont="1" applyBorder="1"/>
    <xf numFmtId="4" fontId="4" fillId="0" borderId="1" xfId="0" applyNumberFormat="1" applyFont="1" applyBorder="1" applyAlignment="1">
      <alignment horizontal="center"/>
    </xf>
    <xf numFmtId="4" fontId="4" fillId="0" borderId="20" xfId="0" applyNumberFormat="1" applyFont="1" applyBorder="1" applyAlignment="1">
      <alignment horizontal="center"/>
    </xf>
    <xf numFmtId="167" fontId="4" fillId="8" borderId="1" xfId="0" applyNumberFormat="1" applyFont="1" applyFill="1" applyBorder="1"/>
    <xf numFmtId="167" fontId="4" fillId="8" borderId="26" xfId="0" applyNumberFormat="1" applyFont="1" applyFill="1" applyBorder="1"/>
    <xf numFmtId="168" fontId="4" fillId="8" borderId="1" xfId="0" applyNumberFormat="1" applyFont="1" applyFill="1" applyBorder="1"/>
    <xf numFmtId="168" fontId="4" fillId="8" borderId="26" xfId="0" applyNumberFormat="1" applyFont="1" applyFill="1" applyBorder="1"/>
    <xf numFmtId="0" fontId="6" fillId="9" borderId="1" xfId="0" applyFont="1" applyFill="1" applyBorder="1"/>
    <xf numFmtId="0" fontId="26" fillId="9" borderId="1" xfId="0" applyFont="1" applyFill="1" applyBorder="1"/>
    <xf numFmtId="166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17" fillId="0" borderId="1" xfId="0" applyFont="1" applyFill="1" applyBorder="1" applyAlignment="1">
      <alignment horizontal="center" wrapText="1"/>
    </xf>
    <xf numFmtId="166" fontId="4" fillId="0" borderId="13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0" fillId="0" borderId="46" xfId="0" applyFont="1" applyBorder="1"/>
    <xf numFmtId="0" fontId="0" fillId="0" borderId="20" xfId="0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1" xfId="0" applyFont="1" applyFill="1" applyBorder="1"/>
    <xf numFmtId="0" fontId="34" fillId="0" borderId="0" xfId="0" applyFont="1" applyFill="1" applyBorder="1"/>
    <xf numFmtId="4" fontId="10" fillId="0" borderId="0" xfId="0" applyNumberFormat="1" applyFont="1" applyBorder="1"/>
    <xf numFmtId="0" fontId="10" fillId="0" borderId="0" xfId="0" applyFont="1" applyBorder="1"/>
    <xf numFmtId="0" fontId="4" fillId="0" borderId="7" xfId="0" applyFont="1" applyBorder="1"/>
    <xf numFmtId="0" fontId="21" fillId="0" borderId="0" xfId="0" applyFont="1" applyBorder="1"/>
    <xf numFmtId="0" fontId="24" fillId="0" borderId="0" xfId="0" applyFont="1" applyBorder="1"/>
    <xf numFmtId="0" fontId="10" fillId="0" borderId="2" xfId="0" applyFont="1" applyBorder="1"/>
    <xf numFmtId="0" fontId="25" fillId="0" borderId="0" xfId="0" applyFont="1" applyBorder="1"/>
    <xf numFmtId="166" fontId="4" fillId="0" borderId="7" xfId="0" applyNumberFormat="1" applyFont="1" applyBorder="1" applyProtection="1">
      <protection hidden="1"/>
    </xf>
    <xf numFmtId="0" fontId="4" fillId="0" borderId="7" xfId="0" applyFont="1" applyFill="1" applyBorder="1"/>
    <xf numFmtId="4" fontId="4" fillId="0" borderId="0" xfId="0" applyNumberFormat="1" applyFont="1" applyBorder="1"/>
    <xf numFmtId="164" fontId="21" fillId="0" borderId="0" xfId="1" applyFont="1" applyBorder="1"/>
    <xf numFmtId="0" fontId="4" fillId="0" borderId="2" xfId="0" applyFont="1" applyFill="1" applyBorder="1"/>
    <xf numFmtId="0" fontId="8" fillId="0" borderId="0" xfId="0" applyFont="1" applyBorder="1"/>
    <xf numFmtId="166" fontId="4" fillId="0" borderId="3" xfId="0" applyNumberFormat="1" applyFont="1" applyBorder="1" applyProtection="1">
      <protection hidden="1"/>
    </xf>
    <xf numFmtId="0" fontId="8" fillId="0" borderId="3" xfId="0" applyFont="1" applyBorder="1"/>
    <xf numFmtId="0" fontId="25" fillId="0" borderId="3" xfId="0" applyFont="1" applyBorder="1"/>
    <xf numFmtId="0" fontId="12" fillId="3" borderId="36" xfId="0" applyFont="1" applyFill="1" applyBorder="1"/>
    <xf numFmtId="0" fontId="4" fillId="0" borderId="10" xfId="0" applyFont="1" applyBorder="1"/>
    <xf numFmtId="166" fontId="4" fillId="0" borderId="49" xfId="0" applyNumberFormat="1" applyFont="1" applyBorder="1" applyProtection="1">
      <protection hidden="1"/>
    </xf>
    <xf numFmtId="0" fontId="4" fillId="0" borderId="49" xfId="0" applyFont="1" applyBorder="1"/>
    <xf numFmtId="0" fontId="8" fillId="0" borderId="49" xfId="0" applyFont="1" applyBorder="1"/>
    <xf numFmtId="0" fontId="25" fillId="0" borderId="49" xfId="0" applyFont="1" applyBorder="1"/>
    <xf numFmtId="0" fontId="4" fillId="0" borderId="50" xfId="0" applyFont="1" applyBorder="1"/>
    <xf numFmtId="0" fontId="4" fillId="0" borderId="51" xfId="0" applyFont="1" applyBorder="1"/>
    <xf numFmtId="0" fontId="4" fillId="0" borderId="32" xfId="0" applyFont="1" applyBorder="1"/>
    <xf numFmtId="0" fontId="4" fillId="0" borderId="40" xfId="0" applyFont="1" applyBorder="1"/>
    <xf numFmtId="0" fontId="21" fillId="0" borderId="40" xfId="0" applyFont="1" applyBorder="1"/>
    <xf numFmtId="0" fontId="25" fillId="0" borderId="40" xfId="0" applyFont="1" applyBorder="1"/>
    <xf numFmtId="0" fontId="4" fillId="0" borderId="48" xfId="0" applyFont="1" applyBorder="1"/>
    <xf numFmtId="0" fontId="4" fillId="0" borderId="52" xfId="0" applyFont="1" applyBorder="1"/>
    <xf numFmtId="0" fontId="26" fillId="9" borderId="1" xfId="0" applyFont="1" applyFill="1" applyBorder="1" applyProtection="1">
      <protection hidden="1"/>
    </xf>
    <xf numFmtId="0" fontId="38" fillId="0" borderId="0" xfId="0" applyFont="1" applyFill="1" applyBorder="1" applyAlignment="1">
      <alignment horizontal="center"/>
    </xf>
    <xf numFmtId="0" fontId="38" fillId="0" borderId="49" xfId="0" applyFont="1" applyFill="1" applyBorder="1" applyAlignment="1">
      <alignment horizontal="center"/>
    </xf>
    <xf numFmtId="0" fontId="38" fillId="0" borderId="53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7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/>
    </xf>
    <xf numFmtId="0" fontId="25" fillId="9" borderId="1" xfId="0" applyFont="1" applyFill="1" applyBorder="1" applyProtection="1">
      <protection hidden="1"/>
    </xf>
    <xf numFmtId="0" fontId="39" fillId="0" borderId="0" xfId="0" applyFont="1" applyBorder="1"/>
    <xf numFmtId="2" fontId="25" fillId="0" borderId="3" xfId="0" applyNumberFormat="1" applyFont="1" applyFill="1" applyBorder="1" applyProtection="1">
      <protection hidden="1"/>
    </xf>
    <xf numFmtId="2" fontId="25" fillId="0" borderId="12" xfId="0" applyNumberFormat="1" applyFont="1" applyFill="1" applyBorder="1" applyProtection="1">
      <protection hidden="1"/>
    </xf>
    <xf numFmtId="0" fontId="25" fillId="0" borderId="1" xfId="0" applyFont="1" applyFill="1" applyBorder="1" applyProtection="1">
      <protection hidden="1"/>
    </xf>
    <xf numFmtId="2" fontId="25" fillId="0" borderId="1" xfId="0" applyNumberFormat="1" applyFont="1" applyFill="1" applyBorder="1" applyProtection="1">
      <protection hidden="1"/>
    </xf>
    <xf numFmtId="0" fontId="6" fillId="5" borderId="46" xfId="0" applyFont="1" applyFill="1" applyBorder="1" applyAlignment="1" applyProtection="1">
      <alignment horizontal="center"/>
      <protection hidden="1"/>
    </xf>
    <xf numFmtId="0" fontId="4" fillId="5" borderId="46" xfId="0" applyFont="1" applyFill="1" applyBorder="1" applyAlignment="1" applyProtection="1">
      <alignment horizontal="center"/>
      <protection hidden="1"/>
    </xf>
    <xf numFmtId="166" fontId="4" fillId="5" borderId="46" xfId="0" applyNumberFormat="1" applyFont="1" applyFill="1" applyBorder="1" applyAlignment="1" applyProtection="1">
      <alignment horizontal="center"/>
      <protection hidden="1"/>
    </xf>
    <xf numFmtId="166" fontId="6" fillId="5" borderId="46" xfId="0" applyNumberFormat="1" applyFont="1" applyFill="1" applyBorder="1" applyAlignment="1" applyProtection="1">
      <alignment horizontal="center"/>
      <protection hidden="1"/>
    </xf>
    <xf numFmtId="0" fontId="4" fillId="0" borderId="50" xfId="0" applyFont="1" applyBorder="1" applyAlignment="1">
      <alignment horizontal="center"/>
    </xf>
    <xf numFmtId="166" fontId="6" fillId="5" borderId="1" xfId="0" applyNumberFormat="1" applyFont="1" applyFill="1" applyBorder="1" applyAlignment="1" applyProtection="1">
      <alignment horizontal="center"/>
      <protection hidden="1"/>
    </xf>
    <xf numFmtId="166" fontId="4" fillId="0" borderId="1" xfId="0" applyNumberFormat="1" applyFont="1" applyBorder="1"/>
    <xf numFmtId="0" fontId="6" fillId="5" borderId="13" xfId="0" applyFont="1" applyFill="1" applyBorder="1" applyAlignment="1" applyProtection="1">
      <alignment horizontal="center"/>
      <protection hidden="1"/>
    </xf>
    <xf numFmtId="0" fontId="6" fillId="7" borderId="33" xfId="0" applyFont="1" applyFill="1" applyBorder="1"/>
    <xf numFmtId="166" fontId="6" fillId="7" borderId="33" xfId="0" applyNumberFormat="1" applyFont="1" applyFill="1" applyBorder="1"/>
    <xf numFmtId="0" fontId="6" fillId="7" borderId="34" xfId="0" applyFont="1" applyFill="1" applyBorder="1"/>
    <xf numFmtId="0" fontId="6" fillId="5" borderId="48" xfId="0" applyFont="1" applyFill="1" applyBorder="1" applyAlignment="1" applyProtection="1">
      <alignment horizontal="center"/>
      <protection hidden="1"/>
    </xf>
    <xf numFmtId="0" fontId="6" fillId="7" borderId="41" xfId="0" applyFont="1" applyFill="1" applyBorder="1" applyAlignment="1">
      <alignment horizontal="center"/>
    </xf>
    <xf numFmtId="0" fontId="4" fillId="0" borderId="19" xfId="0" applyFont="1" applyBorder="1"/>
    <xf numFmtId="14" fontId="4" fillId="0" borderId="21" xfId="0" applyNumberFormat="1" applyFont="1" applyBorder="1" applyAlignment="1" applyProtection="1">
      <alignment horizontal="center"/>
      <protection hidden="1"/>
    </xf>
    <xf numFmtId="0" fontId="6" fillId="2" borderId="15" xfId="0" applyFont="1" applyFill="1" applyBorder="1" applyAlignment="1" applyProtection="1">
      <alignment horizontal="center" wrapText="1"/>
      <protection locked="0"/>
    </xf>
    <xf numFmtId="0" fontId="4" fillId="2" borderId="15" xfId="0" applyFont="1" applyFill="1" applyBorder="1" applyAlignment="1" applyProtection="1">
      <alignment horizontal="center"/>
      <protection locked="0"/>
    </xf>
    <xf numFmtId="2" fontId="4" fillId="2" borderId="15" xfId="0" applyNumberFormat="1" applyFont="1" applyFill="1" applyBorder="1" applyAlignment="1" applyProtection="1">
      <alignment horizontal="center"/>
      <protection locked="0"/>
    </xf>
    <xf numFmtId="2" fontId="4" fillId="0" borderId="15" xfId="0" applyNumberFormat="1" applyFont="1" applyFill="1" applyBorder="1" applyAlignment="1" applyProtection="1">
      <alignment horizontal="center"/>
      <protection hidden="1"/>
    </xf>
    <xf numFmtId="1" fontId="4" fillId="2" borderId="15" xfId="0" applyNumberFormat="1" applyFont="1" applyFill="1" applyBorder="1" applyAlignment="1" applyProtection="1">
      <alignment horizontal="center"/>
      <protection locked="0"/>
    </xf>
    <xf numFmtId="9" fontId="4" fillId="2" borderId="15" xfId="0" applyNumberFormat="1" applyFont="1" applyFill="1" applyBorder="1" applyAlignment="1" applyProtection="1">
      <alignment horizontal="center"/>
      <protection locked="0"/>
    </xf>
    <xf numFmtId="0" fontId="12" fillId="0" borderId="14" xfId="0" applyFont="1" applyBorder="1"/>
    <xf numFmtId="0" fontId="6" fillId="0" borderId="14" xfId="0" applyFont="1" applyBorder="1"/>
    <xf numFmtId="0" fontId="6" fillId="0" borderId="28" xfId="0" applyFont="1" applyBorder="1"/>
    <xf numFmtId="0" fontId="4" fillId="2" borderId="39" xfId="0" applyFont="1" applyFill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hidden="1"/>
    </xf>
    <xf numFmtId="166" fontId="4" fillId="0" borderId="1" xfId="0" applyNumberFormat="1" applyFont="1" applyBorder="1" applyProtection="1">
      <protection hidden="1"/>
    </xf>
    <xf numFmtId="4" fontId="6" fillId="0" borderId="1" xfId="0" applyNumberFormat="1" applyFont="1" applyFill="1" applyBorder="1" applyAlignment="1" applyProtection="1">
      <alignment horizontal="right"/>
      <protection hidden="1"/>
    </xf>
    <xf numFmtId="0" fontId="16" fillId="6" borderId="13" xfId="0" applyFont="1" applyFill="1" applyBorder="1" applyAlignment="1" applyProtection="1">
      <protection hidden="1"/>
    </xf>
    <xf numFmtId="0" fontId="6" fillId="6" borderId="20" xfId="0" applyFont="1" applyFill="1" applyBorder="1" applyAlignment="1">
      <alignment horizontal="center"/>
    </xf>
    <xf numFmtId="0" fontId="6" fillId="6" borderId="21" xfId="0" applyFont="1" applyFill="1" applyBorder="1" applyAlignment="1">
      <alignment horizontal="center"/>
    </xf>
    <xf numFmtId="0" fontId="4" fillId="2" borderId="14" xfId="0" applyFont="1" applyFill="1" applyBorder="1" applyAlignment="1" applyProtection="1">
      <alignment horizontal="center"/>
      <protection locked="0"/>
    </xf>
    <xf numFmtId="4" fontId="4" fillId="0" borderId="9" xfId="0" applyNumberFormat="1" applyFont="1" applyBorder="1" applyAlignment="1" applyProtection="1">
      <alignment horizontal="right"/>
      <protection hidden="1"/>
    </xf>
    <xf numFmtId="4" fontId="6" fillId="0" borderId="34" xfId="0" applyNumberFormat="1" applyFont="1" applyBorder="1" applyProtection="1">
      <protection hidden="1"/>
    </xf>
    <xf numFmtId="2" fontId="4" fillId="2" borderId="9" xfId="0" applyNumberFormat="1" applyFont="1" applyFill="1" applyBorder="1" applyAlignment="1" applyProtection="1">
      <alignment horizontal="center"/>
      <protection locked="0" hidden="1"/>
    </xf>
    <xf numFmtId="4" fontId="4" fillId="0" borderId="9" xfId="0" applyNumberFormat="1" applyFont="1" applyBorder="1" applyAlignment="1" applyProtection="1">
      <alignment horizontal="center"/>
      <protection hidden="1"/>
    </xf>
    <xf numFmtId="166" fontId="4" fillId="0" borderId="9" xfId="0" applyNumberFormat="1" applyFont="1" applyBorder="1" applyAlignment="1" applyProtection="1">
      <alignment horizontal="center"/>
      <protection hidden="1"/>
    </xf>
    <xf numFmtId="2" fontId="4" fillId="0" borderId="13" xfId="0" applyNumberFormat="1" applyFont="1" applyFill="1" applyBorder="1" applyAlignment="1" applyProtection="1">
      <alignment horizontal="center"/>
      <protection locked="0" hidden="1"/>
    </xf>
    <xf numFmtId="4" fontId="4" fillId="0" borderId="13" xfId="0" applyNumberFormat="1" applyFont="1" applyBorder="1" applyAlignment="1" applyProtection="1">
      <alignment horizontal="center"/>
      <protection hidden="1"/>
    </xf>
    <xf numFmtId="9" fontId="4" fillId="0" borderId="13" xfId="0" applyNumberFormat="1" applyFont="1" applyBorder="1" applyAlignment="1" applyProtection="1">
      <alignment horizontal="center"/>
      <protection hidden="1"/>
    </xf>
    <xf numFmtId="4" fontId="4" fillId="0" borderId="13" xfId="0" applyNumberFormat="1" applyFont="1" applyFill="1" applyBorder="1" applyAlignment="1" applyProtection="1">
      <alignment horizontal="right"/>
      <protection hidden="1"/>
    </xf>
    <xf numFmtId="0" fontId="16" fillId="6" borderId="55" xfId="0" applyFont="1" applyFill="1" applyBorder="1" applyAlignment="1" applyProtection="1">
      <protection hidden="1"/>
    </xf>
    <xf numFmtId="0" fontId="16" fillId="6" borderId="33" xfId="0" applyFont="1" applyFill="1" applyBorder="1" applyAlignment="1" applyProtection="1">
      <protection hidden="1"/>
    </xf>
    <xf numFmtId="4" fontId="6" fillId="6" borderId="33" xfId="0" applyNumberFormat="1" applyFont="1" applyFill="1" applyBorder="1"/>
    <xf numFmtId="9" fontId="4" fillId="0" borderId="9" xfId="0" applyNumberFormat="1" applyFont="1" applyFill="1" applyBorder="1" applyAlignment="1" applyProtection="1">
      <alignment horizontal="center"/>
      <protection hidden="1"/>
    </xf>
    <xf numFmtId="4" fontId="4" fillId="0" borderId="9" xfId="0" applyNumberFormat="1" applyFont="1" applyFill="1" applyBorder="1" applyAlignment="1" applyProtection="1">
      <alignment horizontal="right"/>
      <protection hidden="1"/>
    </xf>
    <xf numFmtId="0" fontId="4" fillId="0" borderId="13" xfId="0" applyFont="1" applyBorder="1"/>
    <xf numFmtId="9" fontId="4" fillId="0" borderId="13" xfId="0" applyNumberFormat="1" applyFont="1" applyFill="1" applyBorder="1" applyAlignment="1" applyProtection="1">
      <alignment horizontal="center"/>
      <protection hidden="1"/>
    </xf>
    <xf numFmtId="0" fontId="6" fillId="6" borderId="55" xfId="0" applyFont="1" applyFill="1" applyBorder="1" applyAlignment="1" applyProtection="1">
      <alignment horizontal="center"/>
      <protection hidden="1"/>
    </xf>
    <xf numFmtId="2" fontId="4" fillId="6" borderId="33" xfId="0" applyNumberFormat="1" applyFont="1" applyFill="1" applyBorder="1" applyAlignment="1" applyProtection="1">
      <alignment horizontal="center"/>
      <protection hidden="1"/>
    </xf>
    <xf numFmtId="166" fontId="4" fillId="6" borderId="33" xfId="0" applyNumberFormat="1" applyFont="1" applyFill="1" applyBorder="1" applyAlignment="1" applyProtection="1">
      <alignment horizontal="center"/>
      <protection hidden="1"/>
    </xf>
    <xf numFmtId="166" fontId="4" fillId="0" borderId="52" xfId="0" applyNumberFormat="1" applyFont="1" applyBorder="1" applyAlignment="1" applyProtection="1">
      <alignment horizontal="center"/>
      <protection hidden="1"/>
    </xf>
    <xf numFmtId="9" fontId="4" fillId="0" borderId="52" xfId="0" applyNumberFormat="1" applyFont="1" applyFill="1" applyBorder="1" applyAlignment="1" applyProtection="1">
      <alignment horizontal="center"/>
      <protection hidden="1"/>
    </xf>
    <xf numFmtId="4" fontId="4" fillId="0" borderId="52" xfId="0" applyNumberFormat="1" applyFont="1" applyFill="1" applyBorder="1" applyAlignment="1" applyProtection="1">
      <alignment horizontal="right"/>
      <protection hidden="1"/>
    </xf>
    <xf numFmtId="0" fontId="4" fillId="6" borderId="33" xfId="0" applyFont="1" applyFill="1" applyBorder="1"/>
    <xf numFmtId="0" fontId="6" fillId="2" borderId="52" xfId="0" applyFont="1" applyFill="1" applyBorder="1" applyAlignment="1" applyProtection="1">
      <alignment horizontal="center"/>
      <protection locked="0"/>
    </xf>
    <xf numFmtId="0" fontId="6" fillId="6" borderId="55" xfId="0" applyFont="1" applyFill="1" applyBorder="1"/>
    <xf numFmtId="0" fontId="6" fillId="6" borderId="33" xfId="0" applyFont="1" applyFill="1" applyBorder="1"/>
    <xf numFmtId="0" fontId="16" fillId="6" borderId="17" xfId="0" applyFont="1" applyFill="1" applyBorder="1" applyAlignment="1" applyProtection="1">
      <protection hidden="1"/>
    </xf>
    <xf numFmtId="0" fontId="16" fillId="6" borderId="38" xfId="0" applyFont="1" applyFill="1" applyBorder="1" applyAlignment="1" applyProtection="1">
      <protection hidden="1"/>
    </xf>
    <xf numFmtId="166" fontId="4" fillId="0" borderId="16" xfId="0" applyNumberFormat="1" applyFont="1" applyFill="1" applyBorder="1" applyAlignment="1" applyProtection="1">
      <alignment horizontal="center"/>
      <protection hidden="1"/>
    </xf>
    <xf numFmtId="166" fontId="4" fillId="0" borderId="29" xfId="0" applyNumberFormat="1" applyFont="1" applyBorder="1" applyProtection="1">
      <protection hidden="1"/>
    </xf>
    <xf numFmtId="166" fontId="4" fillId="0" borderId="17" xfId="0" applyNumberFormat="1" applyFont="1" applyFill="1" applyBorder="1" applyAlignment="1" applyProtection="1">
      <alignment horizontal="center"/>
      <protection hidden="1"/>
    </xf>
    <xf numFmtId="0" fontId="4" fillId="0" borderId="16" xfId="0" applyFont="1" applyBorder="1" applyAlignment="1" applyProtection="1">
      <alignment horizontal="center"/>
      <protection hidden="1"/>
    </xf>
    <xf numFmtId="0" fontId="4" fillId="0" borderId="56" xfId="0" applyFont="1" applyBorder="1" applyAlignment="1" applyProtection="1">
      <alignment horizontal="center"/>
      <protection hidden="1"/>
    </xf>
    <xf numFmtId="0" fontId="6" fillId="0" borderId="56" xfId="0" applyFont="1" applyBorder="1" applyAlignment="1">
      <alignment horizontal="center"/>
    </xf>
    <xf numFmtId="0" fontId="22" fillId="6" borderId="19" xfId="0" applyFont="1" applyFill="1" applyBorder="1" applyAlignment="1" applyProtection="1">
      <protection hidden="1"/>
    </xf>
    <xf numFmtId="166" fontId="4" fillId="0" borderId="15" xfId="0" applyNumberFormat="1" applyFont="1" applyFill="1" applyBorder="1" applyAlignment="1" applyProtection="1">
      <alignment horizontal="center"/>
      <protection hidden="1"/>
    </xf>
    <xf numFmtId="4" fontId="4" fillId="0" borderId="15" xfId="0" applyNumberFormat="1" applyFont="1" applyFill="1" applyBorder="1" applyAlignment="1" applyProtection="1">
      <alignment horizontal="right"/>
      <protection hidden="1"/>
    </xf>
    <xf numFmtId="0" fontId="6" fillId="6" borderId="26" xfId="0" applyFont="1" applyFill="1" applyBorder="1" applyAlignment="1" applyProtection="1">
      <alignment horizontal="center"/>
      <protection hidden="1"/>
    </xf>
    <xf numFmtId="4" fontId="6" fillId="6" borderId="26" xfId="0" applyNumberFormat="1" applyFont="1" applyFill="1" applyBorder="1"/>
    <xf numFmtId="166" fontId="4" fillId="0" borderId="29" xfId="0" applyNumberFormat="1" applyFont="1" applyFill="1" applyBorder="1" applyAlignment="1" applyProtection="1">
      <alignment horizontal="center"/>
      <protection hidden="1"/>
    </xf>
    <xf numFmtId="166" fontId="4" fillId="0" borderId="38" xfId="0" applyNumberFormat="1" applyFont="1" applyFill="1" applyBorder="1" applyAlignment="1" applyProtection="1">
      <alignment horizontal="center"/>
      <protection hidden="1"/>
    </xf>
    <xf numFmtId="0" fontId="4" fillId="6" borderId="33" xfId="0" applyFont="1" applyFill="1" applyBorder="1" applyAlignment="1">
      <alignment horizontal="center"/>
    </xf>
    <xf numFmtId="0" fontId="4" fillId="0" borderId="13" xfId="0" applyFont="1" applyFill="1" applyBorder="1" applyAlignment="1" applyProtection="1">
      <alignment horizontal="center"/>
      <protection hidden="1"/>
    </xf>
    <xf numFmtId="4" fontId="4" fillId="0" borderId="13" xfId="0" applyNumberFormat="1" applyFont="1" applyFill="1" applyBorder="1"/>
    <xf numFmtId="4" fontId="4" fillId="0" borderId="38" xfId="0" applyNumberFormat="1" applyFont="1" applyFill="1" applyBorder="1"/>
    <xf numFmtId="0" fontId="6" fillId="6" borderId="33" xfId="0" applyFont="1" applyFill="1" applyBorder="1" applyAlignment="1" applyProtection="1">
      <alignment horizontal="center"/>
      <protection hidden="1"/>
    </xf>
    <xf numFmtId="0" fontId="4" fillId="0" borderId="9" xfId="0" applyFont="1" applyFill="1" applyBorder="1" applyAlignment="1" applyProtection="1">
      <alignment horizontal="center"/>
      <protection hidden="1"/>
    </xf>
    <xf numFmtId="4" fontId="4" fillId="0" borderId="9" xfId="0" applyNumberFormat="1" applyFont="1" applyFill="1" applyBorder="1"/>
    <xf numFmtId="4" fontId="4" fillId="0" borderId="29" xfId="0" applyNumberFormat="1" applyFont="1" applyFill="1" applyBorder="1"/>
    <xf numFmtId="0" fontId="22" fillId="6" borderId="19" xfId="0" applyFont="1" applyFill="1" applyBorder="1" applyAlignment="1" applyProtection="1">
      <alignment horizontal="left"/>
      <protection hidden="1"/>
    </xf>
    <xf numFmtId="0" fontId="16" fillId="6" borderId="20" xfId="0" applyFont="1" applyFill="1" applyBorder="1" applyAlignment="1" applyProtection="1">
      <alignment horizontal="center"/>
      <protection hidden="1"/>
    </xf>
    <xf numFmtId="4" fontId="6" fillId="6" borderId="21" xfId="0" applyNumberFormat="1" applyFont="1" applyFill="1" applyBorder="1"/>
    <xf numFmtId="0" fontId="4" fillId="0" borderId="15" xfId="0" applyFont="1" applyBorder="1" applyAlignment="1">
      <alignment horizontal="center"/>
    </xf>
    <xf numFmtId="0" fontId="6" fillId="6" borderId="19" xfId="0" applyFont="1" applyFill="1" applyBorder="1" applyAlignment="1" applyProtection="1">
      <alignment horizontal="left"/>
      <protection hidden="1"/>
    </xf>
    <xf numFmtId="4" fontId="6" fillId="6" borderId="20" xfId="0" applyNumberFormat="1" applyFont="1" applyFill="1" applyBorder="1"/>
    <xf numFmtId="0" fontId="6" fillId="6" borderId="28" xfId="0" applyFont="1" applyFill="1" applyBorder="1" applyAlignment="1" applyProtection="1">
      <alignment horizontal="left"/>
      <protection hidden="1"/>
    </xf>
    <xf numFmtId="4" fontId="6" fillId="0" borderId="33" xfId="0" applyNumberFormat="1" applyFont="1" applyFill="1" applyBorder="1"/>
    <xf numFmtId="166" fontId="4" fillId="0" borderId="2" xfId="0" applyNumberFormat="1" applyFont="1" applyBorder="1" applyProtection="1">
      <protection hidden="1"/>
    </xf>
    <xf numFmtId="0" fontId="6" fillId="6" borderId="21" xfId="0" applyFont="1" applyFill="1" applyBorder="1" applyAlignment="1" applyProtection="1">
      <alignment horizontal="center"/>
      <protection hidden="1"/>
    </xf>
    <xf numFmtId="0" fontId="6" fillId="0" borderId="55" xfId="0" applyFont="1" applyBorder="1" applyAlignment="1" applyProtection="1">
      <alignment horizontal="center"/>
      <protection hidden="1"/>
    </xf>
    <xf numFmtId="2" fontId="4" fillId="0" borderId="33" xfId="0" applyNumberFormat="1" applyFont="1" applyBorder="1" applyAlignment="1" applyProtection="1">
      <alignment horizontal="center"/>
      <protection hidden="1"/>
    </xf>
    <xf numFmtId="166" fontId="4" fillId="0" borderId="33" xfId="0" applyNumberFormat="1" applyFont="1" applyBorder="1" applyAlignment="1" applyProtection="1">
      <alignment horizontal="center"/>
      <protection hidden="1"/>
    </xf>
    <xf numFmtId="4" fontId="6" fillId="0" borderId="33" xfId="0" applyNumberFormat="1" applyFont="1" applyBorder="1" applyProtection="1">
      <protection hidden="1"/>
    </xf>
    <xf numFmtId="0" fontId="7" fillId="0" borderId="1" xfId="0" applyFont="1" applyBorder="1"/>
    <xf numFmtId="0" fontId="4" fillId="0" borderId="20" xfId="0" applyFont="1" applyFill="1" applyBorder="1"/>
    <xf numFmtId="0" fontId="4" fillId="0" borderId="21" xfId="0" applyFont="1" applyFill="1" applyBorder="1"/>
    <xf numFmtId="0" fontId="7" fillId="0" borderId="14" xfId="0" applyFont="1" applyBorder="1" applyAlignment="1">
      <alignment horizontal="left"/>
    </xf>
    <xf numFmtId="0" fontId="7" fillId="0" borderId="15" xfId="0" applyFont="1" applyBorder="1"/>
    <xf numFmtId="0" fontId="4" fillId="0" borderId="14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166" fontId="4" fillId="0" borderId="26" xfId="0" applyNumberFormat="1" applyFont="1" applyBorder="1"/>
    <xf numFmtId="0" fontId="20" fillId="0" borderId="1" xfId="0" applyFont="1" applyBorder="1"/>
    <xf numFmtId="0" fontId="20" fillId="0" borderId="1" xfId="0" applyFont="1" applyBorder="1" applyAlignment="1">
      <alignment horizontal="right"/>
    </xf>
    <xf numFmtId="0" fontId="18" fillId="0" borderId="20" xfId="0" applyFont="1" applyBorder="1"/>
    <xf numFmtId="0" fontId="7" fillId="0" borderId="20" xfId="0" applyFont="1" applyFill="1" applyBorder="1" applyProtection="1">
      <protection hidden="1"/>
    </xf>
    <xf numFmtId="0" fontId="18" fillId="0" borderId="21" xfId="0" applyFont="1" applyBorder="1"/>
    <xf numFmtId="0" fontId="20" fillId="0" borderId="15" xfId="0" applyFont="1" applyBorder="1"/>
    <xf numFmtId="0" fontId="20" fillId="4" borderId="14" xfId="0" applyFont="1" applyFill="1" applyBorder="1" applyAlignment="1"/>
    <xf numFmtId="0" fontId="20" fillId="4" borderId="28" xfId="0" applyFont="1" applyFill="1" applyBorder="1" applyAlignment="1"/>
    <xf numFmtId="0" fontId="20" fillId="0" borderId="26" xfId="0" applyFont="1" applyBorder="1" applyAlignment="1">
      <alignment horizontal="right"/>
    </xf>
    <xf numFmtId="0" fontId="7" fillId="0" borderId="26" xfId="0" applyFont="1" applyFill="1" applyBorder="1"/>
    <xf numFmtId="0" fontId="20" fillId="0" borderId="39" xfId="0" applyFont="1" applyBorder="1"/>
    <xf numFmtId="0" fontId="0" fillId="0" borderId="1" xfId="0" applyBorder="1" applyAlignment="1">
      <alignment horizontal="right"/>
    </xf>
    <xf numFmtId="0" fontId="4" fillId="0" borderId="1" xfId="0" applyFont="1" applyFill="1" applyBorder="1" applyAlignment="1" applyProtection="1">
      <alignment horizontal="right"/>
      <protection hidden="1"/>
    </xf>
    <xf numFmtId="0" fontId="4" fillId="0" borderId="1" xfId="0" applyFont="1" applyFill="1" applyBorder="1" applyProtection="1">
      <protection hidden="1"/>
    </xf>
    <xf numFmtId="0" fontId="0" fillId="4" borderId="14" xfId="0" applyFill="1" applyBorder="1"/>
    <xf numFmtId="0" fontId="4" fillId="0" borderId="26" xfId="0" applyFont="1" applyFill="1" applyBorder="1" applyAlignment="1" applyProtection="1">
      <alignment horizontal="right"/>
      <protection hidden="1"/>
    </xf>
    <xf numFmtId="0" fontId="4" fillId="0" borderId="39" xfId="0" applyFont="1" applyFill="1" applyBorder="1" applyProtection="1">
      <protection hidden="1"/>
    </xf>
    <xf numFmtId="0" fontId="7" fillId="0" borderId="1" xfId="0" applyFont="1" applyFill="1" applyBorder="1" applyAlignment="1" applyProtection="1">
      <alignment horizontal="right"/>
      <protection hidden="1"/>
    </xf>
    <xf numFmtId="0" fontId="7" fillId="0" borderId="21" xfId="0" applyFont="1" applyFill="1" applyBorder="1" applyProtection="1">
      <protection hidden="1"/>
    </xf>
    <xf numFmtId="0" fontId="7" fillId="0" borderId="14" xfId="0" applyFont="1" applyFill="1" applyBorder="1" applyProtection="1">
      <protection hidden="1"/>
    </xf>
    <xf numFmtId="0" fontId="7" fillId="0" borderId="15" xfId="0" applyFont="1" applyFill="1" applyBorder="1" applyProtection="1">
      <protection hidden="1"/>
    </xf>
    <xf numFmtId="0" fontId="4" fillId="0" borderId="14" xfId="0" applyFont="1" applyFill="1" applyBorder="1" applyProtection="1">
      <protection hidden="1"/>
    </xf>
    <xf numFmtId="0" fontId="4" fillId="0" borderId="15" xfId="0" applyFont="1" applyFill="1" applyBorder="1" applyProtection="1">
      <protection hidden="1"/>
    </xf>
    <xf numFmtId="0" fontId="4" fillId="0" borderId="28" xfId="0" applyFont="1" applyFill="1" applyBorder="1" applyProtection="1">
      <protection hidden="1"/>
    </xf>
    <xf numFmtId="0" fontId="7" fillId="0" borderId="26" xfId="0" applyFont="1" applyFill="1" applyBorder="1" applyAlignment="1" applyProtection="1">
      <alignment horizontal="right"/>
      <protection hidden="1"/>
    </xf>
    <xf numFmtId="0" fontId="4" fillId="0" borderId="26" xfId="0" applyFont="1" applyFill="1" applyBorder="1" applyProtection="1">
      <protection hidden="1"/>
    </xf>
    <xf numFmtId="9" fontId="7" fillId="0" borderId="1" xfId="0" applyNumberFormat="1" applyFont="1" applyFill="1" applyBorder="1" applyProtection="1">
      <protection hidden="1"/>
    </xf>
    <xf numFmtId="0" fontId="7" fillId="0" borderId="1" xfId="0" applyFont="1" applyFill="1" applyBorder="1" applyAlignment="1" applyProtection="1">
      <alignment horizontal="left" wrapText="1"/>
      <protection hidden="1"/>
    </xf>
    <xf numFmtId="0" fontId="12" fillId="3" borderId="14" xfId="0" applyFont="1" applyFill="1" applyBorder="1"/>
    <xf numFmtId="0" fontId="7" fillId="0" borderId="15" xfId="0" applyFont="1" applyFill="1" applyBorder="1" applyAlignment="1" applyProtection="1">
      <alignment horizontal="left" wrapText="1"/>
      <protection hidden="1"/>
    </xf>
    <xf numFmtId="0" fontId="7" fillId="0" borderId="28" xfId="0" applyFont="1" applyFill="1" applyBorder="1" applyProtection="1">
      <protection hidden="1"/>
    </xf>
    <xf numFmtId="0" fontId="7" fillId="0" borderId="26" xfId="0" applyFont="1" applyFill="1" applyBorder="1" applyAlignment="1" applyProtection="1">
      <alignment horizontal="left" wrapText="1"/>
      <protection hidden="1"/>
    </xf>
    <xf numFmtId="0" fontId="7" fillId="0" borderId="39" xfId="0" applyFont="1" applyFill="1" applyBorder="1" applyAlignment="1" applyProtection="1">
      <alignment horizontal="left" wrapText="1"/>
      <protection hidden="1"/>
    </xf>
    <xf numFmtId="4" fontId="6" fillId="0" borderId="0" xfId="0" applyNumberFormat="1" applyFont="1" applyFill="1" applyBorder="1"/>
    <xf numFmtId="169" fontId="4" fillId="0" borderId="0" xfId="0" applyNumberFormat="1" applyFont="1" applyBorder="1" applyProtection="1">
      <protection hidden="1"/>
    </xf>
    <xf numFmtId="0" fontId="26" fillId="9" borderId="1" xfId="0" applyFont="1" applyFill="1" applyBorder="1" applyAlignment="1">
      <alignment wrapText="1"/>
    </xf>
    <xf numFmtId="2" fontId="6" fillId="0" borderId="0" xfId="0" applyNumberFormat="1" applyFont="1" applyFill="1" applyBorder="1"/>
    <xf numFmtId="0" fontId="6" fillId="6" borderId="57" xfId="0" applyFont="1" applyFill="1" applyBorder="1" applyAlignment="1">
      <alignment wrapText="1"/>
    </xf>
    <xf numFmtId="0" fontId="4" fillId="0" borderId="46" xfId="0" applyFont="1" applyFill="1" applyBorder="1" applyAlignment="1" applyProtection="1">
      <alignment horizontal="center"/>
      <protection hidden="1"/>
    </xf>
    <xf numFmtId="0" fontId="4" fillId="2" borderId="46" xfId="0" applyFont="1" applyFill="1" applyBorder="1" applyAlignment="1" applyProtection="1">
      <alignment horizontal="center"/>
      <protection locked="0"/>
    </xf>
    <xf numFmtId="0" fontId="4" fillId="0" borderId="46" xfId="0" applyFont="1" applyBorder="1" applyAlignment="1" applyProtection="1">
      <alignment horizontal="center"/>
      <protection hidden="1"/>
    </xf>
    <xf numFmtId="0" fontId="4" fillId="0" borderId="50" xfId="0" applyFont="1" applyBorder="1" applyAlignment="1" applyProtection="1">
      <alignment horizontal="center"/>
      <protection hidden="1"/>
    </xf>
    <xf numFmtId="0" fontId="6" fillId="0" borderId="41" xfId="0" applyFont="1" applyBorder="1" applyAlignment="1" applyProtection="1">
      <alignment horizontal="center"/>
      <protection hidden="1"/>
    </xf>
    <xf numFmtId="0" fontId="16" fillId="6" borderId="48" xfId="0" applyFont="1" applyFill="1" applyBorder="1" applyAlignment="1" applyProtection="1">
      <protection hidden="1"/>
    </xf>
    <xf numFmtId="166" fontId="4" fillId="0" borderId="46" xfId="0" applyNumberFormat="1" applyFont="1" applyFill="1" applyBorder="1" applyAlignment="1" applyProtection="1">
      <alignment horizontal="center"/>
      <protection hidden="1"/>
    </xf>
    <xf numFmtId="166" fontId="4" fillId="0" borderId="48" xfId="0" applyNumberFormat="1" applyFont="1" applyFill="1" applyBorder="1" applyAlignment="1" applyProtection="1">
      <alignment horizontal="center"/>
      <protection hidden="1"/>
    </xf>
    <xf numFmtId="0" fontId="6" fillId="0" borderId="46" xfId="0" applyFont="1" applyBorder="1" applyAlignment="1" applyProtection="1">
      <alignment horizontal="center"/>
      <protection hidden="1"/>
    </xf>
    <xf numFmtId="0" fontId="4" fillId="0" borderId="48" xfId="0" applyFont="1" applyBorder="1" applyAlignment="1" applyProtection="1">
      <alignment horizontal="center"/>
      <protection hidden="1"/>
    </xf>
    <xf numFmtId="0" fontId="41" fillId="11" borderId="0" xfId="0" applyFont="1" applyFill="1" applyBorder="1" applyAlignment="1">
      <alignment horizontal="center" vertical="center"/>
    </xf>
    <xf numFmtId="0" fontId="4" fillId="9" borderId="0" xfId="0" applyFont="1" applyFill="1"/>
    <xf numFmtId="166" fontId="6" fillId="0" borderId="7" xfId="0" applyNumberFormat="1" applyFont="1" applyBorder="1" applyProtection="1">
      <protection hidden="1"/>
    </xf>
    <xf numFmtId="0" fontId="0" fillId="9" borderId="1" xfId="0" applyFill="1" applyBorder="1"/>
    <xf numFmtId="0" fontId="38" fillId="0" borderId="1" xfId="0" applyFont="1" applyBorder="1"/>
    <xf numFmtId="2" fontId="0" fillId="0" borderId="1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66" fontId="0" fillId="0" borderId="1" xfId="0" applyNumberFormat="1" applyBorder="1"/>
    <xf numFmtId="166" fontId="0" fillId="0" borderId="9" xfId="0" applyNumberFormat="1" applyBorder="1"/>
    <xf numFmtId="2" fontId="7" fillId="0" borderId="1" xfId="0" applyNumberFormat="1" applyFont="1" applyBorder="1" applyAlignment="1">
      <alignment horizontal="center"/>
    </xf>
    <xf numFmtId="4" fontId="6" fillId="12" borderId="33" xfId="0" applyNumberFormat="1" applyFont="1" applyFill="1" applyBorder="1"/>
    <xf numFmtId="2" fontId="4" fillId="13" borderId="15" xfId="0" applyNumberFormat="1" applyFont="1" applyFill="1" applyBorder="1" applyAlignment="1" applyProtection="1">
      <alignment horizontal="center"/>
      <protection locked="0"/>
    </xf>
    <xf numFmtId="0" fontId="6" fillId="6" borderId="23" xfId="0" applyFont="1" applyFill="1" applyBorder="1" applyAlignment="1">
      <alignment horizontal="center"/>
    </xf>
    <xf numFmtId="0" fontId="4" fillId="0" borderId="54" xfId="0" applyFont="1" applyBorder="1"/>
    <xf numFmtId="0" fontId="4" fillId="0" borderId="54" xfId="0" applyFont="1" applyFill="1" applyBorder="1"/>
    <xf numFmtId="4" fontId="6" fillId="0" borderId="31" xfId="0" applyNumberFormat="1" applyFont="1" applyBorder="1" applyProtection="1">
      <protection hidden="1"/>
    </xf>
    <xf numFmtId="0" fontId="16" fillId="6" borderId="22" xfId="0" applyFont="1" applyFill="1" applyBorder="1" applyAlignment="1" applyProtection="1">
      <protection hidden="1"/>
    </xf>
    <xf numFmtId="0" fontId="4" fillId="0" borderId="18" xfId="0" applyFont="1" applyBorder="1"/>
    <xf numFmtId="166" fontId="4" fillId="0" borderId="18" xfId="0" applyNumberFormat="1" applyFont="1" applyBorder="1" applyProtection="1">
      <protection hidden="1"/>
    </xf>
    <xf numFmtId="4" fontId="6" fillId="6" borderId="31" xfId="0" applyNumberFormat="1" applyFont="1" applyFill="1" applyBorder="1"/>
    <xf numFmtId="166" fontId="4" fillId="0" borderId="22" xfId="0" applyNumberFormat="1" applyFont="1" applyBorder="1" applyProtection="1">
      <protection hidden="1"/>
    </xf>
    <xf numFmtId="2" fontId="4" fillId="0" borderId="14" xfId="0" applyNumberFormat="1" applyFont="1" applyFill="1" applyBorder="1" applyAlignment="1" applyProtection="1">
      <alignment horizontal="center"/>
      <protection hidden="1"/>
    </xf>
    <xf numFmtId="4" fontId="4" fillId="0" borderId="15" xfId="0" applyNumberFormat="1" applyFont="1" applyBorder="1" applyAlignment="1" applyProtection="1">
      <alignment horizontal="right"/>
      <protection hidden="1"/>
    </xf>
    <xf numFmtId="4" fontId="4" fillId="0" borderId="29" xfId="0" applyNumberFormat="1" applyFont="1" applyBorder="1" applyAlignment="1" applyProtection="1">
      <alignment horizontal="right"/>
      <protection hidden="1"/>
    </xf>
    <xf numFmtId="4" fontId="4" fillId="0" borderId="38" xfId="0" applyNumberFormat="1" applyFont="1" applyFill="1" applyBorder="1" applyAlignment="1" applyProtection="1">
      <alignment horizontal="right"/>
      <protection hidden="1"/>
    </xf>
    <xf numFmtId="4" fontId="6" fillId="12" borderId="34" xfId="0" applyNumberFormat="1" applyFont="1" applyFill="1" applyBorder="1"/>
    <xf numFmtId="2" fontId="7" fillId="0" borderId="10" xfId="0" applyNumberFormat="1" applyFont="1" applyFill="1" applyBorder="1" applyAlignment="1"/>
    <xf numFmtId="0" fontId="38" fillId="10" borderId="1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9" borderId="46" xfId="0" applyFont="1" applyFill="1" applyBorder="1" applyAlignment="1">
      <alignment horizontal="center"/>
    </xf>
    <xf numFmtId="2" fontId="0" fillId="0" borderId="49" xfId="0" applyNumberFormat="1" applyFill="1" applyBorder="1" applyAlignment="1"/>
    <xf numFmtId="2" fontId="0" fillId="0" borderId="50" xfId="0" applyNumberFormat="1" applyFill="1" applyBorder="1" applyAlignment="1"/>
    <xf numFmtId="0" fontId="7" fillId="0" borderId="1" xfId="0" applyFont="1" applyBorder="1" applyAlignment="1">
      <alignment horizontal="center"/>
    </xf>
    <xf numFmtId="0" fontId="6" fillId="6" borderId="30" xfId="0" applyFont="1" applyFill="1" applyBorder="1" applyAlignment="1" applyProtection="1">
      <alignment horizontal="center"/>
      <protection hidden="1"/>
    </xf>
    <xf numFmtId="0" fontId="6" fillId="6" borderId="25" xfId="0" applyFont="1" applyFill="1" applyBorder="1" applyAlignment="1">
      <alignment wrapText="1"/>
    </xf>
    <xf numFmtId="0" fontId="6" fillId="6" borderId="30" xfId="0" applyFont="1" applyFill="1" applyBorder="1" applyAlignment="1">
      <alignment wrapText="1"/>
    </xf>
    <xf numFmtId="0" fontId="6" fillId="6" borderId="41" xfId="0" applyFont="1" applyFill="1" applyBorder="1" applyAlignment="1">
      <alignment wrapText="1"/>
    </xf>
    <xf numFmtId="0" fontId="4" fillId="6" borderId="30" xfId="0" applyFont="1" applyFill="1" applyBorder="1" applyAlignment="1">
      <alignment horizontal="center"/>
    </xf>
    <xf numFmtId="0" fontId="4" fillId="6" borderId="30" xfId="0" applyFont="1" applyFill="1" applyBorder="1"/>
    <xf numFmtId="4" fontId="6" fillId="9" borderId="34" xfId="0" applyNumberFormat="1" applyFont="1" applyFill="1" applyBorder="1"/>
    <xf numFmtId="0" fontId="7" fillId="0" borderId="1" xfId="0" applyFont="1" applyFill="1" applyBorder="1" applyAlignment="1">
      <alignment horizontal="center"/>
    </xf>
    <xf numFmtId="0" fontId="4" fillId="0" borderId="14" xfId="0" applyFont="1" applyFill="1" applyBorder="1" applyAlignment="1" applyProtection="1">
      <alignment horizontal="center"/>
      <protection locked="0"/>
    </xf>
    <xf numFmtId="0" fontId="4" fillId="0" borderId="46" xfId="0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 applyProtection="1">
      <alignment horizontal="center"/>
      <protection hidden="1"/>
    </xf>
    <xf numFmtId="2" fontId="39" fillId="9" borderId="1" xfId="0" applyNumberFormat="1" applyFont="1" applyFill="1" applyBorder="1" applyAlignment="1" applyProtection="1">
      <alignment horizontal="center"/>
      <protection hidden="1"/>
    </xf>
    <xf numFmtId="4" fontId="39" fillId="9" borderId="1" xfId="0" applyNumberFormat="1" applyFont="1" applyFill="1" applyBorder="1" applyAlignment="1" applyProtection="1">
      <alignment horizontal="right"/>
      <protection hidden="1"/>
    </xf>
    <xf numFmtId="3" fontId="39" fillId="9" borderId="1" xfId="0" applyNumberFormat="1" applyFont="1" applyFill="1" applyBorder="1"/>
    <xf numFmtId="0" fontId="38" fillId="10" borderId="1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9" borderId="46" xfId="0" applyFont="1" applyFill="1" applyBorder="1" applyAlignment="1">
      <alignment horizontal="center"/>
    </xf>
    <xf numFmtId="2" fontId="0" fillId="0" borderId="49" xfId="0" applyNumberFormat="1" applyFill="1" applyBorder="1" applyAlignment="1"/>
    <xf numFmtId="2" fontId="0" fillId="0" borderId="50" xfId="0" applyNumberFormat="1" applyFill="1" applyBorder="1" applyAlignment="1"/>
    <xf numFmtId="0" fontId="6" fillId="6" borderId="30" xfId="0" applyFont="1" applyFill="1" applyBorder="1" applyAlignment="1" applyProtection="1">
      <alignment horizontal="center"/>
      <protection hidden="1"/>
    </xf>
    <xf numFmtId="0" fontId="4" fillId="0" borderId="1" xfId="0" applyFont="1" applyBorder="1"/>
    <xf numFmtId="0" fontId="39" fillId="9" borderId="0" xfId="0" applyFont="1" applyFill="1" applyAlignment="1">
      <alignment horizontal="center"/>
    </xf>
    <xf numFmtId="0" fontId="39" fillId="9" borderId="14" xfId="0" applyFont="1" applyFill="1" applyBorder="1" applyAlignment="1" applyProtection="1">
      <alignment horizontal="center"/>
      <protection hidden="1"/>
    </xf>
    <xf numFmtId="0" fontId="39" fillId="9" borderId="46" xfId="0" applyFont="1" applyFill="1" applyBorder="1" applyAlignment="1" applyProtection="1">
      <alignment horizontal="center"/>
      <protection locked="0"/>
    </xf>
    <xf numFmtId="0" fontId="39" fillId="9" borderId="1" xfId="0" applyFont="1" applyFill="1" applyBorder="1"/>
    <xf numFmtId="0" fontId="4" fillId="2" borderId="15" xfId="0" applyNumberFormat="1" applyFont="1" applyFill="1" applyBorder="1" applyAlignment="1" applyProtection="1">
      <alignment horizontal="center"/>
      <protection locked="0"/>
    </xf>
    <xf numFmtId="0" fontId="39" fillId="9" borderId="46" xfId="0" applyFont="1" applyFill="1" applyBorder="1" applyAlignment="1" applyProtection="1">
      <alignment horizontal="center"/>
      <protection hidden="1"/>
    </xf>
    <xf numFmtId="0" fontId="6" fillId="2" borderId="1" xfId="0" applyNumberFormat="1" applyFont="1" applyFill="1" applyBorder="1" applyAlignment="1" applyProtection="1">
      <alignment horizontal="center"/>
      <protection locked="0"/>
    </xf>
    <xf numFmtId="166" fontId="4" fillId="14" borderId="14" xfId="0" applyNumberFormat="1" applyFont="1" applyFill="1" applyBorder="1" applyAlignment="1" applyProtection="1">
      <alignment horizontal="center"/>
      <protection hidden="1"/>
    </xf>
    <xf numFmtId="166" fontId="4" fillId="14" borderId="46" xfId="0" applyNumberFormat="1" applyFont="1" applyFill="1" applyBorder="1" applyAlignment="1" applyProtection="1">
      <alignment horizontal="center"/>
      <protection hidden="1"/>
    </xf>
    <xf numFmtId="2" fontId="4" fillId="14" borderId="1" xfId="0" applyNumberFormat="1" applyFont="1" applyFill="1" applyBorder="1" applyAlignment="1" applyProtection="1">
      <alignment horizontal="center"/>
      <protection locked="0" hidden="1"/>
    </xf>
    <xf numFmtId="4" fontId="4" fillId="14" borderId="1" xfId="0" applyNumberFormat="1" applyFont="1" applyFill="1" applyBorder="1" applyAlignment="1" applyProtection="1">
      <alignment horizontal="center"/>
      <protection hidden="1"/>
    </xf>
    <xf numFmtId="4" fontId="4" fillId="14" borderId="1" xfId="0" applyNumberFormat="1" applyFont="1" applyFill="1" applyBorder="1" applyAlignment="1" applyProtection="1">
      <alignment horizontal="right"/>
      <protection hidden="1"/>
    </xf>
    <xf numFmtId="4" fontId="4" fillId="14" borderId="15" xfId="0" applyNumberFormat="1" applyFont="1" applyFill="1" applyBorder="1" applyAlignment="1" applyProtection="1">
      <alignment horizontal="right"/>
      <protection hidden="1"/>
    </xf>
    <xf numFmtId="0" fontId="4" fillId="14" borderId="18" xfId="0" applyFont="1" applyFill="1" applyBorder="1"/>
    <xf numFmtId="0" fontId="4" fillId="14" borderId="15" xfId="0" applyFont="1" applyFill="1" applyBorder="1"/>
    <xf numFmtId="4" fontId="6" fillId="14" borderId="34" xfId="0" applyNumberFormat="1" applyFont="1" applyFill="1" applyBorder="1" applyProtection="1">
      <protection hidden="1"/>
    </xf>
    <xf numFmtId="0" fontId="39" fillId="14" borderId="14" xfId="0" applyFont="1" applyFill="1" applyBorder="1" applyAlignment="1" applyProtection="1">
      <alignment horizontal="center"/>
      <protection hidden="1"/>
    </xf>
    <xf numFmtId="0" fontId="39" fillId="14" borderId="46" xfId="0" applyFont="1" applyFill="1" applyBorder="1" applyAlignment="1" applyProtection="1">
      <alignment horizontal="center"/>
      <protection locked="0"/>
    </xf>
    <xf numFmtId="2" fontId="39" fillId="14" borderId="1" xfId="0" applyNumberFormat="1" applyFont="1" applyFill="1" applyBorder="1" applyAlignment="1" applyProtection="1">
      <alignment horizontal="center"/>
      <protection hidden="1"/>
    </xf>
    <xf numFmtId="0" fontId="39" fillId="14" borderId="1" xfId="0" applyFont="1" applyFill="1" applyBorder="1"/>
    <xf numFmtId="4" fontId="39" fillId="14" borderId="1" xfId="0" applyNumberFormat="1" applyFont="1" applyFill="1" applyBorder="1" applyAlignment="1" applyProtection="1">
      <alignment horizontal="right"/>
      <protection hidden="1"/>
    </xf>
    <xf numFmtId="0" fontId="42" fillId="14" borderId="1" xfId="0" applyFont="1" applyFill="1" applyBorder="1" applyProtection="1">
      <protection hidden="1"/>
    </xf>
    <xf numFmtId="0" fontId="4" fillId="0" borderId="1" xfId="0" applyFont="1" applyBorder="1"/>
    <xf numFmtId="166" fontId="6" fillId="0" borderId="1" xfId="0" applyNumberFormat="1" applyFont="1" applyFill="1" applyBorder="1"/>
    <xf numFmtId="0" fontId="6" fillId="0" borderId="1" xfId="0" applyFont="1" applyFill="1" applyBorder="1"/>
    <xf numFmtId="167" fontId="4" fillId="0" borderId="1" xfId="0" applyNumberFormat="1" applyFont="1" applyFill="1" applyBorder="1"/>
    <xf numFmtId="166" fontId="4" fillId="0" borderId="1" xfId="0" applyNumberFormat="1" applyFont="1" applyFill="1" applyBorder="1"/>
    <xf numFmtId="168" fontId="4" fillId="0" borderId="1" xfId="0" applyNumberFormat="1" applyFont="1" applyFill="1" applyBorder="1"/>
    <xf numFmtId="0" fontId="4" fillId="0" borderId="1" xfId="0" applyFont="1" applyFill="1" applyBorder="1" applyAlignment="1">
      <alignment horizontal="center" wrapText="1"/>
    </xf>
    <xf numFmtId="164" fontId="0" fillId="0" borderId="1" xfId="1" applyFont="1" applyBorder="1"/>
    <xf numFmtId="164" fontId="4" fillId="0" borderId="0" xfId="0" applyNumberFormat="1" applyFont="1" applyFill="1" applyBorder="1"/>
    <xf numFmtId="166" fontId="4" fillId="0" borderId="7" xfId="0" applyNumberFormat="1" applyFont="1" applyBorder="1"/>
    <xf numFmtId="0" fontId="44" fillId="0" borderId="1" xfId="0" applyFont="1" applyBorder="1"/>
    <xf numFmtId="166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40" fillId="0" borderId="1" xfId="0" applyFont="1" applyFill="1" applyBorder="1"/>
    <xf numFmtId="9" fontId="4" fillId="0" borderId="1" xfId="0" applyNumberFormat="1" applyFont="1" applyFill="1" applyBorder="1"/>
    <xf numFmtId="0" fontId="7" fillId="0" borderId="1" xfId="0" applyFont="1" applyBorder="1" applyAlignment="1">
      <alignment horizontal="left"/>
    </xf>
    <xf numFmtId="164" fontId="7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66" fontId="6" fillId="0" borderId="1" xfId="0" applyNumberFormat="1" applyFont="1" applyBorder="1"/>
    <xf numFmtId="0" fontId="7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5" fillId="0" borderId="1" xfId="0" quotePrefix="1" applyFont="1" applyBorder="1" applyAlignment="1">
      <alignment horizontal="center" vertical="center"/>
    </xf>
    <xf numFmtId="0" fontId="7" fillId="0" borderId="13" xfId="0" applyFont="1" applyBorder="1"/>
    <xf numFmtId="0" fontId="2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19" fillId="0" borderId="1" xfId="0" applyFont="1" applyBorder="1" applyAlignment="1">
      <alignment wrapText="1"/>
    </xf>
    <xf numFmtId="0" fontId="6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left"/>
    </xf>
    <xf numFmtId="0" fontId="7" fillId="0" borderId="1" xfId="0" applyFont="1" applyFill="1" applyBorder="1" applyAlignment="1" applyProtection="1">
      <alignment horizontal="left"/>
      <protection hidden="1"/>
    </xf>
    <xf numFmtId="0" fontId="4" fillId="0" borderId="1" xfId="0" applyFont="1" applyFill="1" applyBorder="1" applyAlignment="1" applyProtection="1">
      <alignment horizontal="left"/>
      <protection hidden="1"/>
    </xf>
    <xf numFmtId="0" fontId="15" fillId="0" borderId="1" xfId="0" applyFont="1" applyBorder="1" applyAlignment="1">
      <alignment horizontal="center" wrapText="1"/>
    </xf>
    <xf numFmtId="0" fontId="0" fillId="4" borderId="1" xfId="0" applyFill="1" applyBorder="1"/>
    <xf numFmtId="0" fontId="0" fillId="0" borderId="1" xfId="0" applyBorder="1" applyAlignment="1">
      <alignment wrapText="1"/>
    </xf>
    <xf numFmtId="0" fontId="4" fillId="0" borderId="1" xfId="0" applyFont="1" applyFill="1" applyBorder="1" applyAlignment="1">
      <alignment horizontal="center"/>
    </xf>
    <xf numFmtId="2" fontId="42" fillId="0" borderId="1" xfId="0" applyNumberFormat="1" applyFont="1" applyFill="1" applyBorder="1"/>
    <xf numFmtId="164" fontId="4" fillId="0" borderId="1" xfId="0" applyNumberFormat="1" applyFont="1" applyBorder="1"/>
    <xf numFmtId="9" fontId="0" fillId="0" borderId="1" xfId="0" applyNumberFormat="1" applyBorder="1"/>
    <xf numFmtId="0" fontId="4" fillId="0" borderId="1" xfId="0" applyFont="1" applyBorder="1"/>
    <xf numFmtId="9" fontId="0" fillId="0" borderId="0" xfId="0" applyNumberFormat="1"/>
    <xf numFmtId="9" fontId="7" fillId="0" borderId="1" xfId="0" applyNumberFormat="1" applyFont="1" applyBorder="1"/>
    <xf numFmtId="0" fontId="42" fillId="0" borderId="1" xfId="0" applyFont="1" applyFill="1" applyBorder="1"/>
    <xf numFmtId="0" fontId="7" fillId="0" borderId="0" xfId="0" applyFont="1"/>
    <xf numFmtId="0" fontId="44" fillId="0" borderId="0" xfId="0" applyFont="1"/>
    <xf numFmtId="164" fontId="0" fillId="0" borderId="0" xfId="0" applyNumberFormat="1"/>
    <xf numFmtId="166" fontId="39" fillId="9" borderId="1" xfId="0" applyNumberFormat="1" applyFont="1" applyFill="1" applyBorder="1"/>
    <xf numFmtId="164" fontId="7" fillId="0" borderId="1" xfId="1" applyFont="1" applyBorder="1"/>
    <xf numFmtId="0" fontId="6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Protection="1">
      <protection hidden="1"/>
    </xf>
    <xf numFmtId="0" fontId="26" fillId="0" borderId="1" xfId="0" applyFont="1" applyFill="1" applyBorder="1" applyAlignment="1">
      <alignment horizontal="center" vertical="center"/>
    </xf>
    <xf numFmtId="166" fontId="25" fillId="0" borderId="1" xfId="0" applyNumberFormat="1" applyFont="1" applyFill="1" applyBorder="1"/>
    <xf numFmtId="0" fontId="0" fillId="0" borderId="0" xfId="0" applyAlignment="1">
      <alignment horizontal="center" vertical="center"/>
    </xf>
    <xf numFmtId="0" fontId="42" fillId="0" borderId="0" xfId="0" applyFont="1"/>
    <xf numFmtId="0" fontId="4" fillId="0" borderId="1" xfId="0" applyFont="1" applyBorder="1"/>
    <xf numFmtId="0" fontId="4" fillId="0" borderId="1" xfId="0" applyFont="1" applyBorder="1"/>
    <xf numFmtId="2" fontId="4" fillId="15" borderId="1" xfId="0" applyNumberFormat="1" applyFont="1" applyFill="1" applyBorder="1" applyAlignment="1" applyProtection="1">
      <alignment horizontal="center"/>
      <protection hidden="1"/>
    </xf>
    <xf numFmtId="0" fontId="4" fillId="15" borderId="1" xfId="0" applyFont="1" applyFill="1" applyBorder="1" applyAlignment="1" applyProtection="1">
      <alignment horizontal="center"/>
      <protection hidden="1"/>
    </xf>
    <xf numFmtId="4" fontId="4" fillId="15" borderId="9" xfId="0" applyNumberFormat="1" applyFont="1" applyFill="1" applyBorder="1" applyAlignment="1" applyProtection="1">
      <alignment horizontal="right"/>
      <protection hidden="1"/>
    </xf>
    <xf numFmtId="0" fontId="4" fillId="15" borderId="1" xfId="0" applyFont="1" applyFill="1" applyBorder="1"/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4" fontId="6" fillId="12" borderId="60" xfId="0" applyNumberFormat="1" applyFont="1" applyFill="1" applyBorder="1"/>
    <xf numFmtId="2" fontId="4" fillId="0" borderId="1" xfId="0" applyNumberFormat="1" applyFont="1" applyBorder="1" applyAlignment="1">
      <alignment horizontal="center"/>
    </xf>
    <xf numFmtId="2" fontId="7" fillId="0" borderId="8" xfId="0" applyNumberFormat="1" applyFont="1" applyFill="1" applyBorder="1" applyAlignment="1"/>
    <xf numFmtId="2" fontId="7" fillId="0" borderId="1" xfId="0" applyNumberFormat="1" applyFont="1" applyFill="1" applyBorder="1" applyAlignment="1"/>
    <xf numFmtId="0" fontId="4" fillId="0" borderId="1" xfId="0" applyFont="1" applyBorder="1"/>
    <xf numFmtId="170" fontId="4" fillId="0" borderId="0" xfId="0" applyNumberFormat="1" applyFont="1" applyFill="1"/>
    <xf numFmtId="2" fontId="0" fillId="0" borderId="8" xfId="0" applyNumberFormat="1" applyFill="1" applyBorder="1" applyAlignment="1"/>
    <xf numFmtId="2" fontId="0" fillId="0" borderId="54" xfId="0" applyNumberFormat="1" applyFill="1" applyBorder="1" applyAlignment="1"/>
    <xf numFmtId="2" fontId="0" fillId="0" borderId="46" xfId="0" applyNumberFormat="1" applyFill="1" applyBorder="1" applyAlignment="1"/>
    <xf numFmtId="2" fontId="46" fillId="0" borderId="1" xfId="6" applyNumberFormat="1" applyBorder="1" applyAlignment="1">
      <alignment horizontal="center"/>
    </xf>
    <xf numFmtId="166" fontId="46" fillId="0" borderId="1" xfId="6" applyNumberFormat="1" applyBorder="1"/>
    <xf numFmtId="2" fontId="7" fillId="0" borderId="1" xfId="6" applyNumberFormat="1" applyFont="1" applyBorder="1" applyAlignment="1">
      <alignment horizontal="center"/>
    </xf>
    <xf numFmtId="2" fontId="46" fillId="0" borderId="8" xfId="6" applyNumberFormat="1" applyFill="1" applyBorder="1" applyAlignment="1"/>
    <xf numFmtId="2" fontId="46" fillId="0" borderId="54" xfId="6" applyNumberFormat="1" applyFill="1" applyBorder="1" applyAlignment="1"/>
    <xf numFmtId="2" fontId="46" fillId="0" borderId="46" xfId="6" applyNumberFormat="1" applyFill="1" applyBorder="1" applyAlignment="1"/>
    <xf numFmtId="0" fontId="4" fillId="0" borderId="1" xfId="0" applyFont="1" applyBorder="1"/>
    <xf numFmtId="0" fontId="4" fillId="0" borderId="1" xfId="0" applyFont="1" applyBorder="1"/>
    <xf numFmtId="0" fontId="42" fillId="9" borderId="1" xfId="0" applyFont="1" applyFill="1" applyBorder="1"/>
    <xf numFmtId="167" fontId="25" fillId="16" borderId="1" xfId="0" applyNumberFormat="1" applyFont="1" applyFill="1" applyBorder="1" applyAlignment="1">
      <alignment horizontal="center"/>
    </xf>
    <xf numFmtId="166" fontId="25" fillId="16" borderId="1" xfId="0" applyNumberFormat="1" applyFont="1" applyFill="1" applyBorder="1" applyAlignment="1">
      <alignment horizontal="center"/>
    </xf>
    <xf numFmtId="0" fontId="44" fillId="16" borderId="1" xfId="0" applyFont="1" applyFill="1" applyBorder="1" applyAlignment="1">
      <alignment horizontal="center"/>
    </xf>
    <xf numFmtId="167" fontId="4" fillId="16" borderId="1" xfId="0" applyNumberFormat="1" applyFont="1" applyFill="1" applyBorder="1" applyAlignment="1">
      <alignment horizontal="center"/>
    </xf>
    <xf numFmtId="166" fontId="4" fillId="16" borderId="1" xfId="0" applyNumberFormat="1" applyFont="1" applyFill="1" applyBorder="1" applyAlignment="1">
      <alignment horizontal="center"/>
    </xf>
    <xf numFmtId="2" fontId="6" fillId="16" borderId="1" xfId="0" applyNumberFormat="1" applyFont="1" applyFill="1" applyBorder="1"/>
    <xf numFmtId="0" fontId="44" fillId="16" borderId="1" xfId="0" applyFont="1" applyFill="1" applyBorder="1"/>
    <xf numFmtId="0" fontId="44" fillId="16" borderId="1" xfId="0" applyFont="1" applyFill="1" applyBorder="1" applyProtection="1">
      <protection hidden="1"/>
    </xf>
    <xf numFmtId="2" fontId="44" fillId="16" borderId="1" xfId="0" applyNumberFormat="1" applyFont="1" applyFill="1" applyBorder="1"/>
    <xf numFmtId="2" fontId="0" fillId="16" borderId="1" xfId="0" applyNumberFormat="1" applyFill="1" applyBorder="1"/>
    <xf numFmtId="166" fontId="4" fillId="16" borderId="1" xfId="0" applyNumberFormat="1" applyFont="1" applyFill="1" applyBorder="1"/>
    <xf numFmtId="2" fontId="4" fillId="16" borderId="1" xfId="0" applyNumberFormat="1" applyFont="1" applyFill="1" applyBorder="1"/>
    <xf numFmtId="164" fontId="0" fillId="9" borderId="1" xfId="1" applyFont="1" applyFill="1" applyBorder="1"/>
    <xf numFmtId="4" fontId="4" fillId="0" borderId="0" xfId="0" applyNumberFormat="1" applyFont="1" applyAlignment="1">
      <alignment horizontal="center" vertical="center"/>
    </xf>
    <xf numFmtId="0" fontId="4" fillId="9" borderId="46" xfId="0" applyFont="1" applyFill="1" applyBorder="1" applyAlignment="1" applyProtection="1">
      <alignment horizontal="center"/>
      <protection hidden="1"/>
    </xf>
    <xf numFmtId="2" fontId="4" fillId="9" borderId="1" xfId="0" applyNumberFormat="1" applyFont="1" applyFill="1" applyBorder="1" applyAlignment="1" applyProtection="1">
      <alignment horizontal="center"/>
      <protection hidden="1"/>
    </xf>
    <xf numFmtId="4" fontId="4" fillId="9" borderId="1" xfId="0" applyNumberFormat="1" applyFont="1" applyFill="1" applyBorder="1" applyAlignment="1" applyProtection="1">
      <alignment horizontal="right"/>
      <protection hidden="1"/>
    </xf>
    <xf numFmtId="4" fontId="4" fillId="9" borderId="15" xfId="0" applyNumberFormat="1" applyFont="1" applyFill="1" applyBorder="1" applyAlignment="1" applyProtection="1">
      <alignment horizontal="right"/>
      <protection hidden="1"/>
    </xf>
    <xf numFmtId="0" fontId="4" fillId="9" borderId="54" xfId="0" applyFont="1" applyFill="1" applyBorder="1"/>
    <xf numFmtId="2" fontId="4" fillId="9" borderId="1" xfId="0" applyNumberFormat="1" applyFont="1" applyFill="1" applyBorder="1"/>
    <xf numFmtId="0" fontId="4" fillId="9" borderId="0" xfId="0" applyFont="1" applyFill="1" applyBorder="1"/>
    <xf numFmtId="0" fontId="4" fillId="9" borderId="7" xfId="0" applyFont="1" applyFill="1" applyBorder="1"/>
    <xf numFmtId="0" fontId="21" fillId="9" borderId="0" xfId="0" applyFont="1" applyFill="1" applyBorder="1"/>
    <xf numFmtId="0" fontId="25" fillId="9" borderId="0" xfId="0" applyFont="1" applyFill="1" applyBorder="1"/>
    <xf numFmtId="0" fontId="4" fillId="9" borderId="2" xfId="0" applyFont="1" applyFill="1" applyBorder="1"/>
    <xf numFmtId="0" fontId="0" fillId="9" borderId="0" xfId="0" applyFill="1"/>
    <xf numFmtId="0" fontId="41" fillId="9" borderId="0" xfId="0" applyFont="1" applyFill="1" applyBorder="1" applyAlignment="1">
      <alignment horizontal="center" vertical="center"/>
    </xf>
    <xf numFmtId="0" fontId="25" fillId="0" borderId="14" xfId="0" applyFont="1" applyFill="1" applyBorder="1" applyAlignment="1" applyProtection="1">
      <alignment horizontal="center"/>
      <protection hidden="1"/>
    </xf>
    <xf numFmtId="166" fontId="4" fillId="0" borderId="9" xfId="0" applyNumberFormat="1" applyFont="1" applyFill="1" applyBorder="1"/>
    <xf numFmtId="166" fontId="4" fillId="0" borderId="0" xfId="0" applyNumberFormat="1" applyFont="1" applyFill="1" applyBorder="1"/>
    <xf numFmtId="0" fontId="12" fillId="0" borderId="0" xfId="0" applyFont="1" applyFill="1" applyBorder="1"/>
    <xf numFmtId="0" fontId="4" fillId="14" borderId="0" xfId="0" applyFont="1" applyFill="1"/>
    <xf numFmtId="0" fontId="4" fillId="14" borderId="0" xfId="0" applyFont="1" applyFill="1" applyAlignment="1">
      <alignment horizontal="center"/>
    </xf>
    <xf numFmtId="2" fontId="7" fillId="14" borderId="1" xfId="6" applyNumberFormat="1" applyFont="1" applyFill="1" applyBorder="1" applyAlignment="1">
      <alignment horizontal="center"/>
    </xf>
    <xf numFmtId="2" fontId="46" fillId="14" borderId="1" xfId="6" applyNumberFormat="1" applyFill="1" applyBorder="1" applyAlignment="1">
      <alignment horizontal="center"/>
    </xf>
    <xf numFmtId="166" fontId="46" fillId="14" borderId="1" xfId="6" applyNumberFormat="1" applyFill="1" applyBorder="1"/>
    <xf numFmtId="0" fontId="29" fillId="0" borderId="1" xfId="0" applyFont="1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13" fillId="0" borderId="40" xfId="0" applyFont="1" applyBorder="1" applyAlignment="1">
      <alignment horizontal="center" vertical="center" wrapText="1"/>
    </xf>
    <xf numFmtId="0" fontId="11" fillId="0" borderId="40" xfId="0" applyFont="1" applyBorder="1" applyAlignment="1">
      <alignment horizontal="center" wrapText="1"/>
    </xf>
    <xf numFmtId="0" fontId="6" fillId="6" borderId="25" xfId="0" applyFont="1" applyFill="1" applyBorder="1" applyAlignment="1">
      <alignment horizontal="center" wrapText="1"/>
    </xf>
    <xf numFmtId="0" fontId="6" fillId="6" borderId="41" xfId="0" applyFont="1" applyFill="1" applyBorder="1" applyAlignment="1">
      <alignment horizontal="center" wrapText="1"/>
    </xf>
    <xf numFmtId="0" fontId="6" fillId="7" borderId="25" xfId="0" applyFont="1" applyFill="1" applyBorder="1" applyAlignment="1" applyProtection="1">
      <alignment horizontal="center"/>
      <protection hidden="1"/>
    </xf>
    <xf numFmtId="0" fontId="6" fillId="7" borderId="30" xfId="0" applyFont="1" applyFill="1" applyBorder="1" applyAlignment="1" applyProtection="1">
      <alignment horizontal="center"/>
      <protection hidden="1"/>
    </xf>
    <xf numFmtId="0" fontId="6" fillId="7" borderId="31" xfId="0" applyFont="1" applyFill="1" applyBorder="1" applyAlignment="1" applyProtection="1">
      <alignment horizontal="center"/>
      <protection hidden="1"/>
    </xf>
    <xf numFmtId="0" fontId="33" fillId="0" borderId="20" xfId="0" applyFont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0" fontId="29" fillId="0" borderId="9" xfId="0" applyFont="1" applyBorder="1" applyAlignment="1">
      <alignment horizontal="center"/>
    </xf>
    <xf numFmtId="0" fontId="26" fillId="9" borderId="8" xfId="0" applyFont="1" applyFill="1" applyBorder="1" applyAlignment="1">
      <alignment horizontal="center"/>
    </xf>
    <xf numFmtId="0" fontId="26" fillId="9" borderId="46" xfId="0" applyFont="1" applyFill="1" applyBorder="1" applyAlignment="1">
      <alignment horizontal="center"/>
    </xf>
    <xf numFmtId="0" fontId="19" fillId="0" borderId="27" xfId="0" applyFont="1" applyBorder="1" applyAlignment="1">
      <alignment horizontal="center" wrapText="1"/>
    </xf>
    <xf numFmtId="0" fontId="19" fillId="0" borderId="7" xfId="0" applyFont="1" applyBorder="1" applyAlignment="1">
      <alignment horizontal="center" wrapText="1"/>
    </xf>
    <xf numFmtId="0" fontId="38" fillId="10" borderId="1" xfId="0" applyFont="1" applyFill="1" applyBorder="1" applyAlignment="1">
      <alignment horizontal="center"/>
    </xf>
    <xf numFmtId="0" fontId="19" fillId="0" borderId="14" xfId="0" applyFont="1" applyBorder="1" applyAlignment="1">
      <alignment horizontal="center" wrapText="1"/>
    </xf>
    <xf numFmtId="0" fontId="4" fillId="9" borderId="8" xfId="0" applyFont="1" applyFill="1" applyBorder="1" applyAlignment="1">
      <alignment horizontal="center"/>
    </xf>
    <xf numFmtId="0" fontId="4" fillId="9" borderId="46" xfId="0" applyFont="1" applyFill="1" applyBorder="1" applyAlignment="1">
      <alignment horizontal="center"/>
    </xf>
    <xf numFmtId="0" fontId="26" fillId="9" borderId="1" xfId="0" applyFont="1" applyFill="1" applyBorder="1" applyAlignment="1">
      <alignment horizontal="center"/>
    </xf>
    <xf numFmtId="0" fontId="6" fillId="6" borderId="19" xfId="0" applyFont="1" applyFill="1" applyBorder="1" applyAlignment="1">
      <alignment horizontal="center" wrapText="1"/>
    </xf>
    <xf numFmtId="0" fontId="6" fillId="6" borderId="20" xfId="0" applyFont="1" applyFill="1" applyBorder="1" applyAlignment="1">
      <alignment horizontal="center" wrapText="1"/>
    </xf>
    <xf numFmtId="0" fontId="4" fillId="0" borderId="8" xfId="0" applyFont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wrapText="1"/>
    </xf>
    <xf numFmtId="0" fontId="38" fillId="10" borderId="19" xfId="0" applyFont="1" applyFill="1" applyBorder="1" applyAlignment="1">
      <alignment horizontal="center"/>
    </xf>
    <xf numFmtId="0" fontId="38" fillId="10" borderId="20" xfId="0" applyFont="1" applyFill="1" applyBorder="1" applyAlignment="1">
      <alignment horizontal="center"/>
    </xf>
    <xf numFmtId="0" fontId="38" fillId="10" borderId="21" xfId="0" applyFont="1" applyFill="1" applyBorder="1" applyAlignment="1">
      <alignment horizontal="center"/>
    </xf>
    <xf numFmtId="0" fontId="6" fillId="7" borderId="41" xfId="0" applyFont="1" applyFill="1" applyBorder="1" applyAlignment="1" applyProtection="1">
      <alignment horizontal="center"/>
      <protection hidden="1"/>
    </xf>
    <xf numFmtId="0" fontId="6" fillId="7" borderId="33" xfId="0" applyFont="1" applyFill="1" applyBorder="1" applyAlignment="1" applyProtection="1">
      <alignment horizontal="center"/>
      <protection hidden="1"/>
    </xf>
    <xf numFmtId="0" fontId="6" fillId="7" borderId="34" xfId="0" applyFont="1" applyFill="1" applyBorder="1" applyAlignment="1" applyProtection="1">
      <alignment horizontal="center"/>
      <protection hidden="1"/>
    </xf>
    <xf numFmtId="2" fontId="0" fillId="0" borderId="10" xfId="0" applyNumberFormat="1" applyFill="1" applyBorder="1" applyAlignment="1"/>
    <xf numFmtId="2" fontId="0" fillId="0" borderId="49" xfId="0" applyNumberFormat="1" applyFill="1" applyBorder="1" applyAlignment="1"/>
    <xf numFmtId="2" fontId="0" fillId="0" borderId="50" xfId="0" applyNumberFormat="1" applyFill="1" applyBorder="1" applyAlignment="1"/>
    <xf numFmtId="0" fontId="19" fillId="0" borderId="1" xfId="0" applyFont="1" applyBorder="1" applyAlignment="1">
      <alignment horizontal="center" wrapText="1"/>
    </xf>
    <xf numFmtId="0" fontId="6" fillId="6" borderId="5" xfId="0" applyFont="1" applyFill="1" applyBorder="1" applyAlignment="1" applyProtection="1">
      <alignment horizontal="center"/>
      <protection hidden="1"/>
    </xf>
    <xf numFmtId="0" fontId="6" fillId="6" borderId="3" xfId="0" applyFont="1" applyFill="1" applyBorder="1" applyAlignment="1" applyProtection="1">
      <alignment horizontal="center"/>
      <protection hidden="1"/>
    </xf>
    <xf numFmtId="0" fontId="6" fillId="6" borderId="59" xfId="0" applyFont="1" applyFill="1" applyBorder="1" applyAlignment="1" applyProtection="1">
      <alignment horizontal="center"/>
      <protection hidden="1"/>
    </xf>
    <xf numFmtId="0" fontId="22" fillId="6" borderId="25" xfId="0" applyFont="1" applyFill="1" applyBorder="1" applyAlignment="1" applyProtection="1">
      <alignment horizontal="center" vertical="center"/>
      <protection hidden="1"/>
    </xf>
    <xf numFmtId="0" fontId="22" fillId="6" borderId="30" xfId="0" applyFont="1" applyFill="1" applyBorder="1" applyAlignment="1" applyProtection="1">
      <alignment horizontal="center" vertical="center"/>
      <protection hidden="1"/>
    </xf>
    <xf numFmtId="0" fontId="22" fillId="6" borderId="41" xfId="0" applyFont="1" applyFill="1" applyBorder="1" applyAlignment="1" applyProtection="1">
      <alignment horizontal="center" vertical="center"/>
      <protection hidden="1"/>
    </xf>
    <xf numFmtId="2" fontId="7" fillId="14" borderId="8" xfId="6" applyNumberFormat="1" applyFont="1" applyFill="1" applyBorder="1" applyAlignment="1">
      <alignment horizontal="left"/>
    </xf>
    <xf numFmtId="2" fontId="46" fillId="14" borderId="54" xfId="6" applyNumberFormat="1" applyFill="1" applyBorder="1" applyAlignment="1">
      <alignment horizontal="left"/>
    </xf>
    <xf numFmtId="2" fontId="46" fillId="14" borderId="46" xfId="6" applyNumberFormat="1" applyFill="1" applyBorder="1" applyAlignment="1">
      <alignment horizontal="left"/>
    </xf>
    <xf numFmtId="0" fontId="4" fillId="0" borderId="1" xfId="0" applyFont="1" applyBorder="1"/>
    <xf numFmtId="0" fontId="4" fillId="0" borderId="8" xfId="0" applyFont="1" applyBorder="1" applyAlignment="1">
      <alignment horizontal="left"/>
    </xf>
    <xf numFmtId="0" fontId="0" fillId="0" borderId="54" xfId="0" applyBorder="1"/>
    <xf numFmtId="0" fontId="0" fillId="0" borderId="46" xfId="0" applyBorder="1"/>
    <xf numFmtId="0" fontId="6" fillId="6" borderId="43" xfId="0" applyFont="1" applyFill="1" applyBorder="1" applyAlignment="1">
      <alignment horizontal="center" wrapText="1"/>
    </xf>
    <xf numFmtId="0" fontId="6" fillId="6" borderId="58" xfId="0" applyFont="1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/>
    </xf>
    <xf numFmtId="0" fontId="16" fillId="6" borderId="25" xfId="0" applyFont="1" applyFill="1" applyBorder="1" applyAlignment="1" applyProtection="1">
      <alignment horizontal="center"/>
      <protection hidden="1"/>
    </xf>
    <xf numFmtId="0" fontId="16" fillId="6" borderId="30" xfId="0" applyFont="1" applyFill="1" applyBorder="1" applyAlignment="1" applyProtection="1">
      <alignment horizontal="center"/>
      <protection hidden="1"/>
    </xf>
    <xf numFmtId="0" fontId="16" fillId="6" borderId="41" xfId="0" applyFont="1" applyFill="1" applyBorder="1" applyAlignment="1" applyProtection="1">
      <alignment horizontal="center"/>
      <protection hidden="1"/>
    </xf>
    <xf numFmtId="0" fontId="6" fillId="6" borderId="25" xfId="0" applyFont="1" applyFill="1" applyBorder="1" applyAlignment="1" applyProtection="1">
      <alignment horizontal="center"/>
      <protection hidden="1"/>
    </xf>
    <xf numFmtId="0" fontId="6" fillId="6" borderId="30" xfId="0" applyFont="1" applyFill="1" applyBorder="1" applyAlignment="1" applyProtection="1">
      <alignment horizontal="center"/>
      <protection hidden="1"/>
    </xf>
    <xf numFmtId="0" fontId="6" fillId="6" borderId="41" xfId="0" applyFont="1" applyFill="1" applyBorder="1" applyAlignment="1" applyProtection="1">
      <alignment horizontal="center"/>
      <protection hidden="1"/>
    </xf>
    <xf numFmtId="0" fontId="22" fillId="6" borderId="43" xfId="0" applyFont="1" applyFill="1" applyBorder="1" applyAlignment="1" applyProtection="1">
      <alignment horizontal="center" vertical="center"/>
      <protection hidden="1"/>
    </xf>
    <xf numFmtId="0" fontId="22" fillId="6" borderId="58" xfId="0" applyFont="1" applyFill="1" applyBorder="1" applyAlignment="1" applyProtection="1">
      <alignment horizontal="center" vertical="center"/>
      <protection hidden="1"/>
    </xf>
    <xf numFmtId="0" fontId="22" fillId="6" borderId="23" xfId="0" applyFont="1" applyFill="1" applyBorder="1" applyAlignment="1" applyProtection="1">
      <alignment horizontal="center" vertical="center"/>
      <protection hidden="1"/>
    </xf>
    <xf numFmtId="0" fontId="22" fillId="6" borderId="1" xfId="0" applyFont="1" applyFill="1" applyBorder="1" applyAlignment="1" applyProtection="1">
      <alignment horizontal="center" vertical="center"/>
      <protection hidden="1"/>
    </xf>
    <xf numFmtId="0" fontId="29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0" fillId="0" borderId="54" xfId="0" applyNumberFormat="1" applyFill="1" applyBorder="1" applyAlignment="1">
      <alignment horizontal="center"/>
    </xf>
    <xf numFmtId="2" fontId="0" fillId="0" borderId="46" xfId="0" applyNumberFormat="1" applyFill="1" applyBorder="1" applyAlignment="1">
      <alignment horizontal="center"/>
    </xf>
    <xf numFmtId="0" fontId="45" fillId="0" borderId="1" xfId="0" applyFont="1" applyBorder="1" applyAlignment="1">
      <alignment horizontal="center" vertical="center" textRotation="90" wrapText="1"/>
    </xf>
    <xf numFmtId="0" fontId="26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5" fillId="0" borderId="9" xfId="0" applyFont="1" applyBorder="1" applyAlignment="1">
      <alignment horizontal="center" vertical="center" textRotation="90"/>
    </xf>
    <xf numFmtId="0" fontId="45" fillId="0" borderId="52" xfId="0" applyFont="1" applyBorder="1" applyAlignment="1">
      <alignment horizontal="center" vertical="center" textRotation="90"/>
    </xf>
    <xf numFmtId="0" fontId="45" fillId="0" borderId="13" xfId="0" applyFont="1" applyBorder="1" applyAlignment="1">
      <alignment horizontal="center" vertical="center" textRotation="90"/>
    </xf>
    <xf numFmtId="0" fontId="4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 textRotation="90"/>
    </xf>
    <xf numFmtId="0" fontId="45" fillId="0" borderId="9" xfId="0" applyFont="1" applyBorder="1" applyAlignment="1">
      <alignment horizontal="center" textRotation="90"/>
    </xf>
    <xf numFmtId="0" fontId="45" fillId="0" borderId="52" xfId="0" applyFont="1" applyBorder="1" applyAlignment="1">
      <alignment horizontal="center" textRotation="90"/>
    </xf>
    <xf numFmtId="0" fontId="45" fillId="0" borderId="13" xfId="0" applyFont="1" applyBorder="1" applyAlignment="1">
      <alignment horizontal="center" textRotation="90"/>
    </xf>
    <xf numFmtId="0" fontId="44" fillId="0" borderId="1" xfId="0" applyFont="1" applyBorder="1" applyAlignment="1">
      <alignment horizontal="center"/>
    </xf>
    <xf numFmtId="0" fontId="45" fillId="0" borderId="10" xfId="0" applyFont="1" applyBorder="1" applyAlignment="1">
      <alignment horizontal="center" textRotation="90" wrapText="1"/>
    </xf>
    <xf numFmtId="0" fontId="45" fillId="0" borderId="51" xfId="0" applyFont="1" applyBorder="1" applyAlignment="1">
      <alignment horizontal="center" textRotation="90" wrapText="1"/>
    </xf>
    <xf numFmtId="0" fontId="45" fillId="0" borderId="1" xfId="0" applyFont="1" applyBorder="1" applyAlignment="1">
      <alignment horizontal="center" textRotation="90"/>
    </xf>
    <xf numFmtId="0" fontId="43" fillId="0" borderId="1" xfId="0" applyFont="1" applyFill="1" applyBorder="1" applyAlignment="1">
      <alignment vertical="center"/>
    </xf>
    <xf numFmtId="166" fontId="6" fillId="0" borderId="1" xfId="0" applyNumberFormat="1" applyFont="1" applyFill="1" applyBorder="1"/>
    <xf numFmtId="166" fontId="6" fillId="16" borderId="1" xfId="0" applyNumberFormat="1" applyFont="1" applyFill="1" applyBorder="1" applyAlignment="1">
      <alignment horizontal="center"/>
    </xf>
  </cellXfs>
  <cellStyles count="11">
    <cellStyle name="Comma" xfId="1" builtinId="3"/>
    <cellStyle name="Comma 2" xfId="7"/>
    <cellStyle name="Normal" xfId="0" builtinId="0"/>
    <cellStyle name="Normal 2" xfId="3"/>
    <cellStyle name="Normal 2 2" xfId="9"/>
    <cellStyle name="Normal 3" xfId="4"/>
    <cellStyle name="Normal 3 2" xfId="10"/>
    <cellStyle name="Normal 4" xfId="6"/>
    <cellStyle name="Normal 5" xfId="5"/>
    <cellStyle name="Percent" xfId="2" builtinId="5"/>
    <cellStyle name="Percent 2" xfId="8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7030A0"/>
  </sheetPr>
  <dimension ref="A1:DJ216"/>
  <sheetViews>
    <sheetView zoomScale="90" zoomScaleNormal="90" workbookViewId="0">
      <selection activeCell="F27" sqref="F27"/>
    </sheetView>
  </sheetViews>
  <sheetFormatPr defaultRowHeight="15.75" customHeight="1" x14ac:dyDescent="0.2"/>
  <cols>
    <col min="1" max="1" width="3.140625" style="1" customWidth="1"/>
    <col min="2" max="2" width="32.5703125" style="1" bestFit="1" customWidth="1"/>
    <col min="3" max="3" width="37.5703125" style="2" bestFit="1" customWidth="1"/>
    <col min="4" max="4" width="26.140625" style="1" bestFit="1" customWidth="1"/>
    <col min="5" max="5" width="19.7109375" style="1" bestFit="1" customWidth="1"/>
    <col min="6" max="6" width="17.28515625" style="1" bestFit="1" customWidth="1"/>
    <col min="7" max="7" width="19.42578125" style="1" bestFit="1" customWidth="1"/>
    <col min="8" max="8" width="20.7109375" style="1" bestFit="1" customWidth="1"/>
    <col min="9" max="9" width="10.85546875" style="1" customWidth="1"/>
    <col min="10" max="10" width="11.85546875" style="1" bestFit="1" customWidth="1"/>
    <col min="11" max="11" width="10.85546875" style="1" customWidth="1"/>
    <col min="12" max="12" width="24.28515625" style="1" customWidth="1"/>
    <col min="13" max="13" width="16.85546875" style="1" bestFit="1" customWidth="1"/>
    <col min="14" max="18" width="22.7109375" style="1" customWidth="1"/>
    <col min="19" max="19" width="18.5703125" style="1" customWidth="1"/>
    <col min="20" max="20" width="17.140625" style="1" customWidth="1"/>
    <col min="21" max="22" width="22.7109375" style="1" customWidth="1"/>
    <col min="23" max="25" width="17.7109375" style="1" customWidth="1"/>
    <col min="26" max="26" width="15.42578125" style="1" customWidth="1"/>
    <col min="27" max="27" width="23" style="162" customWidth="1"/>
    <col min="28" max="28" width="6.7109375" style="1" bestFit="1" customWidth="1"/>
    <col min="29" max="29" width="6.5703125" style="1" customWidth="1"/>
    <col min="30" max="30" width="9" style="1" customWidth="1"/>
    <col min="31" max="16384" width="9.140625" style="1"/>
  </cols>
  <sheetData>
    <row r="1" spans="2:81" s="12" customFormat="1" ht="12.75" x14ac:dyDescent="0.2">
      <c r="B1" s="10" t="s">
        <v>32</v>
      </c>
      <c r="C1" s="14"/>
      <c r="J1" s="291">
        <f ca="1">G87</f>
        <v>480233.97155555553</v>
      </c>
      <c r="K1" s="12">
        <v>394213.30666668492</v>
      </c>
      <c r="L1" s="292">
        <f ca="1">J1-K1</f>
        <v>86020.664888870611</v>
      </c>
      <c r="M1" s="52"/>
      <c r="N1" s="52"/>
      <c r="O1" s="52"/>
      <c r="P1" s="52"/>
      <c r="Q1" s="52"/>
      <c r="R1" s="52"/>
      <c r="S1" s="52"/>
      <c r="T1" s="52"/>
      <c r="U1" s="52"/>
      <c r="V1" s="52"/>
      <c r="AA1" s="161"/>
    </row>
    <row r="2" spans="2:81" s="12" customFormat="1" ht="12.75" x14ac:dyDescent="0.2">
      <c r="B2" s="712" t="s">
        <v>210</v>
      </c>
      <c r="C2" s="712"/>
      <c r="J2" s="286"/>
      <c r="L2" s="1"/>
      <c r="M2" s="52"/>
      <c r="N2" s="52"/>
      <c r="O2" s="52"/>
      <c r="P2" s="52"/>
      <c r="Q2" s="52"/>
      <c r="R2" s="52"/>
      <c r="S2" s="52"/>
      <c r="T2" s="52"/>
      <c r="U2" s="52"/>
      <c r="V2" s="52"/>
      <c r="AA2" s="161"/>
    </row>
    <row r="3" spans="2:81" thickBot="1" x14ac:dyDescent="0.25">
      <c r="B3" s="713" t="s">
        <v>211</v>
      </c>
      <c r="C3" s="714"/>
      <c r="J3" s="286"/>
      <c r="K3" s="12"/>
      <c r="M3" s="52"/>
      <c r="N3" s="52"/>
      <c r="O3" s="52"/>
      <c r="P3" s="52"/>
      <c r="Q3" s="52"/>
      <c r="R3" s="52"/>
      <c r="S3" s="52"/>
      <c r="T3" s="52"/>
      <c r="U3" s="52"/>
      <c r="V3" s="52"/>
      <c r="W3" s="12"/>
      <c r="X3" s="12"/>
      <c r="Y3" s="12"/>
      <c r="Z3" s="12"/>
      <c r="AA3" s="161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</row>
    <row r="4" spans="2:81" ht="13.5" thickBot="1" x14ac:dyDescent="0.25">
      <c r="B4" s="3" t="s">
        <v>7</v>
      </c>
      <c r="C4" s="102">
        <f ca="1">TODAY()</f>
        <v>43890</v>
      </c>
      <c r="D4" s="717" t="s">
        <v>129</v>
      </c>
      <c r="E4" s="718"/>
      <c r="F4" s="718"/>
      <c r="G4" s="718"/>
      <c r="H4" s="719"/>
      <c r="J4" s="287"/>
      <c r="K4" s="12" t="s">
        <v>216</v>
      </c>
      <c r="L4" s="721" t="s">
        <v>193</v>
      </c>
      <c r="M4" s="721"/>
      <c r="N4" s="721"/>
      <c r="O4" s="52"/>
      <c r="P4" s="52"/>
      <c r="Q4" s="52"/>
      <c r="R4" s="52"/>
      <c r="S4" s="52"/>
      <c r="T4" s="52"/>
      <c r="U4" s="52"/>
      <c r="V4" s="52"/>
      <c r="W4" s="12"/>
      <c r="X4" s="12"/>
      <c r="Y4" s="12"/>
      <c r="Z4" s="12"/>
      <c r="AA4" s="161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2:81" ht="12.75" x14ac:dyDescent="0.2">
      <c r="B5" s="3" t="s">
        <v>99</v>
      </c>
      <c r="C5" s="88"/>
      <c r="D5" s="63"/>
      <c r="E5" s="64" t="s">
        <v>123</v>
      </c>
      <c r="F5" s="64" t="s">
        <v>122</v>
      </c>
      <c r="G5" s="64" t="s">
        <v>124</v>
      </c>
      <c r="H5" s="65" t="s">
        <v>125</v>
      </c>
      <c r="J5" s="287"/>
      <c r="K5" s="12"/>
      <c r="L5" s="3"/>
      <c r="M5" s="6" t="s">
        <v>197</v>
      </c>
      <c r="N5" s="6" t="s">
        <v>130</v>
      </c>
      <c r="O5" s="52"/>
      <c r="P5" s="52"/>
      <c r="Q5" s="52"/>
      <c r="R5" s="52"/>
      <c r="S5" s="52"/>
      <c r="T5" s="52"/>
      <c r="U5" s="52"/>
      <c r="V5" s="52"/>
      <c r="W5" s="12"/>
      <c r="X5" s="12"/>
      <c r="Y5" s="12"/>
      <c r="Z5" s="12"/>
      <c r="AA5" s="161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2:81" ht="12.75" x14ac:dyDescent="0.2">
      <c r="B6" s="3" t="s">
        <v>5</v>
      </c>
      <c r="C6" s="88"/>
      <c r="D6" s="66" t="s">
        <v>128</v>
      </c>
      <c r="E6" s="67">
        <f ca="1">G47</f>
        <v>190473.16888888887</v>
      </c>
      <c r="F6" s="67">
        <f>G57</f>
        <v>6773</v>
      </c>
      <c r="G6" s="67">
        <f t="shared" ref="G6:G12" ca="1" si="0">SUM(E6:F6)</f>
        <v>197246.16888888887</v>
      </c>
      <c r="H6" s="68">
        <f ca="1">CEILING((G6/C11),1)</f>
        <v>21917</v>
      </c>
      <c r="J6" s="287"/>
      <c r="K6" s="12"/>
      <c r="L6" s="3" t="s">
        <v>194</v>
      </c>
      <c r="M6" s="249">
        <v>0.7</v>
      </c>
      <c r="N6" s="251">
        <v>0.4</v>
      </c>
      <c r="O6" s="52"/>
      <c r="P6" s="52"/>
      <c r="Q6" s="52"/>
      <c r="R6" s="52"/>
      <c r="S6" s="52"/>
      <c r="T6" s="52"/>
      <c r="U6" s="52"/>
      <c r="V6" s="52"/>
      <c r="W6" s="12"/>
      <c r="X6" s="12"/>
      <c r="Y6" s="12"/>
      <c r="Z6" s="12"/>
      <c r="AA6" s="161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2:81" ht="12.75" x14ac:dyDescent="0.2">
      <c r="B7" s="3" t="s">
        <v>6</v>
      </c>
      <c r="C7" s="89"/>
      <c r="D7" s="69" t="s">
        <v>41</v>
      </c>
      <c r="E7" s="67">
        <f ca="1">G45</f>
        <v>3809.4633777777776</v>
      </c>
      <c r="F7" s="67">
        <f ca="1">G58</f>
        <v>150.52000000000001</v>
      </c>
      <c r="G7" s="67">
        <f t="shared" ca="1" si="0"/>
        <v>3959.9833777777776</v>
      </c>
      <c r="H7" s="68">
        <f ca="1">CEILING((G7/C11),1)</f>
        <v>440</v>
      </c>
      <c r="J7" s="287"/>
      <c r="K7" s="12"/>
      <c r="L7" s="3" t="s">
        <v>195</v>
      </c>
      <c r="M7" s="249">
        <v>0.75</v>
      </c>
      <c r="N7" s="251">
        <v>0.5</v>
      </c>
      <c r="O7" s="52"/>
      <c r="P7" s="52"/>
      <c r="Q7" s="52"/>
      <c r="R7" s="52"/>
      <c r="S7" s="52"/>
      <c r="T7" s="52"/>
      <c r="U7" s="52"/>
      <c r="V7" s="52"/>
      <c r="W7" s="12"/>
      <c r="X7" s="12"/>
      <c r="Y7" s="12"/>
      <c r="Z7" s="12"/>
      <c r="AA7" s="161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2:81" ht="12.75" x14ac:dyDescent="0.2">
      <c r="B8" s="61" t="s">
        <v>192</v>
      </c>
      <c r="C8" s="89" t="s">
        <v>194</v>
      </c>
      <c r="D8" s="69"/>
      <c r="E8" s="67"/>
      <c r="F8" s="67"/>
      <c r="G8" s="67"/>
      <c r="H8" s="68"/>
      <c r="J8" s="287"/>
      <c r="K8" s="12"/>
      <c r="L8" s="250" t="s">
        <v>196</v>
      </c>
      <c r="M8" s="249">
        <v>0.8</v>
      </c>
      <c r="N8" s="251">
        <v>0.55000000000000004</v>
      </c>
      <c r="O8" s="52"/>
      <c r="P8" s="52"/>
      <c r="Q8" s="52"/>
      <c r="R8" s="52"/>
      <c r="S8" s="52"/>
      <c r="T8" s="52"/>
      <c r="U8" s="52"/>
      <c r="V8" s="52"/>
      <c r="W8" s="12"/>
      <c r="X8" s="12"/>
      <c r="Y8" s="12"/>
      <c r="Z8" s="12"/>
      <c r="AA8" s="161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2:81" ht="12.75" x14ac:dyDescent="0.2">
      <c r="B9" s="3" t="s">
        <v>8</v>
      </c>
      <c r="C9" s="90">
        <v>3</v>
      </c>
      <c r="D9" s="69" t="s">
        <v>120</v>
      </c>
      <c r="E9" s="67">
        <f ca="1">G48</f>
        <v>76189.267555555547</v>
      </c>
      <c r="F9" s="67">
        <f ca="1">G61</f>
        <v>7525.9999999999973</v>
      </c>
      <c r="G9" s="67">
        <f t="shared" ca="1" si="0"/>
        <v>83715.267555555547</v>
      </c>
      <c r="H9" s="68">
        <f ca="1">CEILING((G9/C11),1)</f>
        <v>9302</v>
      </c>
      <c r="J9" s="287"/>
      <c r="K9" s="12"/>
      <c r="M9" s="52"/>
      <c r="N9" s="52"/>
      <c r="O9" s="52"/>
      <c r="P9" s="52"/>
      <c r="Q9" s="52"/>
      <c r="R9" s="52"/>
      <c r="S9" s="52"/>
      <c r="T9" s="52"/>
      <c r="U9" s="52"/>
      <c r="V9" s="52"/>
      <c r="W9" s="12"/>
      <c r="X9" s="12"/>
      <c r="Y9" s="12"/>
      <c r="Z9" s="12"/>
      <c r="AA9" s="161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2:81" ht="12.75" x14ac:dyDescent="0.2">
      <c r="B10" s="3" t="s">
        <v>11</v>
      </c>
      <c r="C10" s="90">
        <v>3</v>
      </c>
      <c r="D10" s="69" t="s">
        <v>69</v>
      </c>
      <c r="E10" s="67">
        <f ca="1">G46</f>
        <v>15237.85351111111</v>
      </c>
      <c r="F10" s="67">
        <f ca="1">G59</f>
        <v>602.08000000000004</v>
      </c>
      <c r="G10" s="67">
        <f t="shared" ca="1" si="0"/>
        <v>15839.93351111111</v>
      </c>
      <c r="H10" s="68">
        <f ca="1">CEILING((G10/C11),1)</f>
        <v>1760</v>
      </c>
      <c r="J10" s="287"/>
      <c r="K10" s="12"/>
      <c r="L10" s="308" t="s">
        <v>218</v>
      </c>
      <c r="M10" s="309" t="s">
        <v>219</v>
      </c>
      <c r="N10" s="309" t="s">
        <v>239</v>
      </c>
      <c r="O10" s="52"/>
      <c r="P10" s="52"/>
      <c r="Q10" s="52"/>
      <c r="R10" s="52"/>
      <c r="S10" s="52"/>
      <c r="T10" s="52"/>
      <c r="U10" s="52"/>
      <c r="V10" s="52"/>
      <c r="W10" s="12"/>
      <c r="X10" s="12"/>
      <c r="Y10" s="12"/>
      <c r="Z10" s="12"/>
      <c r="AA10" s="161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2:81" ht="12.75" x14ac:dyDescent="0.2">
      <c r="B11" s="3" t="s">
        <v>9</v>
      </c>
      <c r="C11" s="91">
        <f>C9*C10</f>
        <v>9</v>
      </c>
      <c r="D11" s="69" t="s">
        <v>121</v>
      </c>
      <c r="E11" s="67">
        <f>G43</f>
        <v>0</v>
      </c>
      <c r="F11" s="67">
        <f>G62</f>
        <v>0</v>
      </c>
      <c r="G11" s="67">
        <f t="shared" si="0"/>
        <v>0</v>
      </c>
      <c r="H11" s="68">
        <f>CEILING((G11/C11),1)</f>
        <v>0</v>
      </c>
      <c r="J11" s="287"/>
      <c r="K11" s="1" t="s">
        <v>217</v>
      </c>
      <c r="L11" s="298" t="s">
        <v>212</v>
      </c>
      <c r="M11" s="295" t="s">
        <v>220</v>
      </c>
      <c r="N11" s="221" t="s">
        <v>227</v>
      </c>
      <c r="O11" s="52" t="s">
        <v>31</v>
      </c>
      <c r="P11" s="162"/>
      <c r="Q11" s="52"/>
      <c r="R11" s="52"/>
      <c r="S11" s="52"/>
      <c r="T11" s="52"/>
      <c r="U11" s="52"/>
      <c r="V11" s="52"/>
      <c r="W11" s="161"/>
      <c r="X11" s="161"/>
      <c r="Y11" s="161"/>
      <c r="Z11" s="12"/>
      <c r="AA11" s="161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</row>
    <row r="12" spans="2:81" ht="12.75" x14ac:dyDescent="0.2">
      <c r="B12" s="3" t="s">
        <v>28</v>
      </c>
      <c r="C12" s="91">
        <f>C11*17</f>
        <v>153</v>
      </c>
      <c r="D12" s="70" t="s">
        <v>118</v>
      </c>
      <c r="E12" s="67">
        <f ca="1">G49</f>
        <v>266662.43644444441</v>
      </c>
      <c r="F12" s="67">
        <f ca="1">G63</f>
        <v>15051.999999999996</v>
      </c>
      <c r="G12" s="67">
        <f t="shared" ca="1" si="0"/>
        <v>281714.43644444441</v>
      </c>
      <c r="H12" s="68">
        <f ca="1">CEILING((G12/C11),1)</f>
        <v>31302</v>
      </c>
      <c r="J12" s="287"/>
      <c r="L12" s="298" t="s">
        <v>213</v>
      </c>
      <c r="M12" s="295" t="s">
        <v>221</v>
      </c>
      <c r="N12" s="221" t="s">
        <v>228</v>
      </c>
      <c r="O12" s="52"/>
      <c r="P12" s="162"/>
      <c r="Q12" s="52"/>
      <c r="R12" s="52"/>
      <c r="S12" s="52"/>
      <c r="T12" s="52"/>
      <c r="U12" s="52"/>
      <c r="V12" s="52"/>
      <c r="W12" s="161"/>
      <c r="X12" s="161"/>
      <c r="Y12" s="161"/>
      <c r="Z12" s="12"/>
      <c r="AA12" s="161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</row>
    <row r="13" spans="2:81" ht="12.75" x14ac:dyDescent="0.2">
      <c r="B13" s="3" t="s">
        <v>10</v>
      </c>
      <c r="C13" s="283">
        <v>1</v>
      </c>
      <c r="D13" s="70" t="s">
        <v>0</v>
      </c>
      <c r="E13" s="71">
        <f>G50</f>
        <v>0.7</v>
      </c>
      <c r="F13" s="71">
        <f>G64</f>
        <v>0.4</v>
      </c>
      <c r="G13" s="71"/>
      <c r="H13" s="72"/>
      <c r="J13" s="287"/>
      <c r="L13" s="298" t="s">
        <v>214</v>
      </c>
      <c r="M13" s="295" t="s">
        <v>222</v>
      </c>
      <c r="N13" s="221" t="s">
        <v>229</v>
      </c>
      <c r="O13" s="52"/>
      <c r="P13" s="162">
        <v>1</v>
      </c>
      <c r="Q13" s="52"/>
      <c r="R13" s="52"/>
      <c r="S13" s="52"/>
      <c r="T13" s="52"/>
      <c r="U13" s="52"/>
      <c r="V13" s="52"/>
      <c r="W13" s="161"/>
      <c r="X13" s="161"/>
      <c r="Y13" s="161"/>
      <c r="Z13" s="12"/>
      <c r="AA13" s="161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</row>
    <row r="14" spans="2:81" ht="12.75" x14ac:dyDescent="0.2">
      <c r="B14" s="3" t="s">
        <v>164</v>
      </c>
      <c r="C14" s="168" t="s">
        <v>212</v>
      </c>
      <c r="D14" s="69"/>
      <c r="E14" s="67"/>
      <c r="F14" s="67"/>
      <c r="G14" s="67"/>
      <c r="H14" s="68"/>
      <c r="J14" s="287"/>
      <c r="L14" s="3" t="s">
        <v>215</v>
      </c>
      <c r="M14" s="295" t="s">
        <v>223</v>
      </c>
      <c r="N14" s="221" t="s">
        <v>230</v>
      </c>
      <c r="O14" s="52" t="s">
        <v>23</v>
      </c>
      <c r="P14" s="162"/>
      <c r="Q14" s="52"/>
      <c r="R14" s="52"/>
      <c r="S14" s="75"/>
      <c r="T14" s="75"/>
      <c r="U14" s="75"/>
      <c r="V14" s="75"/>
      <c r="W14" s="162"/>
      <c r="X14" s="162"/>
      <c r="Y14" s="162"/>
    </row>
    <row r="15" spans="2:81" ht="12.75" x14ac:dyDescent="0.2">
      <c r="B15" s="3" t="s">
        <v>165</v>
      </c>
      <c r="C15" s="168" t="s">
        <v>227</v>
      </c>
      <c r="D15" s="69"/>
      <c r="E15" s="67"/>
      <c r="F15" s="67"/>
      <c r="G15" s="67"/>
      <c r="H15" s="68"/>
      <c r="J15" s="287"/>
      <c r="L15" s="3"/>
      <c r="M15" s="295" t="s">
        <v>224</v>
      </c>
      <c r="N15" s="221" t="s">
        <v>231</v>
      </c>
      <c r="O15" s="52"/>
      <c r="P15" s="162"/>
      <c r="Q15" s="52"/>
      <c r="R15" s="52"/>
      <c r="S15" s="75"/>
      <c r="T15" s="75"/>
      <c r="U15" s="75"/>
      <c r="V15" s="75"/>
      <c r="W15" s="162"/>
      <c r="X15" s="162"/>
      <c r="Y15" s="162"/>
    </row>
    <row r="16" spans="2:81" ht="12.75" x14ac:dyDescent="0.2">
      <c r="B16" s="22" t="s">
        <v>56</v>
      </c>
      <c r="C16" s="282" t="s">
        <v>220</v>
      </c>
      <c r="D16" s="92" t="s">
        <v>42</v>
      </c>
      <c r="E16" s="87">
        <f ca="1">G51</f>
        <v>380946.33777777775</v>
      </c>
      <c r="F16" s="87">
        <f ca="1">G65</f>
        <v>37629.999999999985</v>
      </c>
      <c r="G16" s="87">
        <f ca="1">SUM(E16:F16)</f>
        <v>418576.33777777775</v>
      </c>
      <c r="H16" s="93">
        <f ca="1">CEILING((G16/C11),1)</f>
        <v>46509</v>
      </c>
      <c r="J16" s="287"/>
      <c r="L16" s="3"/>
      <c r="M16" s="295" t="s">
        <v>225</v>
      </c>
      <c r="N16" s="221" t="s">
        <v>232</v>
      </c>
      <c r="O16" s="52"/>
      <c r="P16" s="162">
        <v>2</v>
      </c>
      <c r="Q16" s="52"/>
      <c r="R16" s="52"/>
      <c r="S16" s="75"/>
      <c r="T16" s="75"/>
      <c r="U16" s="75"/>
      <c r="V16" s="75"/>
      <c r="W16" s="162"/>
      <c r="X16" s="162"/>
      <c r="Y16" s="162"/>
    </row>
    <row r="17" spans="1:112" ht="13.5" thickBot="1" x14ac:dyDescent="0.25">
      <c r="B17" s="26" t="s">
        <v>117</v>
      </c>
      <c r="C17" s="168">
        <v>0.28999999999999998</v>
      </c>
      <c r="D17" s="94" t="s">
        <v>131</v>
      </c>
      <c r="E17" s="95"/>
      <c r="F17" s="95"/>
      <c r="G17" s="96">
        <f>H72</f>
        <v>0</v>
      </c>
      <c r="H17" s="97"/>
      <c r="J17" s="287"/>
      <c r="L17" s="3"/>
      <c r="M17" s="295" t="s">
        <v>226</v>
      </c>
      <c r="N17" s="221" t="s">
        <v>233</v>
      </c>
      <c r="O17" s="52"/>
      <c r="P17" s="162"/>
      <c r="Q17" s="52"/>
      <c r="R17" s="52"/>
      <c r="S17" s="75"/>
      <c r="T17" s="75"/>
      <c r="U17" s="75"/>
      <c r="V17" s="75"/>
      <c r="W17" s="162"/>
      <c r="X17" s="162"/>
      <c r="Y17" s="162"/>
    </row>
    <row r="18" spans="1:112" ht="15.75" customHeight="1" thickBot="1" x14ac:dyDescent="0.25">
      <c r="B18" s="11" t="s">
        <v>15</v>
      </c>
      <c r="C18" s="89">
        <v>75</v>
      </c>
      <c r="D18" s="98" t="s">
        <v>145</v>
      </c>
      <c r="E18" s="99"/>
      <c r="F18" s="99"/>
      <c r="G18" s="100">
        <f ca="1">SUM(G16:G17)</f>
        <v>418576.33777777775</v>
      </c>
      <c r="H18" s="101"/>
      <c r="J18" s="287"/>
      <c r="L18" s="3"/>
      <c r="M18" s="295"/>
      <c r="N18" s="221" t="s">
        <v>234</v>
      </c>
      <c r="O18" s="52"/>
      <c r="P18" s="162"/>
      <c r="Q18" s="52"/>
      <c r="R18" s="52"/>
      <c r="S18" s="75"/>
      <c r="T18" s="75"/>
      <c r="U18" s="75"/>
      <c r="V18" s="75"/>
      <c r="W18" s="162"/>
      <c r="X18" s="162"/>
      <c r="Y18" s="162"/>
    </row>
    <row r="19" spans="1:112" ht="12.75" x14ac:dyDescent="0.2">
      <c r="B19" s="167" t="s">
        <v>30</v>
      </c>
      <c r="C19" s="4">
        <v>65</v>
      </c>
      <c r="J19" s="287"/>
      <c r="L19" s="3"/>
      <c r="M19" s="295"/>
      <c r="N19" s="221" t="s">
        <v>235</v>
      </c>
      <c r="O19" s="52"/>
      <c r="P19" s="162">
        <v>3</v>
      </c>
      <c r="Q19" s="52"/>
      <c r="R19" s="52"/>
      <c r="S19" s="75"/>
      <c r="T19" s="75"/>
      <c r="U19" s="75"/>
      <c r="V19" s="75"/>
      <c r="W19" s="162"/>
      <c r="X19" s="162"/>
      <c r="Y19" s="162"/>
    </row>
    <row r="20" spans="1:112" ht="12.75" x14ac:dyDescent="0.2">
      <c r="C20" s="6"/>
      <c r="J20" s="287"/>
      <c r="L20" s="3"/>
      <c r="M20" s="295"/>
      <c r="N20" s="221" t="s">
        <v>236</v>
      </c>
      <c r="O20" s="52"/>
      <c r="P20" s="162"/>
      <c r="Q20" s="52"/>
      <c r="R20" s="52"/>
      <c r="S20" s="75"/>
      <c r="T20" s="75"/>
      <c r="U20" s="75"/>
      <c r="V20" s="75"/>
      <c r="W20" s="162"/>
      <c r="X20" s="162"/>
      <c r="Y20" s="162"/>
    </row>
    <row r="21" spans="1:112" ht="13.5" thickBot="1" x14ac:dyDescent="0.25">
      <c r="J21" s="287"/>
      <c r="L21" s="3"/>
      <c r="M21" s="299"/>
      <c r="N21" s="221" t="s">
        <v>237</v>
      </c>
      <c r="O21" s="52"/>
      <c r="P21" s="162"/>
      <c r="Q21" s="52"/>
      <c r="R21" s="52"/>
      <c r="S21" s="75"/>
      <c r="T21" s="75"/>
      <c r="U21" s="75"/>
      <c r="V21" s="75"/>
      <c r="W21" s="162"/>
      <c r="X21" s="162"/>
      <c r="Y21" s="162"/>
    </row>
    <row r="22" spans="1:112" ht="13.5" thickBot="1" x14ac:dyDescent="0.25">
      <c r="B22" s="715" t="s">
        <v>50</v>
      </c>
      <c r="C22" s="716"/>
      <c r="D22" s="145" t="s">
        <v>10</v>
      </c>
      <c r="E22" s="145" t="s">
        <v>49</v>
      </c>
      <c r="F22" s="145" t="s">
        <v>51</v>
      </c>
      <c r="G22" s="146" t="s">
        <v>14</v>
      </c>
      <c r="H22" s="146" t="s">
        <v>100</v>
      </c>
      <c r="J22" s="287"/>
      <c r="L22" s="3"/>
      <c r="M22" s="299"/>
      <c r="N22" s="221" t="s">
        <v>238</v>
      </c>
      <c r="O22" s="52"/>
      <c r="P22" s="162">
        <v>4</v>
      </c>
      <c r="Q22" s="52"/>
      <c r="R22" s="52"/>
      <c r="S22" s="75"/>
      <c r="T22" s="75"/>
      <c r="U22" s="75"/>
      <c r="V22" s="75"/>
      <c r="W22" s="162"/>
      <c r="X22" s="162"/>
      <c r="Y22" s="162"/>
    </row>
    <row r="23" spans="1:112" ht="12.75" x14ac:dyDescent="0.2">
      <c r="B23" s="54" t="s">
        <v>246</v>
      </c>
      <c r="C23" s="5">
        <f>IF(C9&lt;=5,C9+0.1)+IF(AND(C9&gt;5,C9&lt;=6),C9+0.15)+IF(C9&gt;6,C9+0.25)</f>
        <v>3.1</v>
      </c>
      <c r="D23" s="5">
        <f>CEILING(((C23*(C10+0.3))/0.063),1)</f>
        <v>163</v>
      </c>
      <c r="E23" s="5" t="s">
        <v>52</v>
      </c>
      <c r="F23" s="252">
        <f>+IF(AND(C14=L11,C15=$O$32,C16=L33),O33)+IF(AND(C14=L11,C15=$O$32,C16=L34),O34)+IF(AND(C14=L11,C15=$O$32,C16=L35),O35)+IF(AND(C14=L11,C15=$Q$32,C16=L33),Q33)+IF(AND(C14=L11,C15=$Q$32,C16=L34),Q34)+IF(AND(C14=L11,C15=$Q$32,C16=L35),Q35)+IF(AND(C14=L11,C15=$S$32,C16=L33),S33)+IF(AND(C14=L11,C15=$S$32,C16=L34),S34)+IF(AND(C14=L11,C15=$S$32,C16=L35),S35)+IF(AND(C14=L11,C15=$U$32,C16=L33),U33)+IF(AND(C14=L11,C15=$U$32,C16=L34),U34)+IF(AND(C14=L11,C15=$U$32,C16=L35),U35)+IF(AND(C14=L13,C15=$O$39,C16=L40),O40)+IF(AND(C14=L13,C15=$O$39,C16=L41),O41)+IF(AND(C14=L13,C15=$O$39,C16=L42),O42)+IF(AND(C14=L13,C15=$Q$39,C16=L40),Q40)+IF(AND(C14=L13,C15=$Q$39,C16=L41),Q41)+IF(AND(C14=L13,C15=$Q$39,C16=L42),Q42)+IF(AND(C14=L13,C15=$S$39,C16=L40),S40)+IF(AND(C14=L13,C15=$S$39,C16=L41),S41)+IF(AND(C14=L13,C15=$S$39,C16=L42),S42)+IF(AND(C14=L13,C15=$U$39,C16=L40),U40)+IF(AND(C14=L13,C15=$U$39,C16=L41),U41)+IF(AND(C14=L13,C15=$U$39,C16=L42),U42)+IF(AND(C14=L12,C15=$O$39,C16=L40),O40)+IF(AND(C14=L12,C15=$O$39,C16=L41),O41)+IF(AND(C14=L12,C15=$O$39,C16=L42),O42)+IF(AND(C14=L12,C15=$Q$39,C16=L40),Q40)+IF(AND(C14=L12,C15=$Q$39,C16=L41),Q41)+IF(AND(C14=L12,C15=$Q$39,C16=L42),Q42)+IF(AND(C14=L12,C15=$S$39,C16=L40),S40)+IF(AND(C14=L12,C15=$S$39,C16=L41),S41)+IF(AND(C14=L12,C15=$S$39,C16=L42),S42)+IF(AND(C14=L12,C15=$U$39,C16=L40),U40)+IF(AND(C14=L12,C15=$U$39,C16=L41),U41)+IF(AND(C14=L12,C15=$U$39,C16=L42),U42)+IF(AND(C14=L14,C15=$O$46,C16=L47),O47)+IF(AND(C14=L14,C15=$Q$46,C16=L47),Q47)+IF(AND(C14=L14,C15=$S$46,C16=L47),S47)+IF(AND(C14=L14,C15=$U$46,C16=L47),U47)</f>
        <v>364</v>
      </c>
      <c r="G23" s="253">
        <f>F23*D23</f>
        <v>59332</v>
      </c>
      <c r="H23" s="154"/>
      <c r="I23" s="86"/>
      <c r="J23" s="287"/>
      <c r="M23" s="52"/>
      <c r="N23" s="162"/>
      <c r="O23" s="52"/>
      <c r="P23" s="52"/>
      <c r="Q23" s="52"/>
      <c r="R23" s="52"/>
      <c r="S23" s="75"/>
      <c r="T23" s="75"/>
      <c r="U23" s="75"/>
      <c r="V23" s="75"/>
      <c r="W23" s="162"/>
      <c r="X23" s="162"/>
      <c r="Y23" s="162"/>
    </row>
    <row r="24" spans="1:112" ht="12.75" x14ac:dyDescent="0.2">
      <c r="A24" s="75"/>
      <c r="B24" s="4" t="s">
        <v>168</v>
      </c>
      <c r="C24" s="5">
        <f>IF(C9&lt;=5,K54)+IF(AND(C9&gt;5,C9&lt;=6),K55)+IF(C9&gt;6,K56)</f>
        <v>75</v>
      </c>
      <c r="D24" s="5">
        <f>(C10+0.1)*2</f>
        <v>6.2</v>
      </c>
      <c r="E24" s="5" t="s">
        <v>52</v>
      </c>
      <c r="F24" s="252">
        <f>+IF(AND(C14=AA53,B24=P53,C24=K54),P54)+IF(AND(C14=AA53,B24=P53,C24=K55),P55)+IF(AND(C14=AA53,B24=P53,C24=K56),P56)+IF(AND(C14=AA53,B24=Q53,C24=K54),Q54)+IF(AND(C14=AA53,B24=Q53,C24=K55),Q55)+IF(AND(C14=AA53,B24=Q53,C24=K56),Q56)+IF(AND(C14=AA53,B24=R53,C24=K54),R54)+IF(AND(C14=AA53,B24=R53,C24=K55),R55)+IF(AND(C14=AA53,B24=R53,C24=K56),R56)+IF(AND(C14=AA54,B24=P53,C24=K54),P54)+IF(AND(C14=AA54,B24=P53,C24=K55),P55)+IF(AND(C14=AA54,B24=P53,C24=K56),P56)+IF(AND(C14=AA54,B24=Q53,C24=K54),Q54)+IF(AND(C14=AA54,B24=Q53,C24=K55),Q55)+IF(AND(C14=AA54,B24=Q53,C24=K56),Q56)+IF(AND(C14=AA54,B24=R53,C24=K54),R54)+IF(AND(C14=AA54,B24=R53,C24=K55),R55)+IF(AND(C14=AA54,B24=R53,C24=K56),R56)+IF(AND(C14=AA56,B24=P53,C24=K54),P54)+IF(AND(C14=AA56,B24=P53,C24=K55),P55)+IF(AND(C14=AA56,B24=P53,C24=K56),P56)+IF(AND(C14=AA56,B24=Q53,C24=K54),Q54)+IF(AND(C14=AA56,B24=Q53,C24=K55),Q55)+IF(AND(C14=AA56,B24=Q53,C24=K56),Q56)+IF(AND(C14=AA56,B24=R53,C24=K54),R54)+IF(AND(C14=AA56,B24=R53,C24=K55),R55)+IF(AND(C14=AA56,B24=R53,C24=K56),R56)+IF(AND(C14=AA55,B24=W53,C24=K54),W54)+IF(AND(C14=AA55,B24=W53,C24=K55),W55)+IF(AND(C14=AA55,B24=W53,C24=K56),W56)+IF(AND(C14=AA55,B24=X53,C24=K54),X54)+IF(AND(C14=AA55,B24=X53,C24=K55),X55)+IF(AND(C14=AA55,B24=X53,C24=K56),X56)+IF(AND(C14=AA55,B24=Y53,C24=K54),Y54)+IF(AND(C14=AA55,B24=Y53,C24=K55),Y55)+IF(AND(C14=AA55,B24=Y53,C24=K56),Y56)</f>
        <v>1014</v>
      </c>
      <c r="G24" s="253">
        <f>F24*D24</f>
        <v>6286.8</v>
      </c>
      <c r="H24" s="155"/>
      <c r="I24" s="105"/>
      <c r="J24" s="288"/>
      <c r="M24" s="52"/>
      <c r="N24" s="162"/>
      <c r="O24" s="162"/>
      <c r="P24" s="52"/>
      <c r="Q24" s="52"/>
      <c r="R24" s="52"/>
      <c r="S24" s="75"/>
      <c r="T24" s="75"/>
      <c r="U24" s="75"/>
      <c r="V24" s="75"/>
      <c r="W24" s="162"/>
      <c r="X24" s="162"/>
      <c r="Y24" s="162"/>
    </row>
    <row r="25" spans="1:112" s="75" customFormat="1" ht="12.75" x14ac:dyDescent="0.2">
      <c r="B25" s="54" t="s">
        <v>169</v>
      </c>
      <c r="C25" s="5">
        <f>C23</f>
        <v>3.1</v>
      </c>
      <c r="D25" s="5">
        <f>C25*1</f>
        <v>3.1</v>
      </c>
      <c r="E25" s="5" t="s">
        <v>52</v>
      </c>
      <c r="F25" s="252">
        <f>IF(AND(C14=S60,C9&lt;=5),O61)+IF(AND(C14=S60,C9&gt;5,C9&lt;=6),O62)+IF(AND(C14=S60,C9&gt;6),O63)+IF(AND(C14=S61,C9&lt;=5),O61)+IF(AND(C14=S61,C9&gt;5,C9&lt;=6),O62)+IF(AND(C14=S61,C9&gt;6),O63)+IF(AND(C14=S63,C9&lt;=5),O61)+IF(AND(C14=S63,C9&gt;5,C9&lt;=6),O62)+IF(AND(C14=S63,C9&gt;6),O63)+IF(AND(C14=S62,C9&lt;=5),Q61)+IF(AND(C14=S62,C9&gt;5,C9&lt;=6),Q62)+IF(AND(C14=S62,C9&gt;6),Q63)</f>
        <v>525</v>
      </c>
      <c r="G25" s="253">
        <f>F25*D25</f>
        <v>1627.5</v>
      </c>
      <c r="H25" s="155"/>
      <c r="I25" s="105"/>
      <c r="J25" s="289"/>
      <c r="K25" s="1"/>
      <c r="L25" s="1"/>
      <c r="M25" s="52"/>
      <c r="N25" s="162"/>
      <c r="O25" s="52"/>
      <c r="P25" s="52"/>
      <c r="Q25" s="52"/>
      <c r="R25" s="52"/>
      <c r="W25" s="162"/>
      <c r="X25" s="162"/>
      <c r="Y25" s="162"/>
      <c r="Z25" s="1"/>
      <c r="AA25" s="162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</row>
    <row r="26" spans="1:112" s="75" customFormat="1" ht="14.25" customHeight="1" x14ac:dyDescent="0.2">
      <c r="B26" s="38" t="s">
        <v>34</v>
      </c>
      <c r="C26" s="53">
        <f>C9+0.3</f>
        <v>3.3</v>
      </c>
      <c r="D26" s="25">
        <f>IF(OR((AND(C9&gt;=2,C9&lt;=4,C10&lt;=6)),(AND(C9&gt;=2,C9&lt;=4,C10&gt;6,C10&lt;=6.5)),(AND(C9&gt;=2,C9&lt;=3,C10&gt;6.5,C10&lt;=7))),4)+IF(OR((AND(C9&gt;4,C9&lt;=6,C10&lt;=7)),(AND(C9&gt;4,C9&lt;=6,C10&lt;=7)),(AND(C9&gt;4,C9&lt;=5.5,C10&gt;7,C10&lt;=8)),(AND(C9&gt;3,C9&lt;=4,C10&gt;6.5,C10&lt;=7)),(AND(C9&gt;2,C9&lt;=4.5,C10&gt;7,C10&lt;=9)),(AND(C9&gt;2,C9&lt;=2.5,C10&gt;9,C10&lt;=10))),6)+IF(OR((AND(C9&gt;2.5,C9&lt;=6,C10&gt;9,C10&lt;=12)),(AND(C9&gt;4.5,C9&lt;=6,C10&gt;8,C10&lt;=9)),(AND(C9&gt;5.5,C9&lt;=6,C10&gt;7,C10&lt;=8)),(AND(C9&gt;6,C9&lt;=8,C10&lt;=8)),(AND(C9&gt;6,C9&lt;=7,C10&gt;8,C10&lt;=10)),(AND(C9&gt;7,C9&lt;=7.5,C10&gt;8,C10&lt;=8.5))),8)+IF(OR((AND(C9&gt;8,C9&lt;=9.5,C10&lt;=11)),(AND(C9&gt;7,C9&lt;=8,C10&gt;8,C10&lt;=10)),(AND(C9&gt;6,C9&lt;=7,C10&gt;10,C10&lt;=11)),(AND(C9&gt;7.5,C9&lt;=8,C10&gt;8,C10&lt;=8.5))),10)+IF(OR((AND(C9&gt;9.5,C9&lt;=12,C10&lt;=10)),(AND(C9&gt;8,C9&lt;=9.5,C10&gt;8.5,C10&lt;=12)),(AND(C9&gt;6,C9&lt;=8,C10&gt;11,C10&lt;=12)),(AND(C9&gt;7,C9&lt;=8,C10&gt;10,C10&lt;=11)),(AND(C9&gt;9.5,C9&lt;=10.5,C10&gt;10,C10&lt;=11.5)),(AND(C9&gt;10.5,C9&lt;=11,C10&gt;10,C10&lt;=11))),12)+IF(OR((AND(C9&gt;11,C9&lt;=11.5,C10&gt;10,C10&lt;=10.5)),(AND(C9&gt;9.5,C9&lt;=10,C10&gt;11.5,C10&lt;=12))),12)+IF(AND(C9&lt;=2,C10&gt;6.5,C10&lt;=8),4)+IF(AND(C9&lt;=2,C10&gt;8),6)+IF(AND(C9&gt;2,C9&lt;=2.5,C10&gt;10),6)</f>
        <v>4</v>
      </c>
      <c r="E26" s="5" t="s">
        <v>53</v>
      </c>
      <c r="F26" s="252">
        <f>IF(D26=L67,O67)+IF(D26=L68,O68)+IF(D26=L69,O69)+IF(D26=L71,O71)+IF(D26=L70,O70)</f>
        <v>962.5</v>
      </c>
      <c r="G26" s="253">
        <f>F26*C26</f>
        <v>3176.25</v>
      </c>
      <c r="H26" s="155"/>
      <c r="J26" s="289"/>
      <c r="K26" s="1"/>
      <c r="L26" s="1"/>
      <c r="M26" s="52"/>
      <c r="N26" s="52"/>
      <c r="O26" s="52"/>
      <c r="P26" s="52"/>
      <c r="Q26" s="52"/>
      <c r="R26" s="52"/>
      <c r="W26" s="162"/>
      <c r="X26" s="162"/>
      <c r="Y26" s="162"/>
      <c r="Z26" s="1"/>
      <c r="AA26" s="162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</row>
    <row r="27" spans="1:112" s="75" customFormat="1" ht="12.75" x14ac:dyDescent="0.2">
      <c r="B27" s="54" t="s">
        <v>36</v>
      </c>
      <c r="C27" s="5">
        <v>1</v>
      </c>
      <c r="D27" s="5">
        <v>1</v>
      </c>
      <c r="E27" s="5" t="s">
        <v>13</v>
      </c>
      <c r="F27" s="252">
        <f>IF(AND(NOT(OR(D57=K173,D57=K174,D57=K175,D57=K177,D57=K178)),C11&lt;=12),O74)+IF(AND(NOT(OR(D57=K173,D57=K174,D57=K175,D57=K177,D57=K178)),C11&gt;12,C11&lt;=24),O75)+IF(AND(NOT(OR(D57=K173,D57=K174,D57=K175,D57=K177,D57=K178)),C11&gt;24,C11&lt;=36),O76)+IF(AND(NOT(OR(D57=K173,D57=K174,D57=K175,D57=K177,D57=K178)),C11&gt;36, C11&lt;=48),O77)+IF(AND((NOT(OR(D57=K173,D57=K174,D57=K175,D57=K177,D57=K178))),C11&gt;48),O78)</f>
        <v>2000</v>
      </c>
      <c r="G27" s="253">
        <f>F27*D27</f>
        <v>2000</v>
      </c>
      <c r="H27" s="155"/>
      <c r="J27" s="290"/>
      <c r="K27" s="1"/>
      <c r="L27" s="1"/>
      <c r="M27" s="52"/>
      <c r="N27" s="52"/>
      <c r="O27" s="52"/>
      <c r="P27" s="52"/>
      <c r="Q27" s="52"/>
      <c r="R27" s="52"/>
      <c r="W27" s="162"/>
      <c r="X27" s="162"/>
      <c r="Y27" s="162"/>
      <c r="Z27" s="1"/>
      <c r="AA27" s="162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</row>
    <row r="28" spans="1:112" s="75" customFormat="1" ht="12.75" x14ac:dyDescent="0.2">
      <c r="B28" s="4" t="s">
        <v>71</v>
      </c>
      <c r="C28" s="13">
        <f>IF(AND(C9&gt;=2,C9&lt;=7.85,C10&lt;=3.5),400)+IF(AND(C9&gt;=2,C9&lt;=7.85,C10&gt;3.5,C10&lt;=5.5),450)+IF(AND(C9&gt;=2,C9&lt;=7.85,C10&gt;5.5,C10&lt;=7),525)+IF(AND(C9&gt;=2,C9&lt;=7.85,C10&gt;7,C10&lt;=9),600)+IF(AND(C9&gt;=2,C9&lt;=7.85,C10&gt;9,C10&lt;=10),675)+IF(AND(C9&gt;=2,C9&lt;=7.85,C10&gt;10,C10&lt;=12),750)+IF(AND(C9&gt;7.85,C9&lt;=12,C10&gt;7,C10&lt;=12),750)+IF(AND(C9&gt;7.85,C9&lt;=12,C10&lt;=7),600)</f>
        <v>400</v>
      </c>
      <c r="D28" s="13">
        <v>2</v>
      </c>
      <c r="E28" s="23" t="s">
        <v>13</v>
      </c>
      <c r="F28" s="254">
        <f>IF(AND(NOT(OR(C57=L173,C57=L174,C57=L175,C57=L177,C57=L178)),C28=400,B28=Q87),Q88)+IF(AND(NOT(OR(C57=L173,C57=L174,C57=L175,C57=L177,C57=L178)),C28=450,B28=Q87),Q89)+IF(AND(NOT(OR(C57=L173,C57=L174,C57=L175,C57=L177,C57=L178)),C28=525,B28=Q87),Q90)+IF(AND(NOT(OR(C57=L173,C57=L174,C57=L175,C57=L177,C57=L178)),C28=600,B28=Q87),Q91)+IF(AND(NOT(OR(C57=L173,C57=L174,C57=L175,C57=L177,C57=L178)),C28=675,B28=Q87),Q92)+IF(AND(NOT(OR(C57=L173,C57=L174,C57=L175,C57=L177,C57=L178)),B28=R87,C28=400),R88)+IF(AND(NOT(OR(C57=L173,C57=L174,C57=L175,C57=L177,C57=L178)),B28=R87,C28=450),R89)+IF(AND(NOT(OR(C57=L173,C57=L174,C57=L175,C57=L177,C57=L178)),B28=R87,C28=525),R90)+IF(AND(NOT(OR(C57=L173,C57=L174,C57=L175,C57=L177,C57=L178)),B28=R87,C28=600),R91)+IF(AND(NOT(OR(C57=L173,C57=L174,C57=L175,C57=L177,C57=L178)),B28=R87,C28=675),R92)+IF(AND(NOT(OR(C57=L173,C57=L174,C57=L175,C57=L177,C57=L178)),B28=R87,C28=750),Q93)+IF(AND(NOT(OR(C57=L173,C57=L174,C57=L175,C57=L177,C57=L178)),B28=R87,C28=750),R93)</f>
        <v>495</v>
      </c>
      <c r="G28" s="255">
        <f>F28*D28</f>
        <v>990</v>
      </c>
      <c r="H28" s="155"/>
      <c r="J28" s="290"/>
      <c r="K28" s="1"/>
      <c r="L28" s="1"/>
      <c r="M28" s="52"/>
      <c r="N28" s="162"/>
      <c r="P28" s="1"/>
      <c r="Q28" s="52"/>
      <c r="R28" s="52"/>
      <c r="W28" s="162"/>
      <c r="X28" s="162"/>
      <c r="Y28" s="162"/>
      <c r="Z28" s="1"/>
      <c r="AA28" s="162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</row>
    <row r="29" spans="1:112" s="75" customFormat="1" ht="12.75" x14ac:dyDescent="0.2">
      <c r="B29" s="55" t="s">
        <v>37</v>
      </c>
      <c r="C29" s="5">
        <v>1</v>
      </c>
      <c r="D29" s="5">
        <v>1</v>
      </c>
      <c r="E29" s="5" t="s">
        <v>13</v>
      </c>
      <c r="F29" s="252">
        <f>IF(AND(NOT(OR(C57=L173,C57=L174,C57=L175,C57=L177,C57=L178)),C11&lt;=12),O114)+IF(AND(NOT(OR(C57=L173,C57=L174,C57=L175,C57=L177,C57=L178)),C11&gt;12,C11&lt;=24),O115)+IF(AND(C11&gt;24,C11&lt;=36),O116)+IF(AND(NOT(OR(C57=L173,C57=L174,C57=L175,C57=L177,C57=L178)),C11&gt;36,C11&lt;=48),O117)+IF(AND(NOT(OR(C57=L173,C57=L174,C57=L175,C57=L177,C57=L178)),C11&gt;48),O118)</f>
        <v>1500</v>
      </c>
      <c r="G29" s="253">
        <f>F29*D29</f>
        <v>1500</v>
      </c>
      <c r="H29" s="155"/>
      <c r="J29" s="290"/>
      <c r="K29" s="1"/>
      <c r="L29" s="1"/>
      <c r="M29" s="52"/>
      <c r="N29" s="52"/>
      <c r="O29" s="52"/>
      <c r="P29" s="52"/>
      <c r="Q29" s="52"/>
      <c r="R29" s="52"/>
      <c r="W29" s="162"/>
      <c r="X29" s="162"/>
      <c r="Y29" s="162"/>
      <c r="Z29" s="1"/>
      <c r="AA29" s="162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</row>
    <row r="30" spans="1:112" s="75" customFormat="1" ht="12.75" x14ac:dyDescent="0.2">
      <c r="B30" s="4" t="s">
        <v>174</v>
      </c>
      <c r="C30" s="13">
        <f>C9+0.5</f>
        <v>3.5</v>
      </c>
      <c r="D30" s="13">
        <f>C28</f>
        <v>400</v>
      </c>
      <c r="E30" s="23" t="s">
        <v>53</v>
      </c>
      <c r="F30" s="254">
        <f>+IF(AND(C14=N121,B30=N122,D30=L123),N123)+IF(AND(C14=N121,B30=N122,D30=L124),N124)+IF(AND(C14=N121,B30=N122,D30=L125),N125)+IF(AND(C14=N121,B30=N122,D30=L126),N126)+IF(AND(C14=N121,B30=N122,D30=L127),N127)+IF(AND(C14=N121,B30=N122,D30=L128),N128)+IF(AND(C14=N121,B30=O122,D30=L123),O123)+IF(AND(C14=N121,B30=O122,D30=L124),O124)+IF(AND(C14=N121,B30=O122,D30=L125),O125)+IF(AND(C14=N121,B30=O122,D30=L126),O126)+IF(AND(C14=N121,B30=O122,D30=L127),O127)+IF(AND(C14=N121,B30=O122,D30=L128),O128)+IF(AND(C14=P121,B30=P122,D30=L123),P123)+IF(AND(C14=P121,B30=P122,D30=L124),P124)+IF(AND(C14=P121,B30=P122,D30=L125),P125)+IF(AND(C14=P121,B30=P122,D30=L126),P126)+IF(AND(C14=P121,B30=P122,D30=L127),P127)+IF(AND(C14=P121,B30=P122,D30=L128),P128)+IF(AND(C14=P121,B30=Q122,D30=L123),Q123)+IF(AND(C14=P121,B30=Q122,D30=L124),Q124)+IF(AND(C14=P121,B30=Q122,D30=L125),Q125)+IF(AND(C14=P121,B30=Q122,D30=L126),Q126)+IF(AND(C14=P121,B30=Q122,D30=L127),Q127)+IF(AND(C14=P121,B30=Q122,D30=L128),Q128)</f>
        <v>0</v>
      </c>
      <c r="G30" s="255">
        <f>(F30*C30)+(IF(OR(C17=AB62,C17=AB63),100*C11))</f>
        <v>0</v>
      </c>
      <c r="H30" s="155"/>
      <c r="J30" s="290"/>
      <c r="K30" s="1"/>
      <c r="L30" s="1"/>
      <c r="M30" s="52"/>
      <c r="N30" s="52"/>
      <c r="O30" s="52"/>
      <c r="P30" s="52"/>
      <c r="Q30" s="52"/>
      <c r="R30" s="52"/>
      <c r="W30" s="162"/>
      <c r="X30" s="162"/>
      <c r="Y30" s="162"/>
      <c r="Z30" s="1"/>
      <c r="AA30" s="162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</row>
    <row r="31" spans="1:112" s="75" customFormat="1" thickBot="1" x14ac:dyDescent="0.25">
      <c r="B31" s="38" t="s">
        <v>175</v>
      </c>
      <c r="C31" s="5">
        <v>1</v>
      </c>
      <c r="D31" s="5">
        <v>1</v>
      </c>
      <c r="E31" s="5" t="s">
        <v>13</v>
      </c>
      <c r="F31" s="252">
        <f>+IF(C14=M130,M131)+IF(C14=N130,N131)</f>
        <v>0</v>
      </c>
      <c r="G31" s="253">
        <f>F31*D31</f>
        <v>0</v>
      </c>
      <c r="H31" s="155"/>
      <c r="J31" s="290"/>
      <c r="K31" s="1"/>
      <c r="L31" s="1"/>
      <c r="M31" s="1"/>
      <c r="N31" s="722" t="str">
        <f>+L11</f>
        <v>MS</v>
      </c>
      <c r="O31" s="722"/>
      <c r="P31" s="722"/>
      <c r="Q31" s="722"/>
      <c r="R31" s="722"/>
      <c r="S31" s="722"/>
      <c r="T31" s="722"/>
      <c r="U31" s="722"/>
      <c r="W31" s="162"/>
      <c r="X31" s="162"/>
      <c r="Y31" s="162"/>
      <c r="Z31" s="1"/>
      <c r="AA31" s="162" t="s">
        <v>16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</row>
    <row r="32" spans="1:112" s="75" customFormat="1" ht="12.75" x14ac:dyDescent="0.2">
      <c r="A32" s="1"/>
      <c r="B32" s="36" t="s">
        <v>65</v>
      </c>
      <c r="C32" s="13">
        <v>1</v>
      </c>
      <c r="D32" s="13">
        <v>1</v>
      </c>
      <c r="E32" s="23" t="s">
        <v>54</v>
      </c>
      <c r="F32" s="254">
        <v>1800</v>
      </c>
      <c r="G32" s="255">
        <f>F32*D32</f>
        <v>1800</v>
      </c>
      <c r="H32" s="103"/>
      <c r="I32" s="1"/>
      <c r="J32" s="290"/>
      <c r="K32" s="75" t="s">
        <v>254</v>
      </c>
      <c r="L32" s="199" t="s">
        <v>240</v>
      </c>
      <c r="M32" s="200" t="s">
        <v>243</v>
      </c>
      <c r="N32" s="205" t="s">
        <v>166</v>
      </c>
      <c r="O32" s="206" t="str">
        <f>N11</f>
        <v>Corrogated 75mm MS</v>
      </c>
      <c r="P32" s="205" t="s">
        <v>166</v>
      </c>
      <c r="Q32" s="207" t="str">
        <f>N14</f>
        <v>Corrogated 90mm MS</v>
      </c>
      <c r="R32" s="205" t="s">
        <v>166</v>
      </c>
      <c r="S32" s="207" t="str">
        <f>N17</f>
        <v>Corrogated 115mm MS</v>
      </c>
      <c r="T32" s="205" t="s">
        <v>166</v>
      </c>
      <c r="U32" s="207" t="str">
        <f>N20</f>
        <v>Flat 85mm MS</v>
      </c>
      <c r="V32" s="208" t="s">
        <v>91</v>
      </c>
      <c r="W32" s="162"/>
      <c r="X32" s="162"/>
      <c r="Y32" s="162"/>
      <c r="Z32" s="1"/>
      <c r="AA32" s="162" t="s">
        <v>149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</row>
    <row r="33" spans="1:112" ht="12.75" x14ac:dyDescent="0.2">
      <c r="B33" s="38" t="s">
        <v>38</v>
      </c>
      <c r="C33" s="5">
        <v>1</v>
      </c>
      <c r="D33" s="5">
        <v>1</v>
      </c>
      <c r="E33" s="5" t="s">
        <v>54</v>
      </c>
      <c r="F33" s="252">
        <f>IF(C11&lt;=12,O139)+IF(AND(C11&gt;12,C11&lt;=24),O140)+IF(AND(C11&gt;24,C11&lt;=36),O141)+IF(C11&gt;36,O142)</f>
        <v>1500</v>
      </c>
      <c r="G33" s="253">
        <f>D33*F33</f>
        <v>1500</v>
      </c>
      <c r="H33" s="103"/>
      <c r="J33" s="287"/>
      <c r="L33" s="296" t="s">
        <v>220</v>
      </c>
      <c r="M33" s="300">
        <v>290</v>
      </c>
      <c r="N33" s="304">
        <f>+(1.2*0.133*1*7.85)</f>
        <v>1.2528599999999999</v>
      </c>
      <c r="O33" s="210">
        <f>CEILING($M$33*N33,2)</f>
        <v>364</v>
      </c>
      <c r="P33" s="304">
        <f>+(1.2*0.113*1*7.85)</f>
        <v>1.06446</v>
      </c>
      <c r="Q33" s="210">
        <f>CEILING($M$33*P33,2)</f>
        <v>310</v>
      </c>
      <c r="R33" s="306">
        <f>+(1.2*0.133*1*7.85)</f>
        <v>1.2528599999999999</v>
      </c>
      <c r="S33" s="210">
        <f>CEILING($M$33*R33,2)</f>
        <v>364</v>
      </c>
      <c r="T33" s="306">
        <f>+(1.2*0.155*1*7.85)</f>
        <v>1.4601</v>
      </c>
      <c r="U33" s="210">
        <f>CEILING($M$33*T33,2)</f>
        <v>424</v>
      </c>
      <c r="V33" s="211" t="s">
        <v>92</v>
      </c>
      <c r="X33" s="162"/>
      <c r="Y33" s="162"/>
      <c r="Z33" s="75"/>
      <c r="AA33" s="162" t="s">
        <v>18</v>
      </c>
    </row>
    <row r="34" spans="1:112" ht="12.75" x14ac:dyDescent="0.2">
      <c r="A34" s="75"/>
      <c r="B34" s="38" t="s">
        <v>39</v>
      </c>
      <c r="C34" s="5">
        <v>0</v>
      </c>
      <c r="D34" s="5">
        <f>C11</f>
        <v>9</v>
      </c>
      <c r="E34" s="5" t="s">
        <v>55</v>
      </c>
      <c r="F34" s="252">
        <f>IF(C11&lt;=12,O145)+IF(AND(C11&gt;12,C11&lt;=24),O146)+IF(AND(C11&gt;24,C11&lt;=36),O147)+IF(AND(C11&gt;36,C11&lt;=48),O148)+IF(C11&gt;48,O149)</f>
        <v>650</v>
      </c>
      <c r="G34" s="253">
        <f>F34*D34</f>
        <v>5850</v>
      </c>
      <c r="H34" s="155"/>
      <c r="I34" s="75"/>
      <c r="J34" s="287"/>
      <c r="L34" s="296" t="s">
        <v>222</v>
      </c>
      <c r="M34" s="300">
        <v>290</v>
      </c>
      <c r="N34" s="304">
        <f>+(1*0.133*1*7.85)</f>
        <v>1.0440499999999999</v>
      </c>
      <c r="O34" s="210">
        <f>CEILING($M$34*N34,1)</f>
        <v>303</v>
      </c>
      <c r="P34" s="304">
        <f>+(1*0.113*1*7.85)</f>
        <v>0.88705000000000001</v>
      </c>
      <c r="Q34" s="210">
        <f>CEILING($M$34*P34,1)</f>
        <v>258</v>
      </c>
      <c r="R34" s="306">
        <f>+(1*0.133*1*7.85)</f>
        <v>1.0440499999999999</v>
      </c>
      <c r="S34" s="210">
        <f>CEILING($M$34*R34,1)</f>
        <v>303</v>
      </c>
      <c r="T34" s="306">
        <f>+(1*0.155*1*7.85)</f>
        <v>1.21675</v>
      </c>
      <c r="U34" s="210">
        <f>CEILING($M$34*T34,1)</f>
        <v>353</v>
      </c>
      <c r="V34" s="211" t="s">
        <v>92</v>
      </c>
      <c r="X34" s="162"/>
      <c r="Y34" s="162"/>
      <c r="Z34" s="75"/>
      <c r="AA34" s="162" t="s">
        <v>17</v>
      </c>
    </row>
    <row r="35" spans="1:112" s="75" customFormat="1" ht="13.5" thickBot="1" x14ac:dyDescent="0.25">
      <c r="A35" s="1"/>
      <c r="B35" s="36" t="s">
        <v>57</v>
      </c>
      <c r="C35" s="13">
        <v>0</v>
      </c>
      <c r="D35" s="13">
        <f>C11</f>
        <v>9</v>
      </c>
      <c r="E35" s="13" t="s">
        <v>55</v>
      </c>
      <c r="F35" s="254">
        <v>30</v>
      </c>
      <c r="G35" s="256">
        <f>F35*D35</f>
        <v>270</v>
      </c>
      <c r="H35" s="103"/>
      <c r="I35" s="1"/>
      <c r="J35" s="290"/>
      <c r="K35" s="1"/>
      <c r="L35" s="297" t="s">
        <v>225</v>
      </c>
      <c r="M35" s="301">
        <v>290</v>
      </c>
      <c r="N35" s="305">
        <f>+(0.9*0.133*1*7.85)</f>
        <v>0.93964500000000006</v>
      </c>
      <c r="O35" s="213">
        <f>CEILING($M$35*N35,1)</f>
        <v>273</v>
      </c>
      <c r="P35" s="305">
        <f>+(0.9*0.113*1*7.85)</f>
        <v>0.79834499999999997</v>
      </c>
      <c r="Q35" s="213">
        <f>CEILING($M$35*P35,1)</f>
        <v>232</v>
      </c>
      <c r="R35" s="307">
        <f>+(0.9*0.133*1*7.85)</f>
        <v>0.93964500000000006</v>
      </c>
      <c r="S35" s="213">
        <f>CEILING($M$35*R35,1)</f>
        <v>273</v>
      </c>
      <c r="T35" s="307">
        <f>+(0.9*0.155*1*7.85)</f>
        <v>1.095075</v>
      </c>
      <c r="U35" s="213">
        <f>CEILING($M$35*T35,1)</f>
        <v>318</v>
      </c>
      <c r="V35" s="214" t="s">
        <v>92</v>
      </c>
      <c r="W35" s="1"/>
      <c r="X35" s="162"/>
      <c r="Y35" s="162"/>
      <c r="AA35" s="162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</row>
    <row r="36" spans="1:112" ht="13.5" thickBot="1" x14ac:dyDescent="0.25">
      <c r="B36" s="133" t="s">
        <v>40</v>
      </c>
      <c r="C36" s="24"/>
      <c r="D36" s="24"/>
      <c r="E36" s="24"/>
      <c r="F36" s="134"/>
      <c r="G36" s="263">
        <f>SUM(G23:G35)</f>
        <v>84332.55</v>
      </c>
      <c r="H36" s="156"/>
      <c r="J36" s="287"/>
      <c r="M36" s="292"/>
      <c r="O36" s="39"/>
      <c r="S36" s="75"/>
      <c r="T36" s="75"/>
      <c r="U36" s="75"/>
      <c r="V36" s="75"/>
      <c r="X36" s="162"/>
      <c r="Y36" s="162"/>
      <c r="Z36" s="52"/>
      <c r="AA36" s="162" t="s">
        <v>1</v>
      </c>
    </row>
    <row r="37" spans="1:112" ht="13.5" thickBot="1" x14ac:dyDescent="0.25">
      <c r="B37" s="137" t="s">
        <v>70</v>
      </c>
      <c r="C37" s="138"/>
      <c r="D37" s="138"/>
      <c r="E37" s="138"/>
      <c r="F37" s="138"/>
      <c r="G37" s="138"/>
      <c r="H37" s="264">
        <f>CEILING((G36/C11),1)</f>
        <v>9371</v>
      </c>
      <c r="J37" s="287"/>
      <c r="M37" s="292"/>
      <c r="O37" s="39"/>
      <c r="S37" s="75"/>
      <c r="T37" s="75"/>
      <c r="U37" s="75"/>
      <c r="V37" s="75"/>
      <c r="X37" s="162"/>
      <c r="Y37" s="162"/>
      <c r="Z37" s="52"/>
      <c r="AA37" s="162" t="s">
        <v>2</v>
      </c>
    </row>
    <row r="38" spans="1:112" ht="12.75" customHeight="1" x14ac:dyDescent="0.2">
      <c r="B38" s="135" t="s">
        <v>24</v>
      </c>
      <c r="C38" s="173" t="s">
        <v>23</v>
      </c>
      <c r="D38" s="136">
        <f>C9</f>
        <v>3</v>
      </c>
      <c r="E38" s="173">
        <v>0</v>
      </c>
      <c r="F38" s="252">
        <v>650</v>
      </c>
      <c r="G38" s="253">
        <f>IF(OR(C38=AA87,C38=AA88),F38*(E38*D38),0)</f>
        <v>0</v>
      </c>
      <c r="H38" s="154"/>
      <c r="J38" s="287"/>
      <c r="M38" s="292"/>
      <c r="N38" s="722" t="str">
        <f>L12</f>
        <v xml:space="preserve">GI Strips </v>
      </c>
      <c r="O38" s="722"/>
      <c r="P38" s="722"/>
      <c r="Q38" s="722"/>
      <c r="R38" s="722"/>
      <c r="S38" s="722"/>
      <c r="T38" s="722"/>
      <c r="U38" s="722"/>
      <c r="V38" s="75"/>
      <c r="X38" s="162"/>
      <c r="Y38" s="162"/>
      <c r="Z38" s="52"/>
      <c r="AA38" s="162" t="s">
        <v>3</v>
      </c>
    </row>
    <row r="39" spans="1:112" ht="13.5" customHeight="1" x14ac:dyDescent="0.2">
      <c r="B39" s="36" t="s">
        <v>25</v>
      </c>
      <c r="C39" s="57" t="s">
        <v>62</v>
      </c>
      <c r="D39" s="13">
        <f>C9</f>
        <v>3</v>
      </c>
      <c r="E39" s="57">
        <v>4.5</v>
      </c>
      <c r="F39" s="252">
        <v>3000</v>
      </c>
      <c r="G39" s="253">
        <f>IF(OR(C39=AA91,C39=AA92),F39*(D39*E39),0)</f>
        <v>40500</v>
      </c>
      <c r="H39" s="103"/>
      <c r="I39" s="86"/>
      <c r="J39" s="287"/>
      <c r="K39" s="1" t="s">
        <v>255</v>
      </c>
      <c r="L39" s="293" t="s">
        <v>241</v>
      </c>
      <c r="M39" s="302" t="s">
        <v>244</v>
      </c>
      <c r="N39" s="294" t="s">
        <v>166</v>
      </c>
      <c r="O39" s="210" t="str">
        <f>N12</f>
        <v>Corrogated 75mm GI</v>
      </c>
      <c r="P39" s="294" t="s">
        <v>166</v>
      </c>
      <c r="Q39" s="209" t="str">
        <f>N15</f>
        <v>Corrogated 90mm GI</v>
      </c>
      <c r="R39" s="294" t="s">
        <v>166</v>
      </c>
      <c r="S39" s="209" t="str">
        <f>N18</f>
        <v>Corrogated 115mm GI</v>
      </c>
      <c r="T39" s="294" t="s">
        <v>166</v>
      </c>
      <c r="U39" s="209" t="str">
        <f>N21</f>
        <v>Flat 85mm GI</v>
      </c>
      <c r="V39" s="209" t="s">
        <v>91</v>
      </c>
      <c r="X39" s="162"/>
      <c r="Y39" s="162"/>
      <c r="Z39" s="52"/>
    </row>
    <row r="40" spans="1:112" ht="13.5" customHeight="1" x14ac:dyDescent="0.2">
      <c r="B40" s="60" t="s">
        <v>58</v>
      </c>
      <c r="C40" s="57" t="s">
        <v>23</v>
      </c>
      <c r="D40" s="57"/>
      <c r="E40" s="59">
        <f>C11</f>
        <v>9</v>
      </c>
      <c r="F40" s="252">
        <f>+IF(C40=AA95,AB95)+IF(C40=AA96,AB96)+IF(C40=AA97,AB97)</f>
        <v>0</v>
      </c>
      <c r="G40" s="253">
        <f>IF(OR(C40=AA95,C40=AA96),F40*E40,0)</f>
        <v>0</v>
      </c>
      <c r="H40" s="103"/>
      <c r="I40" s="86"/>
      <c r="J40" s="288"/>
      <c r="L40" s="295" t="s">
        <v>221</v>
      </c>
      <c r="M40" s="300">
        <v>275</v>
      </c>
      <c r="N40" s="306">
        <f>+(1.2*0.133*1*7.85)</f>
        <v>1.2528599999999999</v>
      </c>
      <c r="O40" s="210">
        <f>CEILING($M$40*N40,2)</f>
        <v>346</v>
      </c>
      <c r="P40" s="306">
        <f>+(1.2*0.113*1*7.85)</f>
        <v>1.06446</v>
      </c>
      <c r="Q40" s="210">
        <f>CEILING($M$40*P40,2)</f>
        <v>294</v>
      </c>
      <c r="R40" s="306">
        <f>+(1.2*0.133*1*7.85)</f>
        <v>1.2528599999999999</v>
      </c>
      <c r="S40" s="210">
        <f>CEILING($M$40*R40,2)</f>
        <v>346</v>
      </c>
      <c r="T40" s="306">
        <f>+(1.2*0.155*1*7.85)</f>
        <v>1.4601</v>
      </c>
      <c r="U40" s="210">
        <f>CEILING($M$40*T40,2)</f>
        <v>402</v>
      </c>
      <c r="V40" s="209" t="s">
        <v>92</v>
      </c>
      <c r="X40" s="162"/>
      <c r="Y40" s="162"/>
      <c r="Z40" s="52"/>
    </row>
    <row r="41" spans="1:112" ht="12.75" x14ac:dyDescent="0.2">
      <c r="B41" s="60" t="s">
        <v>64</v>
      </c>
      <c r="C41" s="173" t="s">
        <v>31</v>
      </c>
      <c r="D41" s="173" t="s">
        <v>66</v>
      </c>
      <c r="E41" s="59" t="s">
        <v>13</v>
      </c>
      <c r="F41" s="252">
        <f>IF(D41=R100,S100)+IF(D41=R101,S101)+IF(D41=R102,S102)</f>
        <v>40000</v>
      </c>
      <c r="G41" s="253">
        <f>IF(C41=AA93,0,F41)</f>
        <v>40000</v>
      </c>
      <c r="H41" s="97"/>
      <c r="I41" s="86"/>
      <c r="J41" s="288"/>
      <c r="L41" s="295" t="s">
        <v>223</v>
      </c>
      <c r="M41" s="300">
        <v>280</v>
      </c>
      <c r="N41" s="306">
        <f>+(1*0.133*1*7.85)</f>
        <v>1.0440499999999999</v>
      </c>
      <c r="O41" s="210">
        <f>CEILING($M$41*N41,1)</f>
        <v>293</v>
      </c>
      <c r="P41" s="306">
        <f>+(1*0.113*1*7.85)</f>
        <v>0.88705000000000001</v>
      </c>
      <c r="Q41" s="210">
        <f>CEILING($M$41*P41,1)</f>
        <v>249</v>
      </c>
      <c r="R41" s="306">
        <f>+(1*0.133*1*7.85)</f>
        <v>1.0440499999999999</v>
      </c>
      <c r="S41" s="210">
        <f>CEILING($M$41*R41,1)</f>
        <v>293</v>
      </c>
      <c r="T41" s="306">
        <f>+(1*0.155*1*7.85)</f>
        <v>1.21675</v>
      </c>
      <c r="U41" s="210">
        <f>CEILING($M$41*T41,1)</f>
        <v>341</v>
      </c>
      <c r="V41" s="209" t="s">
        <v>92</v>
      </c>
      <c r="X41" s="162"/>
      <c r="Y41" s="162"/>
      <c r="Z41" s="52"/>
    </row>
    <row r="42" spans="1:112" ht="12.75" customHeight="1" x14ac:dyDescent="0.2">
      <c r="B42" s="60" t="s">
        <v>158</v>
      </c>
      <c r="C42" s="173" t="s">
        <v>31</v>
      </c>
      <c r="D42" s="57">
        <v>0</v>
      </c>
      <c r="E42" s="59" t="s">
        <v>179</v>
      </c>
      <c r="F42" s="252">
        <v>450</v>
      </c>
      <c r="G42" s="253">
        <f>+F42*D42</f>
        <v>0</v>
      </c>
      <c r="H42" s="97"/>
      <c r="I42" s="86"/>
      <c r="J42" s="288"/>
      <c r="L42" s="295" t="s">
        <v>226</v>
      </c>
      <c r="M42" s="300">
        <v>285</v>
      </c>
      <c r="N42" s="306">
        <f>+(0.9*0.133*1*7.85)</f>
        <v>0.93964500000000006</v>
      </c>
      <c r="O42" s="210">
        <f>CEILING($M$42*N42,1)</f>
        <v>268</v>
      </c>
      <c r="P42" s="306">
        <f>+(0.9*0.113*1*7.85)</f>
        <v>0.79834499999999997</v>
      </c>
      <c r="Q42" s="210">
        <f>CEILING($M$42*P42,1)</f>
        <v>228</v>
      </c>
      <c r="R42" s="306">
        <f>+(0.9*0.133*1*7.85)</f>
        <v>0.93964500000000006</v>
      </c>
      <c r="S42" s="210">
        <f>CEILING($M$42*R42,1)</f>
        <v>268</v>
      </c>
      <c r="T42" s="306">
        <f>+(0.9*0.155*1*7.85)</f>
        <v>1.095075</v>
      </c>
      <c r="U42" s="210">
        <f>CEILING($M$42*T42,1)</f>
        <v>313</v>
      </c>
      <c r="V42" s="209" t="s">
        <v>92</v>
      </c>
      <c r="X42" s="162"/>
      <c r="Y42" s="162"/>
      <c r="Z42" s="52"/>
    </row>
    <row r="43" spans="1:112" ht="12.75" x14ac:dyDescent="0.2">
      <c r="B43" s="60" t="s">
        <v>126</v>
      </c>
      <c r="C43" s="57"/>
      <c r="D43" s="57">
        <v>0</v>
      </c>
      <c r="E43" s="59">
        <f>C11</f>
        <v>9</v>
      </c>
      <c r="F43" s="15"/>
      <c r="G43" s="160">
        <f>E43*D43</f>
        <v>0</v>
      </c>
      <c r="H43" s="37"/>
      <c r="I43" s="86"/>
      <c r="J43" s="288"/>
      <c r="M43" s="292"/>
      <c r="O43" s="39"/>
      <c r="S43" s="75"/>
      <c r="T43" s="75"/>
      <c r="U43" s="75"/>
      <c r="V43" s="75"/>
      <c r="X43" s="162"/>
      <c r="Y43" s="162"/>
      <c r="Z43" s="52"/>
    </row>
    <row r="44" spans="1:112" ht="15" customHeight="1" x14ac:dyDescent="0.2">
      <c r="B44" s="60" t="s">
        <v>150</v>
      </c>
      <c r="C44" s="171"/>
      <c r="D44" s="171"/>
      <c r="E44" s="59"/>
      <c r="F44" s="172">
        <v>0.04</v>
      </c>
      <c r="G44" s="253">
        <f>(G36+G38+G39+G40+G41+G43)*F44</f>
        <v>6593.3019999999997</v>
      </c>
      <c r="H44" s="169"/>
      <c r="I44" s="86"/>
      <c r="J44" s="288"/>
      <c r="M44" s="292"/>
      <c r="O44" s="39"/>
      <c r="S44" s="75"/>
      <c r="T44" s="75"/>
      <c r="U44" s="75"/>
      <c r="V44" s="75"/>
      <c r="X44" s="162"/>
      <c r="Y44" s="162"/>
      <c r="Z44" s="52"/>
      <c r="DF44" s="75"/>
      <c r="DG44" s="75"/>
      <c r="DH44" s="75"/>
    </row>
    <row r="45" spans="1:112" thickBot="1" x14ac:dyDescent="0.25">
      <c r="B45" s="36" t="s">
        <v>41</v>
      </c>
      <c r="C45" s="15"/>
      <c r="D45" s="3"/>
      <c r="E45" s="3"/>
      <c r="F45" s="27">
        <v>0.02</v>
      </c>
      <c r="G45" s="253">
        <f ca="1">G47*F45</f>
        <v>3809.4633777777776</v>
      </c>
      <c r="H45" s="154"/>
      <c r="I45" s="86"/>
      <c r="J45" s="288"/>
      <c r="M45" s="292"/>
      <c r="N45" s="722" t="str">
        <f>+L14</f>
        <v>Galvalum</v>
      </c>
      <c r="O45" s="722"/>
      <c r="P45" s="722"/>
      <c r="Q45" s="722"/>
      <c r="R45" s="722"/>
      <c r="S45" s="722"/>
      <c r="T45" s="722"/>
      <c r="U45" s="722"/>
      <c r="V45" s="75"/>
      <c r="X45" s="162"/>
      <c r="Y45" s="162"/>
      <c r="Z45" s="52"/>
      <c r="DF45" s="75"/>
      <c r="DG45" s="75"/>
      <c r="DH45" s="75"/>
    </row>
    <row r="46" spans="1:112" ht="13.5" thickBot="1" x14ac:dyDescent="0.25">
      <c r="B46" s="36" t="s">
        <v>69</v>
      </c>
      <c r="C46" s="57" t="s">
        <v>17</v>
      </c>
      <c r="D46" s="3"/>
      <c r="E46" s="3"/>
      <c r="F46" s="27">
        <f>IF(C46=AA31,0)+IF(C46=AA33,M151)+IF(C46=AA34,M152)+IF(C46=AA32,M150)</f>
        <v>0.08</v>
      </c>
      <c r="G46" s="253">
        <f ca="1">G47*F46</f>
        <v>15237.85351111111</v>
      </c>
      <c r="H46" s="103"/>
      <c r="I46" s="86"/>
      <c r="J46" s="288"/>
      <c r="K46" s="1" t="s">
        <v>256</v>
      </c>
      <c r="L46" s="199" t="s">
        <v>242</v>
      </c>
      <c r="M46" s="303" t="s">
        <v>245</v>
      </c>
      <c r="N46" s="201" t="s">
        <v>166</v>
      </c>
      <c r="O46" s="202" t="str">
        <f>N13</f>
        <v>Corrogated 75mm GAL</v>
      </c>
      <c r="P46" s="201" t="s">
        <v>166</v>
      </c>
      <c r="Q46" s="203" t="str">
        <f>N16</f>
        <v>Corrogated 90mm GAL</v>
      </c>
      <c r="R46" s="201" t="s">
        <v>166</v>
      </c>
      <c r="S46" s="203" t="str">
        <f>N19</f>
        <v>Corrogated 115mm GAL</v>
      </c>
      <c r="T46" s="201" t="s">
        <v>166</v>
      </c>
      <c r="U46" s="203" t="str">
        <f>N22</f>
        <v>Flat 85mm GAL</v>
      </c>
      <c r="V46" s="204" t="s">
        <v>91</v>
      </c>
      <c r="W46" s="162"/>
      <c r="X46" s="162"/>
      <c r="Y46" s="162"/>
      <c r="Z46" s="52"/>
      <c r="DF46" s="75"/>
      <c r="DG46" s="75"/>
      <c r="DH46" s="75"/>
    </row>
    <row r="47" spans="1:112" ht="13.5" thickBot="1" x14ac:dyDescent="0.25">
      <c r="B47" s="151" t="s">
        <v>63</v>
      </c>
      <c r="C47" s="152"/>
      <c r="D47" s="152"/>
      <c r="E47" s="152"/>
      <c r="F47" s="153"/>
      <c r="G47" s="264">
        <f ca="1">SUM(G36:G46)</f>
        <v>190473.16888888887</v>
      </c>
      <c r="H47" s="264">
        <f ca="1">CEILING((G47/C11),1)</f>
        <v>21164</v>
      </c>
      <c r="I47" s="86"/>
      <c r="J47" s="288"/>
      <c r="K47" s="188">
        <v>1.2</v>
      </c>
      <c r="L47" s="295" t="s">
        <v>224</v>
      </c>
      <c r="M47" s="300">
        <f>290*2</f>
        <v>580</v>
      </c>
      <c r="N47" s="306">
        <f>+(1.2*0.133*1*7.85)</f>
        <v>1.2528599999999999</v>
      </c>
      <c r="O47" s="210">
        <f>CEILING($M$47*N47,2)</f>
        <v>728</v>
      </c>
      <c r="P47" s="306">
        <f>+(1.2*0.113*1*7.85)</f>
        <v>1.06446</v>
      </c>
      <c r="Q47" s="210">
        <f>CEILING($M$47*P47,2)</f>
        <v>618</v>
      </c>
      <c r="R47" s="306">
        <f>+(1.2*0.133*1*7.85)</f>
        <v>1.2528599999999999</v>
      </c>
      <c r="S47" s="210">
        <f>CEILING($M$47*R47,2)</f>
        <v>728</v>
      </c>
      <c r="T47" s="306">
        <f>+(1.2*0.155*1*7.85)</f>
        <v>1.4601</v>
      </c>
      <c r="U47" s="210">
        <f>CEILING($M$47*T47,2)</f>
        <v>848</v>
      </c>
      <c r="V47" s="211" t="s">
        <v>92</v>
      </c>
      <c r="W47" s="162"/>
      <c r="X47" s="162"/>
      <c r="Y47" s="162"/>
      <c r="DF47" s="75"/>
      <c r="DG47" s="75"/>
      <c r="DH47" s="75"/>
    </row>
    <row r="48" spans="1:112" ht="13.5" thickBot="1" x14ac:dyDescent="0.25">
      <c r="B48" s="36" t="s">
        <v>142</v>
      </c>
      <c r="C48" s="15"/>
      <c r="D48" s="3"/>
      <c r="E48" s="3"/>
      <c r="F48" s="27">
        <v>0.2</v>
      </c>
      <c r="G48" s="253">
        <f ca="1">G51*F48</f>
        <v>76189.267555555547</v>
      </c>
      <c r="H48" s="103"/>
      <c r="I48" s="86"/>
      <c r="J48" s="288"/>
      <c r="K48" s="188">
        <v>1</v>
      </c>
      <c r="W48" s="162"/>
      <c r="X48" s="162"/>
      <c r="Y48" s="162"/>
      <c r="DF48" s="75"/>
      <c r="DG48" s="75"/>
      <c r="DH48" s="75"/>
    </row>
    <row r="49" spans="2:114" ht="13.5" thickBot="1" x14ac:dyDescent="0.25">
      <c r="B49" s="144" t="s">
        <v>63</v>
      </c>
      <c r="C49" s="142"/>
      <c r="D49" s="142"/>
      <c r="E49" s="142"/>
      <c r="F49" s="143"/>
      <c r="G49" s="264">
        <f ca="1">SUM(G47:G48)</f>
        <v>266662.43644444441</v>
      </c>
      <c r="H49" s="264">
        <f ca="1">CEILING((G49/C11),1)</f>
        <v>29630</v>
      </c>
      <c r="I49" s="86"/>
      <c r="J49" s="288"/>
      <c r="K49" s="188">
        <v>0.9</v>
      </c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163"/>
      <c r="X49" s="163"/>
      <c r="Y49" s="163"/>
      <c r="Z49" s="75"/>
      <c r="DF49" s="75"/>
      <c r="DG49" s="75"/>
      <c r="DH49" s="75"/>
    </row>
    <row r="50" spans="2:114" ht="13.5" thickBot="1" x14ac:dyDescent="0.25">
      <c r="B50" s="139" t="s">
        <v>0</v>
      </c>
      <c r="C50" s="95"/>
      <c r="D50" s="95"/>
      <c r="E50" s="95"/>
      <c r="F50" s="95"/>
      <c r="G50" s="104">
        <f>IF(C8=L6,M6)+IF(C8=L7,M7)+IF(C8=L8,M8)</f>
        <v>0.7</v>
      </c>
      <c r="H50" s="103"/>
      <c r="I50" s="86"/>
      <c r="J50" s="288"/>
      <c r="K50" s="188">
        <v>0.8</v>
      </c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163"/>
      <c r="X50" s="163"/>
      <c r="Y50" s="163"/>
      <c r="Z50" s="75"/>
      <c r="DF50" s="75"/>
      <c r="DG50" s="75"/>
      <c r="DH50" s="75"/>
    </row>
    <row r="51" spans="2:114" ht="13.5" thickBot="1" x14ac:dyDescent="0.25">
      <c r="B51" s="140" t="s">
        <v>147</v>
      </c>
      <c r="C51" s="141"/>
      <c r="D51" s="141"/>
      <c r="E51" s="141"/>
      <c r="F51" s="141"/>
      <c r="G51" s="264">
        <f ca="1">G49/G50</f>
        <v>380946.33777777775</v>
      </c>
      <c r="H51" s="264">
        <f ca="1">CEILING((G51/C11),1)</f>
        <v>42328</v>
      </c>
      <c r="I51" s="86"/>
      <c r="J51" s="288"/>
      <c r="K51" s="188">
        <v>0.7</v>
      </c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163"/>
      <c r="X51" s="163"/>
      <c r="Y51" s="163"/>
      <c r="Z51" s="75"/>
      <c r="CG51" s="75"/>
      <c r="CH51" s="75"/>
      <c r="CI51" s="75"/>
      <c r="CJ51" s="75"/>
      <c r="CK51" s="75"/>
      <c r="CL51" s="75"/>
      <c r="CM51" s="75"/>
      <c r="CN51" s="75"/>
      <c r="CO51" s="75"/>
      <c r="CP51" s="75"/>
      <c r="DF51" s="75"/>
      <c r="DG51" s="75"/>
      <c r="DH51" s="75"/>
    </row>
    <row r="52" spans="2:114" thickBot="1" x14ac:dyDescent="0.25">
      <c r="B52" s="280" t="s">
        <v>209</v>
      </c>
      <c r="C52" s="280"/>
      <c r="D52" s="280"/>
      <c r="E52" s="280"/>
      <c r="F52" s="280"/>
      <c r="G52" s="269"/>
      <c r="H52" s="269"/>
      <c r="I52" s="86"/>
      <c r="J52" s="288"/>
      <c r="L52" s="75"/>
      <c r="M52" s="75"/>
      <c r="N52" s="75"/>
      <c r="O52" s="711" t="s">
        <v>247</v>
      </c>
      <c r="P52" s="711"/>
      <c r="Q52" s="711"/>
      <c r="R52" s="711"/>
      <c r="V52" s="711" t="s">
        <v>248</v>
      </c>
      <c r="W52" s="711"/>
      <c r="X52" s="711"/>
      <c r="Y52" s="711"/>
      <c r="Z52" s="711"/>
      <c r="AA52" s="75"/>
      <c r="AB52" s="162"/>
      <c r="CH52" s="75"/>
      <c r="CI52" s="75"/>
      <c r="CJ52" s="75"/>
      <c r="CK52" s="75"/>
      <c r="CL52" s="75"/>
      <c r="CM52" s="75"/>
      <c r="CN52" s="75"/>
      <c r="CO52" s="75"/>
      <c r="CP52" s="75"/>
      <c r="CQ52" s="75"/>
      <c r="CR52" s="75"/>
      <c r="CS52" s="75"/>
      <c r="CT52" s="75"/>
      <c r="CU52" s="75"/>
      <c r="CV52" s="75"/>
      <c r="CW52" s="75"/>
      <c r="CX52" s="75"/>
      <c r="CY52" s="75"/>
      <c r="CZ52" s="75"/>
      <c r="DA52" s="75"/>
      <c r="DB52" s="75"/>
      <c r="DC52" s="75"/>
      <c r="DD52" s="75"/>
      <c r="DE52" s="75"/>
      <c r="DF52" s="75"/>
    </row>
    <row r="53" spans="2:114" ht="25.5" x14ac:dyDescent="0.2">
      <c r="B53" s="280"/>
      <c r="C53" s="280"/>
      <c r="D53" s="280"/>
      <c r="E53" s="280"/>
      <c r="F53" s="280"/>
      <c r="G53" s="269"/>
      <c r="H53" s="269"/>
      <c r="I53" s="86"/>
      <c r="J53" s="288"/>
      <c r="K53" s="1" t="s">
        <v>257</v>
      </c>
      <c r="L53" s="215" t="s">
        <v>250</v>
      </c>
      <c r="M53" s="312" t="s">
        <v>252</v>
      </c>
      <c r="N53" s="312" t="s">
        <v>253</v>
      </c>
      <c r="O53" s="6" t="s">
        <v>90</v>
      </c>
      <c r="P53" s="310" t="s">
        <v>167</v>
      </c>
      <c r="Q53" s="311" t="s">
        <v>251</v>
      </c>
      <c r="R53" s="6" t="s">
        <v>168</v>
      </c>
      <c r="S53" s="215" t="s">
        <v>250</v>
      </c>
      <c r="T53" s="198" t="s">
        <v>249</v>
      </c>
      <c r="U53" s="312" t="s">
        <v>253</v>
      </c>
      <c r="V53" s="6" t="s">
        <v>90</v>
      </c>
      <c r="W53" s="313" t="s">
        <v>167</v>
      </c>
      <c r="X53" s="311" t="s">
        <v>251</v>
      </c>
      <c r="Y53" s="314" t="s">
        <v>168</v>
      </c>
      <c r="Z53" s="3" t="s">
        <v>91</v>
      </c>
      <c r="AA53" s="315" t="s">
        <v>212</v>
      </c>
      <c r="AB53" s="52"/>
      <c r="AC53" s="162"/>
      <c r="CI53" s="75"/>
      <c r="CJ53" s="75"/>
      <c r="CK53" s="75"/>
      <c r="CL53" s="75"/>
      <c r="CM53" s="75"/>
      <c r="CN53" s="75"/>
      <c r="CO53" s="75"/>
      <c r="CP53" s="75"/>
      <c r="CQ53" s="75"/>
      <c r="CR53" s="75"/>
      <c r="CS53" s="75"/>
      <c r="CT53" s="75"/>
      <c r="CU53" s="75"/>
      <c r="CV53" s="75"/>
      <c r="CW53" s="75"/>
      <c r="CX53" s="75"/>
      <c r="CY53" s="75"/>
      <c r="CZ53" s="75"/>
      <c r="DA53" s="75"/>
      <c r="DB53" s="75"/>
      <c r="DC53" s="75"/>
      <c r="DD53" s="75"/>
      <c r="DE53" s="75"/>
      <c r="DF53" s="75"/>
      <c r="DG53" s="75"/>
    </row>
    <row r="54" spans="2:114" ht="13.5" thickBot="1" x14ac:dyDescent="0.25">
      <c r="I54" s="86"/>
      <c r="J54" s="288"/>
      <c r="K54" s="52">
        <v>75</v>
      </c>
      <c r="L54" s="3" t="s">
        <v>93</v>
      </c>
      <c r="M54" s="3">
        <v>3.5</v>
      </c>
      <c r="N54" s="3">
        <f>M54*130%</f>
        <v>4.55</v>
      </c>
      <c r="O54" s="209">
        <v>80</v>
      </c>
      <c r="P54" s="210">
        <f>O54*M54</f>
        <v>280</v>
      </c>
      <c r="Q54" s="210">
        <f>+P54+650</f>
        <v>930</v>
      </c>
      <c r="R54" s="210">
        <f>(N54*O54)+650</f>
        <v>1014</v>
      </c>
      <c r="S54" s="3" t="s">
        <v>93</v>
      </c>
      <c r="T54" s="3">
        <v>3.5</v>
      </c>
      <c r="U54" s="3">
        <f>T54*130%</f>
        <v>4.55</v>
      </c>
      <c r="V54" s="209">
        <v>100</v>
      </c>
      <c r="W54" s="210">
        <f>(O54*M54)*2</f>
        <v>560</v>
      </c>
      <c r="X54" s="210">
        <f>+W54+650</f>
        <v>1210</v>
      </c>
      <c r="Y54" s="210">
        <f>(U54*V54)+650</f>
        <v>1105</v>
      </c>
      <c r="Z54" s="3" t="s">
        <v>92</v>
      </c>
      <c r="AA54" s="315" t="s">
        <v>213</v>
      </c>
      <c r="AB54" s="52"/>
      <c r="AC54" s="162"/>
      <c r="CF54" s="75"/>
      <c r="CG54" s="75"/>
      <c r="CH54" s="75"/>
      <c r="CI54" s="75"/>
      <c r="CJ54" s="75"/>
      <c r="CK54" s="75"/>
      <c r="CL54" s="75"/>
      <c r="CM54" s="75"/>
      <c r="CN54" s="75"/>
      <c r="CO54" s="75"/>
      <c r="CP54" s="75"/>
      <c r="CQ54" s="75"/>
      <c r="CR54" s="75"/>
      <c r="CS54" s="75"/>
      <c r="CT54" s="75"/>
      <c r="CU54" s="75"/>
      <c r="CV54" s="75"/>
      <c r="CW54" s="75"/>
      <c r="CX54" s="75"/>
      <c r="CY54" s="75"/>
      <c r="CZ54" s="75"/>
      <c r="DA54" s="75"/>
      <c r="DB54" s="75"/>
      <c r="DC54" s="75"/>
      <c r="DD54" s="75"/>
      <c r="DE54" s="75"/>
      <c r="DF54" s="75"/>
      <c r="DG54" s="75"/>
      <c r="DH54" s="75"/>
      <c r="DI54" s="75"/>
      <c r="DJ54" s="75"/>
    </row>
    <row r="55" spans="2:114" ht="14.25" x14ac:dyDescent="0.2">
      <c r="B55" s="84" t="s">
        <v>130</v>
      </c>
      <c r="C55" s="78"/>
      <c r="D55" s="76"/>
      <c r="E55" s="76"/>
      <c r="F55" s="76"/>
      <c r="G55" s="76"/>
      <c r="H55" s="77"/>
      <c r="I55" s="86"/>
      <c r="J55" s="288"/>
      <c r="K55" s="52">
        <v>100</v>
      </c>
      <c r="L55" s="3" t="s">
        <v>94</v>
      </c>
      <c r="M55" s="3">
        <v>5.9</v>
      </c>
      <c r="N55" s="3">
        <f>M55*130%</f>
        <v>7.6700000000000008</v>
      </c>
      <c r="O55" s="209">
        <v>80</v>
      </c>
      <c r="P55" s="210">
        <f>O55*M55</f>
        <v>472</v>
      </c>
      <c r="Q55" s="210">
        <f t="shared" ref="Q55:Q56" si="1">+P55+650</f>
        <v>1122</v>
      </c>
      <c r="R55" s="210">
        <f>(N55*O55)+650</f>
        <v>1263.5999999999999</v>
      </c>
      <c r="S55" s="3" t="s">
        <v>94</v>
      </c>
      <c r="T55" s="3">
        <v>5.9</v>
      </c>
      <c r="U55" s="3">
        <f>T55*130%</f>
        <v>7.6700000000000008</v>
      </c>
      <c r="V55" s="209">
        <v>100</v>
      </c>
      <c r="W55" s="210">
        <f>(O55*M55)*2</f>
        <v>944</v>
      </c>
      <c r="X55" s="210">
        <f t="shared" ref="X55:X56" si="2">+W55+650</f>
        <v>1594</v>
      </c>
      <c r="Y55" s="210">
        <f>(U55*V55)+650</f>
        <v>1417</v>
      </c>
      <c r="Z55" s="3" t="s">
        <v>92</v>
      </c>
      <c r="AA55" s="315" t="s">
        <v>214</v>
      </c>
      <c r="AB55" s="52"/>
      <c r="AC55" s="162"/>
      <c r="CF55" s="75"/>
      <c r="CG55" s="75"/>
      <c r="CH55" s="75"/>
      <c r="CI55" s="75"/>
      <c r="CJ55" s="75"/>
      <c r="CK55" s="75"/>
      <c r="CL55" s="75"/>
      <c r="CM55" s="75"/>
      <c r="CN55" s="75"/>
      <c r="CO55" s="75"/>
      <c r="CP55" s="75"/>
      <c r="CQ55" s="75"/>
      <c r="CR55" s="75"/>
      <c r="CS55" s="75"/>
      <c r="CT55" s="75"/>
      <c r="CU55" s="75"/>
      <c r="CV55" s="75"/>
      <c r="CW55" s="75"/>
      <c r="CX55" s="75"/>
      <c r="CY55" s="75"/>
      <c r="CZ55" s="75"/>
      <c r="DA55" s="75"/>
      <c r="DB55" s="75"/>
      <c r="DC55" s="75"/>
      <c r="DD55" s="75"/>
      <c r="DE55" s="75"/>
      <c r="DF55" s="75"/>
      <c r="DG55" s="75"/>
    </row>
    <row r="56" spans="2:114" ht="25.5" x14ac:dyDescent="0.2">
      <c r="B56" s="61"/>
      <c r="C56" s="7" t="s">
        <v>201</v>
      </c>
      <c r="D56" s="186" t="s">
        <v>200</v>
      </c>
      <c r="E56" s="7" t="s">
        <v>198</v>
      </c>
      <c r="F56" s="186" t="s">
        <v>205</v>
      </c>
      <c r="G56" s="7"/>
      <c r="H56" s="58"/>
      <c r="I56" s="86"/>
      <c r="J56" s="288"/>
      <c r="K56" s="52">
        <v>150</v>
      </c>
      <c r="L56" s="3" t="s">
        <v>95</v>
      </c>
      <c r="M56" s="3">
        <v>8.3000000000000007</v>
      </c>
      <c r="N56" s="3">
        <f>M56*130%</f>
        <v>10.790000000000001</v>
      </c>
      <c r="O56" s="209">
        <v>80</v>
      </c>
      <c r="P56" s="210">
        <f>O56*M56</f>
        <v>664</v>
      </c>
      <c r="Q56" s="210">
        <f t="shared" si="1"/>
        <v>1314</v>
      </c>
      <c r="R56" s="210">
        <f>(N56*O56)+650</f>
        <v>1513.2</v>
      </c>
      <c r="S56" s="3" t="s">
        <v>95</v>
      </c>
      <c r="T56" s="3">
        <v>8.3000000000000007</v>
      </c>
      <c r="U56" s="3">
        <f>T56*130%</f>
        <v>10.790000000000001</v>
      </c>
      <c r="V56" s="209">
        <v>100</v>
      </c>
      <c r="W56" s="210">
        <f>(O56*M56)*2</f>
        <v>1328</v>
      </c>
      <c r="X56" s="210">
        <f t="shared" si="2"/>
        <v>1978</v>
      </c>
      <c r="Y56" s="210">
        <f>(U56*V56)+650</f>
        <v>1729</v>
      </c>
      <c r="Z56" s="3" t="s">
        <v>92</v>
      </c>
      <c r="AA56" s="285" t="s">
        <v>215</v>
      </c>
      <c r="AB56" s="52"/>
      <c r="AC56" s="162"/>
      <c r="CF56" s="75"/>
      <c r="CG56" s="75"/>
      <c r="CH56" s="75"/>
      <c r="CI56" s="75"/>
      <c r="CJ56" s="75"/>
      <c r="CK56" s="75"/>
      <c r="CL56" s="75"/>
      <c r="CM56" s="75"/>
      <c r="CN56" s="75"/>
      <c r="CO56" s="75"/>
      <c r="CP56" s="75"/>
      <c r="CQ56" s="75"/>
      <c r="CR56" s="75"/>
      <c r="CS56" s="75"/>
      <c r="CT56" s="75"/>
      <c r="CU56" s="75"/>
      <c r="CV56" s="75"/>
      <c r="CW56" s="75"/>
      <c r="CX56" s="75"/>
      <c r="CY56" s="75"/>
      <c r="CZ56" s="75"/>
      <c r="DA56" s="75"/>
      <c r="DB56" s="75"/>
      <c r="DC56" s="75"/>
      <c r="DD56" s="75"/>
      <c r="DE56" s="75"/>
      <c r="DF56" s="75"/>
      <c r="DG56" s="75"/>
    </row>
    <row r="57" spans="2:114" ht="12.75" x14ac:dyDescent="0.2">
      <c r="B57" s="56" t="s">
        <v>128</v>
      </c>
      <c r="C57" s="73" t="s">
        <v>203</v>
      </c>
      <c r="D57" s="267">
        <f>+IF(AND(C57=L162,F57&lt;550),K170)+IF(AND(C57=L162,F57&gt;550.01,F57&lt;750),K171)+IF(AND(C57=L162,F57&gt;750.01,F57&lt;950),K172)+IF(AND(C57=L162,F57&gt;950.01,F57&lt;1250),K173)+IF(AND(C57=L162,F57&gt;1250.01,F57&lt;1450),K174)+IF(AND(C57=L162,F57&gt;1450.01,F57&lt;2050),K175)+IF(AND(C57=L162,F57&gt;2050.01,F57&lt;3000),K176)+IF(AND(C57=L163,F57&lt;150),K177)+IF(AND(C57=L163,F57&gt;150.01,F57&lt;230),K178)+IF(AND(C57=L163,F57&gt;230.01,F57&lt;325),K179)+IF(AND(C57=L163,F57&gt;325.01,F57&lt;475),K180)+IF(AND(C57=L163,F57&gt;475.01,F57&lt;725),K181)+IF(AND(C57=L163,F57&gt;725.01,F57&lt;1400),K182)+IF(AND(C57=L163,F57&gt;1401.01,F57&lt;2200),K183)+IF(AND(C57=L164,F57&lt;150),K177)+IF(AND(C57=L164,F57&gt;150.01,F57&lt;230),K178)+IF(AND(C57=L164,F57&gt;230.01,F57&lt;325),K179)+IF(AND(C57=L164,F57&gt;325.01,F57&lt;475),K180)+IF(AND(C57=L164,F57&gt;475.01,F57&lt;725),K181)+IF(AND(C57=L164,F57&gt;725.01,F57&lt;1400),K182)+IF(AND(C57=L164,F57&gt;1401.01,F57&lt;2200),K183)</f>
        <v>600</v>
      </c>
      <c r="E57" s="8" t="s">
        <v>127</v>
      </c>
      <c r="F57" s="252">
        <f>+IF(C57=L162,C12*2)+IF(C57=L163,C12)+IF(C57=L164,C12)</f>
        <v>306</v>
      </c>
      <c r="G57" s="252">
        <f>IF(D57=K170,Q170)+IF(D57=K171,Q171)+IF(D57=K172,Q172)+IF(D57=K173,Q173)+IF(D57=K174,Q174)+IF(D57=K175,Q175)+IF(D57=K176,Q176)+IF(D57=K177,Q177)+IF(D57=K178,Q178)+IF(D57=K179,Q179)+IF(D57=K180,Q180)+IF(D57=K181,Q181)+IF(D57=K182,Q182)+IF(D57=K183,Q183)</f>
        <v>6773</v>
      </c>
      <c r="H57" s="252">
        <f>CEILING((G57/C11),1)</f>
        <v>753</v>
      </c>
      <c r="I57" s="86"/>
      <c r="J57" s="288"/>
      <c r="O57" s="41"/>
      <c r="X57" s="162"/>
      <c r="Y57" s="162"/>
      <c r="Z57" s="52"/>
      <c r="CD57" s="75"/>
      <c r="CE57" s="75"/>
      <c r="CF57" s="75"/>
      <c r="CG57" s="75"/>
      <c r="CH57" s="75"/>
      <c r="CI57" s="75"/>
      <c r="CJ57" s="75"/>
      <c r="CK57" s="75"/>
      <c r="CL57" s="75"/>
      <c r="CM57" s="75"/>
      <c r="CN57" s="75"/>
      <c r="CO57" s="75"/>
      <c r="CP57" s="75"/>
      <c r="CQ57" s="75"/>
      <c r="CR57" s="75"/>
      <c r="CS57" s="75"/>
      <c r="CT57" s="75"/>
      <c r="CU57" s="75"/>
      <c r="CV57" s="75"/>
      <c r="CW57" s="75"/>
      <c r="CX57" s="75"/>
      <c r="CY57" s="75"/>
      <c r="CZ57" s="75"/>
      <c r="DA57" s="75"/>
      <c r="DB57" s="75"/>
      <c r="DC57" s="75"/>
      <c r="DD57" s="75"/>
      <c r="DE57" s="75"/>
    </row>
    <row r="58" spans="2:114" ht="12.75" x14ac:dyDescent="0.2">
      <c r="B58" s="36" t="s">
        <v>41</v>
      </c>
      <c r="C58" s="15"/>
      <c r="D58" s="3"/>
      <c r="E58" s="3"/>
      <c r="F58" s="27">
        <v>0.02</v>
      </c>
      <c r="G58" s="252">
        <f ca="1">G60*F58</f>
        <v>150.52000000000001</v>
      </c>
      <c r="H58" s="28"/>
      <c r="I58" s="86"/>
      <c r="J58" s="288"/>
      <c r="O58" s="41"/>
      <c r="X58" s="162"/>
      <c r="Y58" s="162"/>
      <c r="Z58" s="52"/>
      <c r="CD58" s="75"/>
      <c r="CE58" s="75"/>
      <c r="CF58" s="75"/>
      <c r="CG58" s="75"/>
      <c r="CH58" s="75"/>
      <c r="CI58" s="75"/>
      <c r="CJ58" s="75"/>
      <c r="CK58" s="75"/>
      <c r="CL58" s="75"/>
      <c r="CM58" s="75"/>
      <c r="CN58" s="75"/>
      <c r="CO58" s="75"/>
      <c r="CP58" s="75"/>
      <c r="CQ58" s="75"/>
      <c r="CR58" s="75"/>
      <c r="CS58" s="75"/>
      <c r="CT58" s="75"/>
      <c r="CU58" s="75"/>
      <c r="CV58" s="75"/>
      <c r="CW58" s="75"/>
      <c r="CX58" s="75"/>
      <c r="CY58" s="75"/>
      <c r="CZ58" s="75"/>
      <c r="DA58" s="75"/>
      <c r="DB58" s="75"/>
      <c r="DC58" s="75"/>
      <c r="DD58" s="75"/>
      <c r="DE58" s="75"/>
    </row>
    <row r="59" spans="2:114" ht="13.5" thickBot="1" x14ac:dyDescent="0.25">
      <c r="B59" s="36" t="s">
        <v>69</v>
      </c>
      <c r="C59" s="79" t="s">
        <v>17</v>
      </c>
      <c r="D59" s="3"/>
      <c r="E59" s="3"/>
      <c r="F59" s="27">
        <f>IF(C59=AA31,0)+IF(C59=AA33,M151)+IF(C59=AA34,M152)+IF(C59=AA32,M150)</f>
        <v>0.08</v>
      </c>
      <c r="G59" s="252">
        <f ca="1">F59*G60</f>
        <v>602.08000000000004</v>
      </c>
      <c r="H59" s="28"/>
      <c r="I59" s="86"/>
      <c r="J59" s="288"/>
      <c r="O59" s="41"/>
      <c r="X59" s="162"/>
      <c r="Y59" s="162"/>
      <c r="Z59" s="52"/>
      <c r="CD59" s="75"/>
      <c r="CE59" s="75"/>
      <c r="CF59" s="75"/>
      <c r="CG59" s="75"/>
      <c r="CH59" s="75"/>
      <c r="CQ59" s="75"/>
      <c r="CR59" s="75"/>
      <c r="CS59" s="75"/>
      <c r="CT59" s="75"/>
      <c r="CU59" s="75"/>
      <c r="CV59" s="75"/>
      <c r="CW59" s="75"/>
      <c r="CX59" s="75"/>
      <c r="CY59" s="75"/>
      <c r="CZ59" s="75"/>
      <c r="DA59" s="75"/>
      <c r="DB59" s="75"/>
      <c r="DC59" s="75"/>
      <c r="DD59" s="75"/>
      <c r="DE59" s="75"/>
    </row>
    <row r="60" spans="2:114" ht="13.5" customHeight="1" thickBot="1" x14ac:dyDescent="0.25">
      <c r="B60" s="151" t="s">
        <v>63</v>
      </c>
      <c r="C60" s="164"/>
      <c r="D60" s="165"/>
      <c r="E60" s="165"/>
      <c r="F60" s="165"/>
      <c r="G60" s="265">
        <f ca="1">CEILING((SUM(G57:G59)),1)</f>
        <v>7526</v>
      </c>
      <c r="H60" s="265">
        <f ca="1">CEILING((G60/C11),1)</f>
        <v>837</v>
      </c>
      <c r="I60" s="86"/>
      <c r="J60" s="288"/>
      <c r="K60" s="1" t="s">
        <v>258</v>
      </c>
      <c r="L60" s="199" t="s">
        <v>169</v>
      </c>
      <c r="M60" s="201" t="s">
        <v>89</v>
      </c>
      <c r="N60" s="200" t="s">
        <v>261</v>
      </c>
      <c r="O60" s="216" t="s">
        <v>259</v>
      </c>
      <c r="P60" s="200" t="s">
        <v>262</v>
      </c>
      <c r="Q60" s="217" t="s">
        <v>260</v>
      </c>
      <c r="R60" s="204" t="s">
        <v>91</v>
      </c>
      <c r="S60" s="315" t="s">
        <v>212</v>
      </c>
      <c r="W60" s="16"/>
      <c r="X60" s="162"/>
      <c r="Y60" s="162"/>
      <c r="Z60" s="162"/>
      <c r="AB60" s="162"/>
      <c r="CE60" s="75"/>
      <c r="CF60" s="75"/>
      <c r="CG60" s="75"/>
      <c r="CH60" s="75"/>
      <c r="CI60" s="75"/>
    </row>
    <row r="61" spans="2:114" ht="12.75" customHeight="1" x14ac:dyDescent="0.2">
      <c r="B61" s="36" t="s">
        <v>142</v>
      </c>
      <c r="C61" s="3"/>
      <c r="D61" s="3"/>
      <c r="E61" s="3"/>
      <c r="F61" s="27">
        <v>0.2</v>
      </c>
      <c r="G61" s="271">
        <f ca="1">G65*F61</f>
        <v>7525.9999999999973</v>
      </c>
      <c r="H61" s="74"/>
      <c r="J61" s="288"/>
      <c r="L61" s="61" t="s">
        <v>96</v>
      </c>
      <c r="M61" s="3">
        <v>6.3120000000000003</v>
      </c>
      <c r="N61" s="209">
        <v>80</v>
      </c>
      <c r="O61" s="210">
        <f>CEILING(N61*M61,25)</f>
        <v>525</v>
      </c>
      <c r="P61" s="209">
        <v>100</v>
      </c>
      <c r="Q61" s="210">
        <f>P61*M61</f>
        <v>631.20000000000005</v>
      </c>
      <c r="R61" s="103" t="s">
        <v>92</v>
      </c>
      <c r="S61" s="315" t="s">
        <v>213</v>
      </c>
      <c r="T61" s="16"/>
      <c r="U61" s="16"/>
      <c r="W61" s="16"/>
      <c r="X61" s="162"/>
      <c r="Y61" s="162"/>
      <c r="Z61" s="162"/>
      <c r="AB61" s="162"/>
      <c r="CE61" s="75"/>
      <c r="CF61" s="75"/>
      <c r="CG61" s="75"/>
      <c r="CH61" s="75"/>
      <c r="CI61" s="75"/>
      <c r="CJ61" s="75"/>
      <c r="CK61" s="75"/>
      <c r="CL61" s="75"/>
      <c r="CM61" s="75"/>
      <c r="CN61" s="75"/>
      <c r="CO61" s="75"/>
      <c r="CP61" s="75"/>
      <c r="CQ61" s="75"/>
    </row>
    <row r="62" spans="2:114" ht="12.75" customHeight="1" x14ac:dyDescent="0.2">
      <c r="B62" s="36" t="s">
        <v>121</v>
      </c>
      <c r="C62" s="57"/>
      <c r="D62" s="3"/>
      <c r="E62" s="3"/>
      <c r="F62" s="79">
        <v>0</v>
      </c>
      <c r="G62" s="252">
        <f>F62</f>
        <v>0</v>
      </c>
      <c r="H62" s="58"/>
      <c r="J62" s="287"/>
      <c r="L62" s="61" t="s">
        <v>97</v>
      </c>
      <c r="M62" s="3">
        <v>7.2</v>
      </c>
      <c r="N62" s="209">
        <v>80</v>
      </c>
      <c r="O62" s="210">
        <f>CEILING(N62*M62,25)</f>
        <v>600</v>
      </c>
      <c r="P62" s="209">
        <v>100</v>
      </c>
      <c r="Q62" s="210">
        <f>P62*M62</f>
        <v>720</v>
      </c>
      <c r="R62" s="103" t="s">
        <v>92</v>
      </c>
      <c r="S62" s="315" t="s">
        <v>214</v>
      </c>
      <c r="T62" s="16"/>
      <c r="U62" s="16"/>
      <c r="W62" s="16"/>
      <c r="X62" s="162"/>
      <c r="Y62" s="162"/>
      <c r="Z62" s="162"/>
      <c r="AB62" s="162"/>
      <c r="CE62" s="75"/>
      <c r="CF62" s="75"/>
      <c r="CG62" s="75"/>
      <c r="CH62" s="75"/>
      <c r="CI62" s="75"/>
      <c r="CR62" s="75"/>
      <c r="CS62" s="75"/>
      <c r="CT62" s="75"/>
      <c r="CU62" s="75"/>
      <c r="CV62" s="75"/>
      <c r="CW62" s="75"/>
      <c r="CX62" s="75"/>
      <c r="CY62" s="75"/>
      <c r="CZ62" s="75"/>
      <c r="DA62" s="75"/>
      <c r="DB62" s="75"/>
      <c r="DC62" s="75"/>
      <c r="DD62" s="75"/>
      <c r="DE62" s="75"/>
      <c r="DF62" s="75"/>
    </row>
    <row r="63" spans="2:114" ht="13.5" thickBot="1" x14ac:dyDescent="0.25">
      <c r="B63" s="62" t="s">
        <v>144</v>
      </c>
      <c r="C63" s="3"/>
      <c r="D63" s="3"/>
      <c r="E63" s="3"/>
      <c r="F63" s="3"/>
      <c r="G63" s="270">
        <f ca="1">SUM(G60:G62)</f>
        <v>15051.999999999996</v>
      </c>
      <c r="H63" s="253">
        <f ca="1">CEILING((G63/C11),1)</f>
        <v>1673</v>
      </c>
      <c r="J63" s="287"/>
      <c r="K63" s="75"/>
      <c r="L63" s="218" t="s">
        <v>98</v>
      </c>
      <c r="M63" s="219">
        <v>8.1999999999999993</v>
      </c>
      <c r="N63" s="209">
        <v>80</v>
      </c>
      <c r="O63" s="210">
        <f>CEILING(N63*M63,25)</f>
        <v>675</v>
      </c>
      <c r="P63" s="209">
        <v>100</v>
      </c>
      <c r="Q63" s="210">
        <f>P63*M63</f>
        <v>819.99999999999989</v>
      </c>
      <c r="R63" s="220" t="s">
        <v>92</v>
      </c>
      <c r="S63" s="285" t="s">
        <v>215</v>
      </c>
      <c r="T63" s="197"/>
      <c r="U63" s="197"/>
      <c r="W63" s="197"/>
      <c r="X63" s="162"/>
      <c r="Y63" s="162"/>
      <c r="Z63" s="162"/>
      <c r="AB63" s="162"/>
      <c r="CE63" s="75"/>
      <c r="CF63" s="75"/>
      <c r="CG63" s="75"/>
      <c r="CH63" s="75"/>
      <c r="CI63" s="75"/>
    </row>
    <row r="64" spans="2:114" ht="13.5" thickBot="1" x14ac:dyDescent="0.25">
      <c r="B64" s="147" t="s">
        <v>0</v>
      </c>
      <c r="C64" s="148"/>
      <c r="D64" s="95"/>
      <c r="E64" s="95"/>
      <c r="F64" s="148"/>
      <c r="G64" s="149">
        <f>IF(C8=L6,N6)+IF(C8=L7,N7)+IF(C8=L8,N8)</f>
        <v>0.4</v>
      </c>
      <c r="H64" s="150"/>
      <c r="J64" s="287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162"/>
      <c r="X64" s="163"/>
      <c r="Y64" s="163"/>
      <c r="Z64" s="163"/>
      <c r="CD64" s="75"/>
      <c r="CE64" s="75"/>
      <c r="CF64" s="75"/>
      <c r="CG64" s="75"/>
      <c r="CH64" s="75"/>
    </row>
    <row r="65" spans="2:86" ht="13.5" thickBot="1" x14ac:dyDescent="0.25">
      <c r="B65" s="157" t="s">
        <v>148</v>
      </c>
      <c r="C65" s="157"/>
      <c r="D65" s="157"/>
      <c r="E65" s="157"/>
      <c r="F65" s="157"/>
      <c r="G65" s="264">
        <f ca="1">G63/G64</f>
        <v>37629.999999999985</v>
      </c>
      <c r="H65" s="264">
        <f ca="1">CEILING((G65/C25),1)</f>
        <v>12139</v>
      </c>
      <c r="J65" s="287"/>
      <c r="K65" s="75"/>
      <c r="L65" s="75"/>
      <c r="M65" s="75"/>
      <c r="N65" s="75"/>
      <c r="O65" s="75"/>
      <c r="P65" s="75">
        <f>IF(AND(C14=S62,C9&lt;=5),Q61)+IF(AND(C14=S62,C9&gt;5,C9&lt;=6),Q62)+IF(AND(C14=S62,C9&gt;6),Q63)</f>
        <v>0</v>
      </c>
      <c r="Q65" s="75"/>
      <c r="R65" s="75"/>
      <c r="S65" s="75"/>
      <c r="T65" s="75"/>
      <c r="U65" s="75"/>
      <c r="V65" s="75"/>
      <c r="W65" s="162"/>
      <c r="X65" s="163"/>
      <c r="Y65" s="163"/>
      <c r="Z65" s="163"/>
      <c r="CD65" s="75"/>
      <c r="CE65" s="75"/>
      <c r="CF65" s="75"/>
      <c r="CG65" s="75"/>
      <c r="CH65" s="75"/>
    </row>
    <row r="66" spans="2:86" ht="12.75" x14ac:dyDescent="0.2">
      <c r="B66" s="272" t="s">
        <v>127</v>
      </c>
      <c r="C66" s="273"/>
      <c r="D66" s="273"/>
      <c r="E66" s="273"/>
      <c r="F66" s="273"/>
      <c r="G66" s="274">
        <f>IF(AND(C57=L162,E57=L160),18000)+IF(AND(C57=L163,E57=L160),34000)+IF(AND(C57=L164,E57=L160),34000)</f>
        <v>18000</v>
      </c>
      <c r="H66" s="275"/>
      <c r="J66" s="287"/>
      <c r="K66" s="75" t="s">
        <v>263</v>
      </c>
      <c r="L66" s="199" t="s">
        <v>35</v>
      </c>
      <c r="M66" s="132"/>
      <c r="N66" s="132"/>
      <c r="O66" s="132"/>
      <c r="P66" s="131"/>
      <c r="Q66" s="75"/>
      <c r="R66" s="75"/>
      <c r="S66" s="75"/>
      <c r="T66" s="75"/>
      <c r="U66" s="75"/>
      <c r="V66" s="75"/>
      <c r="W66" s="162"/>
      <c r="X66" s="163"/>
      <c r="Y66" s="163"/>
      <c r="Z66" s="163"/>
      <c r="CD66" s="75"/>
      <c r="CE66" s="75"/>
      <c r="CF66" s="75"/>
      <c r="CG66" s="75"/>
      <c r="CH66" s="75"/>
    </row>
    <row r="67" spans="2:86" ht="13.5" thickBot="1" x14ac:dyDescent="0.25">
      <c r="B67" s="276" t="s">
        <v>208</v>
      </c>
      <c r="C67" s="277"/>
      <c r="D67" s="277"/>
      <c r="E67" s="277"/>
      <c r="F67" s="277"/>
      <c r="G67" s="278">
        <f>IF(C57=L164,20000,0)</f>
        <v>0</v>
      </c>
      <c r="H67" s="279"/>
      <c r="J67" s="287"/>
      <c r="K67" s="75"/>
      <c r="L67" s="42">
        <v>4</v>
      </c>
      <c r="M67" s="43">
        <v>875</v>
      </c>
      <c r="N67" s="43">
        <f>M67*10%</f>
        <v>87.5</v>
      </c>
      <c r="O67" s="39">
        <f>M67+N67</f>
        <v>962.5</v>
      </c>
      <c r="P67" s="44" t="s">
        <v>75</v>
      </c>
      <c r="Q67" s="75"/>
      <c r="R67" s="75"/>
      <c r="S67" s="75"/>
      <c r="T67" s="75"/>
      <c r="U67" s="75"/>
      <c r="V67" s="75"/>
      <c r="W67" s="162"/>
      <c r="X67" s="163"/>
      <c r="Y67" s="163"/>
      <c r="Z67" s="163"/>
      <c r="CD67" s="75"/>
      <c r="CE67" s="75"/>
      <c r="CF67" s="75"/>
      <c r="CG67" s="75"/>
      <c r="CH67" s="75"/>
    </row>
    <row r="68" spans="2:86" ht="13.5" thickBot="1" x14ac:dyDescent="0.25">
      <c r="B68" s="157" t="s">
        <v>148</v>
      </c>
      <c r="C68" s="157"/>
      <c r="D68" s="157"/>
      <c r="E68" s="157"/>
      <c r="F68" s="157"/>
      <c r="G68" s="264">
        <f ca="1">+SUM(G65:G67)</f>
        <v>55629.999999999985</v>
      </c>
      <c r="H68" s="264">
        <f ca="1">CEILING((G68/C28),1)</f>
        <v>140</v>
      </c>
      <c r="J68" s="287"/>
      <c r="K68" s="75"/>
      <c r="L68" s="42">
        <v>6</v>
      </c>
      <c r="M68" s="43">
        <v>1200</v>
      </c>
      <c r="N68" s="43">
        <f>M68*10%</f>
        <v>120</v>
      </c>
      <c r="O68" s="39">
        <f>M68+N68</f>
        <v>1320</v>
      </c>
      <c r="P68" s="44" t="s">
        <v>75</v>
      </c>
      <c r="Q68" s="75"/>
      <c r="R68" s="75"/>
      <c r="S68" s="75"/>
      <c r="T68" s="75"/>
      <c r="U68" s="75"/>
      <c r="V68" s="75"/>
      <c r="W68" s="162"/>
      <c r="X68" s="163"/>
      <c r="Y68" s="163"/>
      <c r="Z68" s="163"/>
      <c r="CD68" s="75"/>
      <c r="CE68" s="75"/>
      <c r="CF68" s="75"/>
    </row>
    <row r="69" spans="2:86" ht="12.75" x14ac:dyDescent="0.2">
      <c r="J69" s="287"/>
      <c r="K69" s="75"/>
      <c r="L69" s="125">
        <v>8</v>
      </c>
      <c r="M69" s="16">
        <v>1350</v>
      </c>
      <c r="N69" s="16">
        <f>M69*10%</f>
        <v>135</v>
      </c>
      <c r="O69" s="39">
        <f>M69+N69</f>
        <v>1485</v>
      </c>
      <c r="P69" s="17" t="s">
        <v>75</v>
      </c>
      <c r="Q69" s="75"/>
      <c r="R69" s="75"/>
      <c r="S69" s="75"/>
      <c r="T69" s="75"/>
      <c r="U69" s="75"/>
      <c r="V69" s="75"/>
      <c r="W69" s="162"/>
      <c r="X69" s="163"/>
      <c r="Y69" s="163"/>
      <c r="Z69" s="163"/>
      <c r="CD69" s="75"/>
      <c r="CE69" s="75"/>
      <c r="CF69" s="75"/>
    </row>
    <row r="70" spans="2:86" ht="12.75" x14ac:dyDescent="0.2">
      <c r="J70" s="287"/>
      <c r="K70" s="75"/>
      <c r="L70" s="125">
        <v>10</v>
      </c>
      <c r="M70" s="16">
        <v>2200</v>
      </c>
      <c r="N70" s="16">
        <f>M70*10%</f>
        <v>220</v>
      </c>
      <c r="O70" s="39">
        <f>SUM(M70:N70)</f>
        <v>2420</v>
      </c>
      <c r="P70" s="17" t="s">
        <v>75</v>
      </c>
      <c r="Q70" s="75"/>
      <c r="R70" s="75"/>
      <c r="S70" s="75"/>
      <c r="T70" s="75"/>
      <c r="U70" s="75"/>
      <c r="V70" s="75"/>
      <c r="W70" s="162"/>
      <c r="X70" s="163"/>
      <c r="Y70" s="163"/>
      <c r="Z70" s="163"/>
      <c r="CD70" s="75"/>
      <c r="CE70" s="75"/>
      <c r="CF70" s="75"/>
      <c r="CG70" s="75"/>
      <c r="CH70" s="75"/>
    </row>
    <row r="71" spans="2:86" ht="13.5" thickBot="1" x14ac:dyDescent="0.25">
      <c r="C71" s="1"/>
      <c r="J71" s="287"/>
      <c r="K71" s="75"/>
      <c r="L71" s="19">
        <v>12</v>
      </c>
      <c r="M71" s="18">
        <v>2700</v>
      </c>
      <c r="N71" s="18">
        <f>M71*10%</f>
        <v>270</v>
      </c>
      <c r="O71" s="40">
        <f>SUM(M71:N71)</f>
        <v>2970</v>
      </c>
      <c r="P71" s="34" t="s">
        <v>75</v>
      </c>
      <c r="Q71" s="75"/>
      <c r="R71" s="75"/>
      <c r="S71" s="75"/>
      <c r="T71" s="75"/>
      <c r="U71" s="75"/>
      <c r="V71" s="75"/>
      <c r="W71" s="162"/>
      <c r="X71" s="163"/>
      <c r="Y71" s="163"/>
      <c r="Z71" s="163"/>
      <c r="BR71" s="75"/>
      <c r="BS71" s="75"/>
      <c r="BT71" s="75"/>
      <c r="BU71" s="75"/>
      <c r="BV71" s="75"/>
      <c r="BW71" s="75"/>
      <c r="BX71" s="75"/>
      <c r="BY71" s="75"/>
      <c r="BZ71" s="75"/>
      <c r="CA71" s="75"/>
      <c r="CB71" s="75"/>
      <c r="CC71" s="75"/>
    </row>
    <row r="72" spans="2:86" ht="15" thickBot="1" x14ac:dyDescent="0.25">
      <c r="B72" s="257" t="s">
        <v>131</v>
      </c>
      <c r="C72" s="258" t="s">
        <v>91</v>
      </c>
      <c r="D72" s="259" t="s">
        <v>139</v>
      </c>
      <c r="E72" s="259" t="s">
        <v>31</v>
      </c>
      <c r="F72" s="259" t="s">
        <v>10</v>
      </c>
      <c r="G72" s="259" t="s">
        <v>42</v>
      </c>
      <c r="H72" s="264">
        <f>SUM(G73+G74+G75+G76+G77+G78+G79+G80+G81)</f>
        <v>0</v>
      </c>
      <c r="J72" s="287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162"/>
      <c r="X72" s="163"/>
      <c r="Y72" s="163"/>
      <c r="Z72" s="163"/>
      <c r="BR72" s="75"/>
      <c r="BS72" s="75"/>
      <c r="BT72" s="75"/>
      <c r="BU72" s="75"/>
      <c r="BV72" s="75"/>
      <c r="BW72" s="75"/>
      <c r="BX72" s="75"/>
      <c r="BY72" s="75"/>
      <c r="BZ72" s="75"/>
      <c r="CA72" s="75"/>
      <c r="CB72" s="75"/>
      <c r="CC72" s="75"/>
    </row>
    <row r="73" spans="2:86" ht="15.75" customHeight="1" thickBot="1" x14ac:dyDescent="0.25">
      <c r="B73" s="80" t="s">
        <v>132</v>
      </c>
      <c r="C73" s="6" t="s">
        <v>13</v>
      </c>
      <c r="D73" s="252">
        <v>3200</v>
      </c>
      <c r="E73" s="8" t="s">
        <v>23</v>
      </c>
      <c r="F73" s="57">
        <v>1</v>
      </c>
      <c r="G73" s="252">
        <f>IF(E73=O11,F73*D73,0)</f>
        <v>0</v>
      </c>
      <c r="H73" s="260"/>
      <c r="J73" s="287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162"/>
      <c r="X73" s="163"/>
      <c r="Y73" s="163"/>
      <c r="Z73" s="163"/>
      <c r="BR73" s="75"/>
      <c r="BS73" s="75"/>
      <c r="BT73" s="75"/>
      <c r="BU73" s="75"/>
      <c r="BV73" s="75"/>
      <c r="BW73" s="75"/>
      <c r="BX73" s="75"/>
      <c r="BY73" s="75"/>
      <c r="BZ73" s="75"/>
      <c r="CA73" s="75"/>
      <c r="CB73" s="75"/>
      <c r="CC73" s="75"/>
      <c r="CD73" s="75"/>
      <c r="CE73" s="75"/>
      <c r="CF73" s="75"/>
    </row>
    <row r="74" spans="2:86" ht="15.75" customHeight="1" thickBot="1" x14ac:dyDescent="0.25">
      <c r="B74" s="80" t="s">
        <v>133</v>
      </c>
      <c r="C74" s="6" t="s">
        <v>13</v>
      </c>
      <c r="D74" s="252">
        <v>6500</v>
      </c>
      <c r="E74" s="8" t="s">
        <v>23</v>
      </c>
      <c r="F74" s="57">
        <v>1</v>
      </c>
      <c r="G74" s="252">
        <f>IF(E74=O11,F74*D74,0)</f>
        <v>0</v>
      </c>
      <c r="H74" s="260"/>
      <c r="J74" s="287"/>
      <c r="K74" s="75" t="s">
        <v>264</v>
      </c>
      <c r="L74" s="20" t="s">
        <v>72</v>
      </c>
      <c r="M74" s="45">
        <v>12</v>
      </c>
      <c r="N74" s="45" t="s">
        <v>44</v>
      </c>
      <c r="O74" s="106">
        <v>2000</v>
      </c>
      <c r="P74" s="46" t="s">
        <v>45</v>
      </c>
      <c r="Q74" s="75"/>
      <c r="R74" s="75"/>
      <c r="S74" s="75"/>
      <c r="T74" s="75"/>
      <c r="U74" s="75"/>
      <c r="V74" s="75"/>
      <c r="W74" s="162"/>
      <c r="X74" s="163"/>
      <c r="Y74" s="163"/>
      <c r="Z74" s="163"/>
      <c r="BR74" s="75"/>
      <c r="BS74" s="75"/>
      <c r="BT74" s="75"/>
      <c r="BU74" s="75"/>
      <c r="BV74" s="75"/>
      <c r="BW74" s="75"/>
      <c r="BX74" s="75"/>
      <c r="BY74" s="75"/>
      <c r="BZ74" s="75"/>
      <c r="CA74" s="75"/>
      <c r="CB74" s="75"/>
      <c r="CC74" s="75"/>
    </row>
    <row r="75" spans="2:86" ht="15.75" customHeight="1" x14ac:dyDescent="0.2">
      <c r="B75" s="80" t="s">
        <v>134</v>
      </c>
      <c r="C75" s="6" t="s">
        <v>13</v>
      </c>
      <c r="D75" s="252">
        <v>2500</v>
      </c>
      <c r="E75" s="8" t="s">
        <v>23</v>
      </c>
      <c r="F75" s="57">
        <v>1</v>
      </c>
      <c r="G75" s="252">
        <f>IF(E75=O11,D75*F75,0)</f>
        <v>0</v>
      </c>
      <c r="H75" s="260"/>
      <c r="J75" s="287"/>
      <c r="K75" s="75"/>
      <c r="L75" s="725" t="s">
        <v>73</v>
      </c>
      <c r="M75" s="47">
        <v>24</v>
      </c>
      <c r="N75" s="47" t="s">
        <v>44</v>
      </c>
      <c r="O75" s="111">
        <v>2500</v>
      </c>
      <c r="P75" s="48" t="s">
        <v>45</v>
      </c>
      <c r="Q75" s="75"/>
      <c r="R75" s="75"/>
      <c r="S75" s="75"/>
      <c r="T75" s="75"/>
      <c r="U75" s="75"/>
      <c r="V75" s="75"/>
      <c r="W75" s="162"/>
      <c r="X75" s="163"/>
      <c r="Y75" s="163"/>
      <c r="Z75" s="163"/>
      <c r="BR75" s="75"/>
      <c r="BS75" s="75"/>
      <c r="BT75" s="75"/>
      <c r="BU75" s="75"/>
      <c r="BV75" s="75"/>
      <c r="BW75" s="75"/>
      <c r="BX75" s="75"/>
      <c r="BY75" s="75"/>
      <c r="BZ75" s="75"/>
      <c r="CA75" s="75"/>
      <c r="CB75" s="75"/>
      <c r="CC75" s="75"/>
    </row>
    <row r="76" spans="2:86" ht="12.75" x14ac:dyDescent="0.2">
      <c r="B76" s="80" t="s">
        <v>135</v>
      </c>
      <c r="C76" s="6" t="s">
        <v>13</v>
      </c>
      <c r="D76" s="252">
        <v>4000</v>
      </c>
      <c r="E76" s="8" t="s">
        <v>23</v>
      </c>
      <c r="F76" s="57">
        <v>2</v>
      </c>
      <c r="G76" s="252">
        <f>IF(E76=O11,F76*D76,0)</f>
        <v>0</v>
      </c>
      <c r="H76" s="260"/>
      <c r="J76" s="287"/>
      <c r="K76" s="75"/>
      <c r="L76" s="726"/>
      <c r="M76" s="47">
        <v>36</v>
      </c>
      <c r="N76" s="47" t="s">
        <v>44</v>
      </c>
      <c r="O76" s="111">
        <v>3000</v>
      </c>
      <c r="P76" s="48" t="s">
        <v>45</v>
      </c>
      <c r="Q76" s="75"/>
      <c r="R76" s="75"/>
      <c r="S76" s="75"/>
      <c r="T76" s="75"/>
      <c r="U76" s="75"/>
      <c r="V76" s="75"/>
      <c r="W76" s="162"/>
      <c r="X76" s="163"/>
      <c r="Y76" s="163"/>
      <c r="Z76" s="163"/>
      <c r="BR76" s="75"/>
      <c r="BS76" s="75"/>
      <c r="BT76" s="75"/>
      <c r="BU76" s="75"/>
      <c r="BV76" s="75"/>
      <c r="BW76" s="75"/>
      <c r="BX76" s="75"/>
      <c r="BY76" s="75"/>
      <c r="BZ76" s="75"/>
      <c r="CA76" s="75"/>
      <c r="CB76" s="75"/>
      <c r="CC76" s="75"/>
    </row>
    <row r="77" spans="2:86" ht="12.75" x14ac:dyDescent="0.2">
      <c r="B77" s="80" t="s">
        <v>136</v>
      </c>
      <c r="C77" s="6" t="s">
        <v>13</v>
      </c>
      <c r="D77" s="252">
        <v>8500</v>
      </c>
      <c r="E77" s="8" t="s">
        <v>23</v>
      </c>
      <c r="F77" s="57">
        <v>1</v>
      </c>
      <c r="G77" s="252">
        <f>IF(E77=O11,F77*D77,0)</f>
        <v>0</v>
      </c>
      <c r="H77" s="260"/>
      <c r="J77" s="287"/>
      <c r="K77" s="75"/>
      <c r="L77" s="127"/>
      <c r="M77" s="126">
        <v>45</v>
      </c>
      <c r="N77" s="47" t="s">
        <v>44</v>
      </c>
      <c r="O77" s="111">
        <v>4000</v>
      </c>
      <c r="P77" s="48" t="s">
        <v>45</v>
      </c>
      <c r="Q77" s="75"/>
      <c r="R77" s="75"/>
      <c r="S77" s="75"/>
      <c r="T77" s="75"/>
      <c r="U77" s="75"/>
      <c r="V77" s="75"/>
      <c r="W77" s="162"/>
      <c r="X77" s="163"/>
      <c r="Y77" s="163"/>
      <c r="Z77" s="163"/>
      <c r="BR77" s="75"/>
      <c r="BS77" s="75"/>
      <c r="BT77" s="75"/>
      <c r="BU77" s="75"/>
      <c r="BV77" s="75"/>
      <c r="BW77" s="75"/>
      <c r="BX77" s="75"/>
      <c r="BY77" s="75"/>
      <c r="BZ77" s="75"/>
      <c r="CA77" s="75"/>
      <c r="CB77" s="75"/>
      <c r="CC77" s="75"/>
    </row>
    <row r="78" spans="2:86" ht="15.75" customHeight="1" thickBot="1" x14ac:dyDescent="0.25">
      <c r="B78" s="80" t="s">
        <v>137</v>
      </c>
      <c r="C78" s="6" t="s">
        <v>13</v>
      </c>
      <c r="D78" s="252">
        <v>1750</v>
      </c>
      <c r="E78" s="8" t="s">
        <v>23</v>
      </c>
      <c r="F78" s="57">
        <v>4</v>
      </c>
      <c r="G78" s="252">
        <f>IF(E78=O11,F78*D78,0)</f>
        <v>0</v>
      </c>
      <c r="H78" s="260"/>
      <c r="J78" s="287"/>
      <c r="K78" s="75"/>
      <c r="L78" s="49"/>
      <c r="M78" s="50">
        <v>48</v>
      </c>
      <c r="N78" s="128" t="s">
        <v>44</v>
      </c>
      <c r="O78" s="112">
        <v>6000</v>
      </c>
      <c r="P78" s="51" t="s">
        <v>45</v>
      </c>
      <c r="Q78" s="75"/>
      <c r="R78" s="75"/>
      <c r="S78" s="75"/>
      <c r="T78" s="75"/>
      <c r="U78" s="75"/>
      <c r="V78" s="75"/>
      <c r="W78" s="162"/>
      <c r="X78" s="163"/>
      <c r="Y78" s="163"/>
      <c r="Z78" s="163"/>
      <c r="BR78" s="75"/>
      <c r="BS78" s="75"/>
      <c r="BT78" s="75"/>
      <c r="BU78" s="75"/>
      <c r="BV78" s="75"/>
      <c r="BW78" s="75"/>
      <c r="BX78" s="75"/>
      <c r="BY78" s="75"/>
      <c r="BZ78" s="75"/>
      <c r="CA78" s="75"/>
      <c r="CB78" s="75"/>
      <c r="CC78" s="75"/>
    </row>
    <row r="79" spans="2:86" ht="12.75" x14ac:dyDescent="0.2">
      <c r="B79" s="80" t="s">
        <v>138</v>
      </c>
      <c r="C79" s="6" t="s">
        <v>54</v>
      </c>
      <c r="D79" s="252">
        <v>16000</v>
      </c>
      <c r="E79" s="8" t="s">
        <v>23</v>
      </c>
      <c r="F79" s="57">
        <v>2</v>
      </c>
      <c r="G79" s="252">
        <f>IF(E79=O11,F79*D79,0)</f>
        <v>0</v>
      </c>
      <c r="H79" s="260"/>
      <c r="J79" s="287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162"/>
      <c r="X79" s="163"/>
      <c r="Y79" s="163"/>
      <c r="Z79" s="163"/>
      <c r="BR79" s="75"/>
      <c r="BS79" s="75"/>
      <c r="BT79" s="75"/>
      <c r="BU79" s="75"/>
      <c r="BV79" s="75"/>
      <c r="BW79" s="75"/>
      <c r="BX79" s="75"/>
      <c r="BY79" s="75"/>
      <c r="BZ79" s="75"/>
      <c r="CA79" s="75"/>
      <c r="CB79" s="75"/>
      <c r="CC79" s="75"/>
    </row>
    <row r="80" spans="2:86" ht="12.75" x14ac:dyDescent="0.2">
      <c r="B80" s="80" t="s">
        <v>143</v>
      </c>
      <c r="C80" s="6" t="s">
        <v>52</v>
      </c>
      <c r="D80" s="252">
        <v>850</v>
      </c>
      <c r="E80" s="8" t="s">
        <v>23</v>
      </c>
      <c r="F80" s="5">
        <f>C9+1</f>
        <v>4</v>
      </c>
      <c r="G80" s="252">
        <f>IF(E80=O11,F80*D80,0)</f>
        <v>0</v>
      </c>
      <c r="H80" s="260"/>
      <c r="J80" s="287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162"/>
      <c r="X80" s="163"/>
      <c r="Y80" s="163"/>
      <c r="Z80" s="163"/>
      <c r="BR80" s="75"/>
      <c r="BS80" s="75"/>
      <c r="BT80" s="75"/>
      <c r="BU80" s="75"/>
      <c r="BV80" s="75"/>
      <c r="BW80" s="75"/>
      <c r="BX80" s="75"/>
      <c r="BY80" s="75"/>
      <c r="BZ80" s="75"/>
      <c r="CA80" s="75"/>
      <c r="CB80" s="75"/>
      <c r="CC80" s="75"/>
    </row>
    <row r="81" spans="2:81" ht="26.25" thickBot="1" x14ac:dyDescent="0.25">
      <c r="B81" s="85" t="s">
        <v>141</v>
      </c>
      <c r="C81" s="81" t="s">
        <v>54</v>
      </c>
      <c r="D81" s="261">
        <f>CEILING((IF(OR(C56=L175,C56=L177,C56=L178),5000/0.6)+IF(NOT(OR(C56=L175,C56=L177,C56=L178)),9000/0.6)),1)</f>
        <v>15000</v>
      </c>
      <c r="E81" s="82" t="s">
        <v>23</v>
      </c>
      <c r="F81" s="83">
        <v>1</v>
      </c>
      <c r="G81" s="261">
        <f>IF(E81=O11,D81,0)</f>
        <v>0</v>
      </c>
      <c r="H81" s="262"/>
      <c r="J81" s="287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162"/>
      <c r="X81" s="163"/>
      <c r="Y81" s="163"/>
      <c r="Z81" s="163"/>
      <c r="BR81" s="75"/>
      <c r="BS81" s="75"/>
      <c r="BT81" s="75"/>
      <c r="BU81" s="75"/>
      <c r="BV81" s="75"/>
      <c r="BW81" s="75"/>
      <c r="BX81" s="75"/>
      <c r="BY81" s="75"/>
      <c r="BZ81" s="75"/>
      <c r="CA81" s="75"/>
      <c r="CB81" s="75"/>
      <c r="CC81" s="75"/>
    </row>
    <row r="82" spans="2:81" ht="13.5" thickBot="1" x14ac:dyDescent="0.25">
      <c r="J82" s="287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162"/>
      <c r="X82" s="163"/>
      <c r="Y82" s="163"/>
      <c r="Z82" s="163"/>
      <c r="BR82" s="75"/>
      <c r="BS82" s="75"/>
      <c r="BT82" s="75"/>
      <c r="BU82" s="75"/>
      <c r="BV82" s="75"/>
      <c r="BW82" s="75"/>
      <c r="BX82" s="75"/>
      <c r="BY82" s="75"/>
      <c r="BZ82" s="75"/>
      <c r="CA82" s="75"/>
      <c r="CB82" s="75"/>
      <c r="CC82" s="75"/>
    </row>
    <row r="83" spans="2:81" ht="13.5" thickBot="1" x14ac:dyDescent="0.25">
      <c r="B83" s="166" t="s">
        <v>140</v>
      </c>
      <c r="C83" s="158"/>
      <c r="D83" s="158"/>
      <c r="E83" s="158"/>
      <c r="F83" s="159"/>
      <c r="G83" s="264">
        <f ca="1">G51+G68+H72</f>
        <v>436576.33777777775</v>
      </c>
      <c r="H83" s="264">
        <f ca="1">CEILING((G83/C11),1)</f>
        <v>48509</v>
      </c>
      <c r="J83" s="287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162"/>
      <c r="X83" s="163"/>
      <c r="Y83" s="163"/>
      <c r="Z83" s="163"/>
      <c r="BR83" s="75"/>
      <c r="BS83" s="75"/>
      <c r="BT83" s="75"/>
      <c r="BU83" s="75"/>
      <c r="BV83" s="75"/>
      <c r="BW83" s="75"/>
      <c r="BX83" s="75"/>
      <c r="BY83" s="75"/>
      <c r="BZ83" s="75"/>
      <c r="CA83" s="75"/>
      <c r="CB83" s="75"/>
      <c r="CC83" s="75"/>
    </row>
    <row r="84" spans="2:81" ht="12.75" x14ac:dyDescent="0.2">
      <c r="C84" s="1"/>
      <c r="J84" s="287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162"/>
      <c r="X84" s="163"/>
      <c r="Y84" s="163"/>
      <c r="Z84" s="163"/>
      <c r="BR84" s="75"/>
      <c r="BS84" s="75"/>
      <c r="BT84" s="75"/>
      <c r="BU84" s="75"/>
      <c r="BV84" s="75"/>
      <c r="BW84" s="75"/>
      <c r="BX84" s="75"/>
      <c r="BY84" s="75"/>
      <c r="BZ84" s="75"/>
      <c r="CA84" s="75"/>
      <c r="CB84" s="75"/>
      <c r="CC84" s="75"/>
    </row>
    <row r="85" spans="2:81" ht="12.75" x14ac:dyDescent="0.2">
      <c r="B85" s="3" t="s">
        <v>185</v>
      </c>
      <c r="C85" s="246" t="s">
        <v>186</v>
      </c>
      <c r="D85" s="247" t="s">
        <v>188</v>
      </c>
      <c r="E85" s="248">
        <f>+IF(D85=S131,T131)+IF(D85=S132,T132)+IF(D85=S133,T133)+IF(D85=S134,T134)+IF(D85=S135,T135)</f>
        <v>0.1</v>
      </c>
      <c r="F85" s="3">
        <v>1</v>
      </c>
      <c r="G85" s="252">
        <f ca="1">+E85*G83</f>
        <v>43657.633777777781</v>
      </c>
      <c r="H85" s="3"/>
      <c r="J85" s="287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162"/>
      <c r="X85" s="163"/>
      <c r="Y85" s="163"/>
      <c r="Z85" s="163"/>
      <c r="BR85" s="75"/>
      <c r="BS85" s="75"/>
      <c r="BT85" s="75"/>
      <c r="BU85" s="75"/>
      <c r="BV85" s="75"/>
      <c r="BW85" s="75"/>
      <c r="BX85" s="75"/>
      <c r="BY85" s="75"/>
      <c r="BZ85" s="75"/>
      <c r="CA85" s="75"/>
      <c r="CB85" s="75"/>
      <c r="CC85" s="75"/>
    </row>
    <row r="86" spans="2:81" ht="13.5" thickBot="1" x14ac:dyDescent="0.25">
      <c r="J86" s="287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162"/>
      <c r="X86" s="163"/>
      <c r="Y86" s="163"/>
      <c r="Z86" s="163"/>
      <c r="BR86" s="75"/>
      <c r="BS86" s="75"/>
      <c r="BT86" s="75"/>
      <c r="BU86" s="75"/>
      <c r="BV86" s="75"/>
      <c r="BW86" s="75"/>
      <c r="BX86" s="75"/>
      <c r="BY86" s="75"/>
      <c r="BZ86" s="75"/>
      <c r="CA86" s="75"/>
      <c r="CB86" s="75"/>
      <c r="CC86" s="75"/>
    </row>
    <row r="87" spans="2:81" ht="13.5" thickBot="1" x14ac:dyDescent="0.25">
      <c r="B87" s="166" t="s">
        <v>191</v>
      </c>
      <c r="C87" s="158"/>
      <c r="D87" s="158"/>
      <c r="E87" s="158"/>
      <c r="F87" s="159"/>
      <c r="G87" s="264">
        <f ca="1">SUM(G83:G86)</f>
        <v>480233.97155555553</v>
      </c>
      <c r="H87" s="264">
        <f ca="1">CEILING((G87/C11),1)</f>
        <v>53360</v>
      </c>
      <c r="J87" s="287"/>
      <c r="K87" s="75"/>
      <c r="L87" s="199" t="s">
        <v>171</v>
      </c>
      <c r="M87" s="224"/>
      <c r="N87" s="224" t="s">
        <v>76</v>
      </c>
      <c r="O87" s="224" t="s">
        <v>77</v>
      </c>
      <c r="P87" s="224" t="s">
        <v>78</v>
      </c>
      <c r="Q87" s="225" t="s">
        <v>71</v>
      </c>
      <c r="R87" s="225" t="s">
        <v>170</v>
      </c>
      <c r="S87" s="226" t="s">
        <v>49</v>
      </c>
      <c r="T87" s="75"/>
      <c r="U87" s="75"/>
      <c r="V87" s="75"/>
      <c r="W87" s="162"/>
      <c r="X87" s="163"/>
      <c r="Y87" s="163"/>
      <c r="Z87" s="163"/>
      <c r="AA87" s="162" t="s">
        <v>59</v>
      </c>
      <c r="BR87" s="75"/>
      <c r="BS87" s="75"/>
      <c r="BT87" s="75"/>
      <c r="BU87" s="75"/>
      <c r="BV87" s="75"/>
      <c r="BW87" s="75"/>
      <c r="BX87" s="75"/>
      <c r="BY87" s="75"/>
      <c r="BZ87" s="75"/>
      <c r="CA87" s="75"/>
      <c r="CB87" s="75"/>
      <c r="CC87" s="75"/>
    </row>
    <row r="88" spans="2:81" ht="30" x14ac:dyDescent="0.25">
      <c r="C88" s="1"/>
      <c r="J88" s="287"/>
      <c r="K88" s="75"/>
      <c r="L88" s="227" t="s">
        <v>73</v>
      </c>
      <c r="M88" s="222">
        <v>400</v>
      </c>
      <c r="N88" s="222">
        <v>5</v>
      </c>
      <c r="O88" s="222">
        <v>9</v>
      </c>
      <c r="P88" s="223">
        <v>55</v>
      </c>
      <c r="Q88" s="210">
        <f t="shared" ref="Q88:Q93" si="3">O88*P88</f>
        <v>495</v>
      </c>
      <c r="R88" s="210">
        <f>+Q88*1.2</f>
        <v>594</v>
      </c>
      <c r="S88" s="228" t="s">
        <v>79</v>
      </c>
      <c r="T88" s="75"/>
      <c r="U88" s="75"/>
      <c r="V88" s="75"/>
      <c r="W88" s="162"/>
      <c r="X88" s="163"/>
      <c r="Y88" s="163"/>
      <c r="Z88" s="163"/>
      <c r="AA88" s="162" t="s">
        <v>60</v>
      </c>
      <c r="AW88" s="75"/>
      <c r="AX88" s="75"/>
      <c r="AY88" s="75"/>
      <c r="BO88" s="75"/>
      <c r="BP88" s="75"/>
      <c r="BQ88" s="75"/>
      <c r="BR88" s="75"/>
      <c r="BS88" s="75"/>
      <c r="BT88" s="75"/>
      <c r="BU88" s="75"/>
      <c r="BV88" s="75"/>
      <c r="BW88" s="75"/>
      <c r="BX88" s="75"/>
      <c r="BY88" s="75"/>
      <c r="BZ88" s="75"/>
      <c r="CA88" s="75"/>
      <c r="CB88" s="75"/>
      <c r="CC88" s="75"/>
    </row>
    <row r="89" spans="2:81" ht="12.75" x14ac:dyDescent="0.2">
      <c r="C89" s="1"/>
      <c r="J89" s="287"/>
      <c r="K89" s="75"/>
      <c r="L89" s="229"/>
      <c r="M89" s="222">
        <v>450</v>
      </c>
      <c r="N89" s="222">
        <v>5</v>
      </c>
      <c r="O89" s="222">
        <v>11</v>
      </c>
      <c r="P89" s="223">
        <v>55</v>
      </c>
      <c r="Q89" s="210">
        <f t="shared" si="3"/>
        <v>605</v>
      </c>
      <c r="R89" s="210">
        <f t="shared" ref="R89:R93" si="4">+Q89*1.2</f>
        <v>726</v>
      </c>
      <c r="S89" s="228" t="s">
        <v>79</v>
      </c>
      <c r="T89" s="75"/>
      <c r="U89" s="75"/>
      <c r="V89" s="75"/>
      <c r="W89" s="163"/>
      <c r="X89" s="163"/>
      <c r="Y89" s="163"/>
      <c r="Z89" s="163"/>
      <c r="AA89" s="162" t="s">
        <v>23</v>
      </c>
      <c r="AW89" s="75"/>
      <c r="AX89" s="75"/>
      <c r="AY89" s="75"/>
      <c r="BO89" s="75"/>
      <c r="BP89" s="75"/>
      <c r="BQ89" s="75"/>
      <c r="BR89" s="75"/>
      <c r="BS89" s="75"/>
      <c r="BT89" s="75"/>
      <c r="BU89" s="75"/>
      <c r="BV89" s="75"/>
      <c r="BW89" s="75"/>
      <c r="BX89" s="75"/>
      <c r="BY89" s="75"/>
      <c r="BZ89" s="75"/>
      <c r="CA89" s="75"/>
      <c r="CB89" s="75"/>
      <c r="CC89" s="75"/>
    </row>
    <row r="90" spans="2:81" ht="12.75" x14ac:dyDescent="0.2">
      <c r="C90" s="1"/>
      <c r="J90" s="287"/>
      <c r="K90" s="75"/>
      <c r="L90" s="229"/>
      <c r="M90" s="222">
        <v>525</v>
      </c>
      <c r="N90" s="222">
        <v>6</v>
      </c>
      <c r="O90" s="222">
        <v>17</v>
      </c>
      <c r="P90" s="223">
        <v>55</v>
      </c>
      <c r="Q90" s="210">
        <f t="shared" si="3"/>
        <v>935</v>
      </c>
      <c r="R90" s="210">
        <f t="shared" si="4"/>
        <v>1122</v>
      </c>
      <c r="S90" s="228" t="s">
        <v>79</v>
      </c>
      <c r="T90" s="75"/>
      <c r="U90" s="163"/>
      <c r="V90" s="163"/>
      <c r="Y90" s="163"/>
      <c r="Z90" s="163"/>
      <c r="AW90" s="75"/>
      <c r="AX90" s="75"/>
      <c r="AY90" s="75"/>
      <c r="AZ90" s="75"/>
      <c r="BA90" s="75"/>
      <c r="BB90" s="75"/>
      <c r="BC90" s="75"/>
      <c r="BD90" s="75"/>
      <c r="BE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75"/>
      <c r="BS90" s="75"/>
      <c r="BT90" s="75"/>
      <c r="BU90" s="75"/>
      <c r="BV90" s="75"/>
      <c r="BW90" s="75"/>
      <c r="BX90" s="75"/>
      <c r="BY90" s="75"/>
      <c r="BZ90" s="75"/>
      <c r="CA90" s="75"/>
      <c r="CB90" s="75"/>
      <c r="CC90" s="75"/>
    </row>
    <row r="91" spans="2:81" ht="12.75" customHeight="1" x14ac:dyDescent="0.2">
      <c r="C91" s="1"/>
      <c r="J91" s="287"/>
      <c r="K91" s="75"/>
      <c r="L91" s="229"/>
      <c r="M91" s="222">
        <v>600</v>
      </c>
      <c r="N91" s="222">
        <v>8</v>
      </c>
      <c r="O91" s="222">
        <v>29</v>
      </c>
      <c r="P91" s="223">
        <v>55</v>
      </c>
      <c r="Q91" s="210">
        <f t="shared" si="3"/>
        <v>1595</v>
      </c>
      <c r="R91" s="210">
        <f t="shared" si="4"/>
        <v>1914</v>
      </c>
      <c r="S91" s="228" t="s">
        <v>79</v>
      </c>
      <c r="T91" s="75"/>
      <c r="U91" s="163"/>
      <c r="V91" s="163"/>
      <c r="Y91" s="163"/>
      <c r="Z91" s="163"/>
      <c r="AA91" s="162" t="s">
        <v>61</v>
      </c>
      <c r="AW91" s="75"/>
      <c r="AX91" s="75"/>
      <c r="AY91" s="75"/>
      <c r="AZ91" s="75"/>
      <c r="BA91" s="75"/>
      <c r="BB91" s="75"/>
      <c r="BC91" s="75"/>
      <c r="BD91" s="75"/>
      <c r="BE91" s="75"/>
      <c r="BF91" s="75"/>
      <c r="BG91" s="75"/>
      <c r="BH91" s="75"/>
      <c r="BI91" s="75"/>
      <c r="BJ91" s="75"/>
      <c r="BK91" s="75"/>
      <c r="BL91" s="75"/>
      <c r="BM91" s="75"/>
      <c r="BN91" s="75"/>
      <c r="BO91" s="75"/>
      <c r="BP91" s="75"/>
      <c r="BQ91" s="75"/>
    </row>
    <row r="92" spans="2:81" ht="12.75" x14ac:dyDescent="0.2">
      <c r="C92" s="1"/>
      <c r="J92" s="287"/>
      <c r="K92" s="75"/>
      <c r="L92" s="229"/>
      <c r="M92" s="222">
        <v>675</v>
      </c>
      <c r="N92" s="222">
        <v>8</v>
      </c>
      <c r="O92" s="222">
        <v>35</v>
      </c>
      <c r="P92" s="223">
        <v>55</v>
      </c>
      <c r="Q92" s="210">
        <f t="shared" si="3"/>
        <v>1925</v>
      </c>
      <c r="R92" s="210">
        <f t="shared" si="4"/>
        <v>2310</v>
      </c>
      <c r="S92" s="228" t="s">
        <v>79</v>
      </c>
      <c r="T92" s="75"/>
      <c r="U92" s="163"/>
      <c r="V92" s="163"/>
      <c r="Y92" s="163"/>
      <c r="Z92" s="163"/>
      <c r="AA92" s="162" t="s">
        <v>62</v>
      </c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5"/>
      <c r="BP92" s="75"/>
      <c r="BQ92" s="75"/>
    </row>
    <row r="93" spans="2:81" ht="13.5" thickBot="1" x14ac:dyDescent="0.25">
      <c r="C93" s="1"/>
      <c r="J93" s="287"/>
      <c r="K93" s="188"/>
      <c r="L93" s="230"/>
      <c r="M93" s="231">
        <v>750</v>
      </c>
      <c r="N93" s="231">
        <v>8</v>
      </c>
      <c r="O93" s="231">
        <v>45</v>
      </c>
      <c r="P93" s="231">
        <v>55</v>
      </c>
      <c r="Q93" s="213">
        <f t="shared" si="3"/>
        <v>2475</v>
      </c>
      <c r="R93" s="213">
        <f t="shared" si="4"/>
        <v>2970</v>
      </c>
      <c r="S93" s="232" t="s">
        <v>79</v>
      </c>
      <c r="T93" s="75"/>
      <c r="U93" s="163"/>
      <c r="V93" s="163"/>
      <c r="Y93" s="163"/>
      <c r="Z93" s="163"/>
      <c r="AA93" s="162" t="s">
        <v>23</v>
      </c>
      <c r="AW93" s="75"/>
      <c r="AX93" s="75"/>
      <c r="AY93" s="75"/>
      <c r="AZ93" s="75"/>
      <c r="BA93" s="75"/>
      <c r="BB93" s="75"/>
      <c r="BC93" s="75"/>
      <c r="BD93" s="75"/>
      <c r="BE93" s="75"/>
      <c r="BF93" s="75"/>
      <c r="BG93" s="75"/>
      <c r="BH93" s="75"/>
      <c r="BI93" s="75"/>
      <c r="BJ93" s="75"/>
      <c r="BK93" s="75"/>
      <c r="BL93" s="75"/>
      <c r="BM93" s="75"/>
      <c r="BN93" s="75"/>
      <c r="BO93" s="75"/>
      <c r="BP93" s="75"/>
      <c r="BQ93" s="75"/>
      <c r="BR93" s="75"/>
      <c r="BS93" s="75"/>
      <c r="BT93" s="75"/>
      <c r="BU93" s="75"/>
      <c r="BV93" s="75"/>
      <c r="BW93" s="75"/>
      <c r="BX93" s="75"/>
      <c r="BY93" s="75"/>
      <c r="BZ93" s="75"/>
      <c r="CA93" s="75"/>
      <c r="CB93" s="75"/>
      <c r="CC93" s="75"/>
    </row>
    <row r="94" spans="2:81" ht="12.75" x14ac:dyDescent="0.2">
      <c r="C94" s="1"/>
      <c r="J94" s="287"/>
      <c r="U94" s="162"/>
      <c r="V94" s="162"/>
      <c r="X94" s="162"/>
      <c r="Y94" s="162"/>
      <c r="Z94" s="162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</row>
    <row r="95" spans="2:81" ht="12.75" x14ac:dyDescent="0.2">
      <c r="C95" s="1"/>
      <c r="J95" s="287"/>
      <c r="U95" s="162"/>
      <c r="V95" s="162"/>
      <c r="W95" s="162"/>
      <c r="X95" s="162"/>
      <c r="Y95" s="162"/>
      <c r="Z95" s="162"/>
      <c r="AA95" s="162" t="s">
        <v>180</v>
      </c>
      <c r="AB95" s="75">
        <v>550</v>
      </c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W95" s="75"/>
      <c r="AX95" s="75"/>
      <c r="AY95" s="75"/>
      <c r="AZ95" s="75"/>
      <c r="BA95" s="75"/>
      <c r="BB95" s="75"/>
      <c r="BC95" s="75"/>
      <c r="BD95" s="75"/>
      <c r="BE95" s="75"/>
      <c r="BF95" s="75"/>
      <c r="BG95" s="75"/>
      <c r="BH95" s="75"/>
      <c r="BI95" s="75"/>
      <c r="BJ95" s="75"/>
      <c r="BK95" s="75"/>
      <c r="BL95" s="75"/>
      <c r="BM95" s="75"/>
      <c r="BN95" s="75"/>
      <c r="BO95" s="75"/>
      <c r="BP95" s="75"/>
      <c r="BQ95" s="75"/>
    </row>
    <row r="96" spans="2:81" ht="12.75" customHeight="1" x14ac:dyDescent="0.2">
      <c r="C96" s="1"/>
      <c r="J96" s="287"/>
      <c r="Q96" s="197"/>
      <c r="R96" s="197"/>
      <c r="S96" s="197"/>
      <c r="T96" s="197"/>
      <c r="U96" s="240"/>
      <c r="V96" s="240"/>
      <c r="W96" s="163"/>
      <c r="X96" s="163"/>
      <c r="Y96" s="163"/>
      <c r="Z96" s="163"/>
      <c r="AA96" s="162" t="s">
        <v>181</v>
      </c>
      <c r="AB96" s="75">
        <v>850</v>
      </c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</row>
    <row r="97" spans="3:69" ht="12.75" x14ac:dyDescent="0.2">
      <c r="C97" s="1"/>
      <c r="J97" s="287"/>
      <c r="Q97" s="43"/>
      <c r="R97" s="43"/>
      <c r="S97" s="43"/>
      <c r="T97" s="43"/>
      <c r="U97" s="241"/>
      <c r="V97" s="241"/>
      <c r="W97" s="162"/>
      <c r="X97" s="162"/>
      <c r="Y97" s="162"/>
      <c r="Z97" s="162"/>
      <c r="AA97" s="162" t="s">
        <v>23</v>
      </c>
      <c r="AB97" s="75">
        <v>0</v>
      </c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75"/>
      <c r="AO97" s="75"/>
      <c r="AP97" s="75"/>
      <c r="AQ97" s="75"/>
      <c r="AZ97" s="75"/>
      <c r="BA97" s="75"/>
      <c r="BB97" s="75"/>
      <c r="BC97" s="75"/>
      <c r="BD97" s="75"/>
      <c r="BE97" s="75"/>
      <c r="BF97" s="75"/>
      <c r="BG97" s="75"/>
      <c r="BH97" s="75"/>
      <c r="BI97" s="75"/>
      <c r="BJ97" s="75"/>
      <c r="BK97" s="75"/>
      <c r="BL97" s="75"/>
      <c r="BM97" s="75"/>
      <c r="BN97" s="75"/>
    </row>
    <row r="98" spans="3:69" ht="15.75" customHeight="1" x14ac:dyDescent="0.2">
      <c r="C98" s="1"/>
      <c r="J98" s="287"/>
      <c r="Q98" s="43"/>
      <c r="R98" s="43"/>
      <c r="S98" s="43"/>
      <c r="T98" s="43"/>
      <c r="U98" s="43"/>
      <c r="V98" s="43"/>
      <c r="W98" s="162"/>
      <c r="X98" s="162"/>
      <c r="Y98" s="162"/>
      <c r="Z98" s="162"/>
      <c r="AA98" s="163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W98" s="75"/>
      <c r="AX98" s="75"/>
      <c r="AY98" s="75"/>
      <c r="BF98" s="75"/>
      <c r="BO98" s="75"/>
      <c r="BP98" s="75"/>
      <c r="BQ98" s="75"/>
    </row>
    <row r="99" spans="3:69" ht="15.75" customHeight="1" x14ac:dyDescent="0.2">
      <c r="C99" s="1"/>
      <c r="J99" s="287"/>
      <c r="Q99" s="16"/>
      <c r="R99" s="723" t="s">
        <v>178</v>
      </c>
      <c r="S99" s="724"/>
      <c r="T99" s="16"/>
      <c r="U99" s="16"/>
      <c r="V99" s="16"/>
      <c r="W99" s="162"/>
      <c r="X99" s="162"/>
      <c r="Y99" s="162"/>
      <c r="Z99" s="162"/>
      <c r="AA99" s="163" t="s">
        <v>31</v>
      </c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  <c r="AP99" s="75"/>
      <c r="AQ99" s="75"/>
    </row>
    <row r="100" spans="3:69" ht="15.75" customHeight="1" x14ac:dyDescent="0.2">
      <c r="C100" s="1"/>
      <c r="J100" s="287"/>
      <c r="Q100" s="16"/>
      <c r="R100" s="244" t="s">
        <v>66</v>
      </c>
      <c r="S100" s="244">
        <v>40000</v>
      </c>
      <c r="T100" s="16"/>
      <c r="U100" s="16"/>
      <c r="V100" s="16"/>
      <c r="W100" s="162"/>
      <c r="X100" s="162"/>
      <c r="Y100" s="162"/>
      <c r="Z100" s="162"/>
      <c r="AA100" s="163" t="s">
        <v>23</v>
      </c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Z100" s="75"/>
      <c r="BA100" s="75"/>
      <c r="BB100" s="75"/>
      <c r="BC100" s="75"/>
      <c r="BD100" s="75"/>
      <c r="BE100" s="75"/>
      <c r="BG100" s="75"/>
      <c r="BH100" s="75"/>
      <c r="BI100" s="75"/>
      <c r="BJ100" s="75"/>
      <c r="BK100" s="75"/>
      <c r="BL100" s="75"/>
      <c r="BM100" s="75"/>
      <c r="BN100" s="75"/>
    </row>
    <row r="101" spans="3:69" ht="15.75" customHeight="1" x14ac:dyDescent="0.2">
      <c r="J101" s="287"/>
      <c r="K101" s="86"/>
      <c r="Q101" s="16"/>
      <c r="R101" s="244" t="s">
        <v>68</v>
      </c>
      <c r="S101" s="244">
        <v>45000</v>
      </c>
      <c r="T101" s="16"/>
      <c r="U101" s="16"/>
      <c r="V101" s="16"/>
      <c r="W101" s="162"/>
      <c r="X101" s="162"/>
      <c r="Y101" s="162"/>
      <c r="Z101" s="162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  <c r="AU101" s="75"/>
      <c r="AV101" s="75"/>
      <c r="BF101" s="75"/>
    </row>
    <row r="102" spans="3:69" ht="15.75" customHeight="1" x14ac:dyDescent="0.2">
      <c r="J102" s="287"/>
      <c r="K102" s="105"/>
      <c r="R102" s="221" t="s">
        <v>67</v>
      </c>
      <c r="S102" s="244">
        <v>50000</v>
      </c>
      <c r="W102" s="162"/>
      <c r="X102" s="162"/>
      <c r="Y102" s="162"/>
      <c r="Z102" s="162"/>
      <c r="AR102" s="75"/>
      <c r="AS102" s="75"/>
      <c r="AT102" s="75"/>
      <c r="AU102" s="75"/>
      <c r="AV102" s="75"/>
    </row>
    <row r="103" spans="3:69" ht="15.75" customHeight="1" x14ac:dyDescent="0.2">
      <c r="J103" s="287"/>
      <c r="K103" s="105"/>
      <c r="W103" s="162"/>
      <c r="X103" s="162"/>
      <c r="Y103" s="162"/>
      <c r="Z103" s="162"/>
      <c r="AR103" s="75"/>
      <c r="AS103" s="75"/>
      <c r="AT103" s="75"/>
      <c r="AU103" s="75"/>
      <c r="AV103" s="75"/>
    </row>
    <row r="104" spans="3:69" ht="15.75" customHeight="1" x14ac:dyDescent="0.2">
      <c r="J104" s="287"/>
      <c r="K104" s="75"/>
      <c r="W104" s="162"/>
      <c r="X104" s="162"/>
      <c r="Y104" s="162"/>
      <c r="Z104" s="162"/>
      <c r="AR104" s="75"/>
      <c r="AS104" s="75"/>
      <c r="AT104" s="75"/>
      <c r="AU104" s="75"/>
      <c r="AV104" s="75"/>
    </row>
    <row r="105" spans="3:69" ht="15.75" customHeight="1" x14ac:dyDescent="0.2">
      <c r="J105" s="287"/>
      <c r="K105" s="75"/>
      <c r="U105" s="162"/>
      <c r="V105" s="162"/>
      <c r="W105" s="162"/>
      <c r="X105" s="162"/>
      <c r="Y105" s="162"/>
      <c r="Z105" s="162"/>
      <c r="AA105" s="162" t="s">
        <v>4</v>
      </c>
      <c r="AR105" s="75"/>
      <c r="AS105" s="75"/>
      <c r="AT105" s="75"/>
      <c r="AU105" s="75"/>
      <c r="AV105" s="75"/>
    </row>
    <row r="106" spans="3:69" ht="15.75" customHeight="1" x14ac:dyDescent="0.2">
      <c r="J106" s="287"/>
      <c r="K106" s="75"/>
      <c r="Q106" s="170"/>
      <c r="R106" s="170"/>
      <c r="S106" s="170"/>
      <c r="T106" s="170"/>
      <c r="U106" s="241"/>
      <c r="V106" s="241"/>
      <c r="W106" s="162"/>
      <c r="X106" s="162"/>
      <c r="Y106" s="162"/>
      <c r="Z106" s="162"/>
      <c r="AR106" s="75"/>
      <c r="AS106" s="75"/>
      <c r="AT106" s="75"/>
      <c r="AU106" s="75"/>
      <c r="AV106" s="75"/>
    </row>
    <row r="107" spans="3:69" ht="15.75" customHeight="1" x14ac:dyDescent="0.2">
      <c r="J107" s="287"/>
      <c r="K107" s="75"/>
      <c r="Q107" s="170"/>
      <c r="R107" s="170"/>
      <c r="S107" s="170"/>
      <c r="T107" s="170"/>
      <c r="U107" s="241"/>
      <c r="V107" s="241"/>
      <c r="W107" s="162"/>
      <c r="X107" s="162"/>
      <c r="Y107" s="162"/>
      <c r="Z107" s="162"/>
      <c r="AR107" s="75"/>
      <c r="AS107" s="75"/>
      <c r="AT107" s="75"/>
      <c r="AU107" s="75"/>
      <c r="AV107" s="75"/>
    </row>
    <row r="108" spans="3:69" ht="15.75" customHeight="1" x14ac:dyDescent="0.2">
      <c r="J108" s="287"/>
      <c r="K108" s="75"/>
      <c r="Q108" s="47"/>
      <c r="R108" s="47"/>
      <c r="S108" s="47"/>
      <c r="T108" s="47"/>
      <c r="U108" s="241"/>
      <c r="V108" s="241"/>
      <c r="W108" s="162"/>
      <c r="X108" s="162"/>
      <c r="Y108" s="162"/>
      <c r="Z108" s="162"/>
    </row>
    <row r="109" spans="3:69" ht="15.75" customHeight="1" x14ac:dyDescent="0.2">
      <c r="J109" s="287"/>
      <c r="K109" s="75"/>
      <c r="Q109" s="241"/>
      <c r="R109" s="241"/>
      <c r="S109" s="241"/>
      <c r="T109" s="241"/>
      <c r="U109" s="241"/>
      <c r="V109" s="241"/>
      <c r="W109" s="162"/>
      <c r="X109" s="162"/>
      <c r="Y109" s="162"/>
      <c r="Z109" s="162"/>
    </row>
    <row r="110" spans="3:69" ht="15.75" customHeight="1" x14ac:dyDescent="0.2">
      <c r="J110" s="287"/>
      <c r="Q110" s="241"/>
      <c r="R110" s="241"/>
      <c r="S110" s="241"/>
      <c r="T110" s="241"/>
      <c r="U110" s="241"/>
      <c r="V110" s="241"/>
      <c r="W110" s="162"/>
      <c r="X110" s="162"/>
      <c r="Y110" s="162"/>
      <c r="Z110" s="162"/>
      <c r="AA110" s="162" t="s">
        <v>19</v>
      </c>
      <c r="AS110" s="75"/>
      <c r="AT110" s="75"/>
      <c r="AU110" s="75"/>
      <c r="AV110" s="75"/>
    </row>
    <row r="111" spans="3:69" ht="15.75" customHeight="1" x14ac:dyDescent="0.2">
      <c r="J111" s="287"/>
      <c r="Q111" s="241"/>
      <c r="R111" s="241"/>
      <c r="S111" s="241"/>
      <c r="T111" s="241"/>
      <c r="U111" s="241"/>
      <c r="V111" s="241"/>
      <c r="W111" s="162"/>
      <c r="X111" s="162"/>
      <c r="Y111" s="162"/>
      <c r="Z111" s="162"/>
      <c r="AA111" s="163" t="s">
        <v>20</v>
      </c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  <c r="AP111" s="75"/>
      <c r="AQ111" s="75"/>
    </row>
    <row r="112" spans="3:69" ht="15.75" customHeight="1" thickBot="1" x14ac:dyDescent="0.25">
      <c r="J112" s="287"/>
      <c r="K112" s="75"/>
      <c r="Q112" s="162"/>
      <c r="R112" s="162"/>
      <c r="S112" s="162"/>
      <c r="T112" s="241"/>
      <c r="U112" s="241"/>
      <c r="V112" s="241"/>
      <c r="W112" s="241"/>
      <c r="X112" s="241"/>
      <c r="Y112" s="241"/>
      <c r="Z112" s="241"/>
      <c r="AA112" s="163" t="s">
        <v>31</v>
      </c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  <c r="AP112" s="75"/>
      <c r="AQ112" s="75"/>
    </row>
    <row r="113" spans="10:44" ht="15.75" customHeight="1" thickBot="1" x14ac:dyDescent="0.25">
      <c r="J113" s="287"/>
      <c r="L113" s="20" t="s">
        <v>37</v>
      </c>
      <c r="M113" s="29" t="s">
        <v>74</v>
      </c>
      <c r="N113" s="29"/>
      <c r="O113" s="29"/>
      <c r="P113" s="33"/>
      <c r="Q113" s="162">
        <f>+IF(AND(C14=P121,B30=Q122,D30=L123),Q123)+IF(AND(C14=P121,B30=Q122,D30=L124),Q124)+IF(AND(C14=P121,B30=Q122,D30=L125),Q125)+IF(AND(C14=P121,B30=Q122,D30=L126),Q126)+IF(AND(C14=P121,B30=Q122,D30=L127),Q127)+IF(AND(C14=P121,B30=Q122,D30=L128),Q128)</f>
        <v>0</v>
      </c>
      <c r="R113" s="162"/>
      <c r="S113" s="162"/>
      <c r="T113" s="241"/>
      <c r="U113" s="241"/>
      <c r="V113" s="241"/>
      <c r="W113" s="241"/>
      <c r="X113" s="241"/>
      <c r="Y113" s="241"/>
      <c r="Z113" s="241"/>
      <c r="AA113" s="163" t="s">
        <v>29</v>
      </c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5"/>
      <c r="AO113" s="75"/>
      <c r="AP113" s="75"/>
      <c r="AQ113" s="75"/>
    </row>
    <row r="114" spans="10:44" ht="15.75" customHeight="1" x14ac:dyDescent="0.25">
      <c r="J114" s="287"/>
      <c r="L114" s="195" t="s">
        <v>73</v>
      </c>
      <c r="M114" s="31">
        <v>12</v>
      </c>
      <c r="N114" s="31" t="s">
        <v>44</v>
      </c>
      <c r="O114" s="39">
        <v>1500</v>
      </c>
      <c r="P114" s="32" t="s">
        <v>45</v>
      </c>
      <c r="Q114" s="162"/>
      <c r="R114" s="162"/>
      <c r="S114" s="162"/>
      <c r="T114" s="241"/>
      <c r="U114" s="241"/>
      <c r="V114" s="241"/>
      <c r="W114" s="241"/>
      <c r="X114" s="241"/>
      <c r="Y114" s="241"/>
      <c r="Z114" s="241"/>
      <c r="AA114" s="163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  <c r="AP114" s="75"/>
      <c r="AQ114" s="75"/>
    </row>
    <row r="115" spans="10:44" ht="15.75" customHeight="1" x14ac:dyDescent="0.25">
      <c r="J115" s="287"/>
      <c r="L115" s="195"/>
      <c r="M115" s="31">
        <v>24</v>
      </c>
      <c r="N115" s="31" t="s">
        <v>44</v>
      </c>
      <c r="O115" s="39">
        <v>2000</v>
      </c>
      <c r="P115" s="32" t="s">
        <v>45</v>
      </c>
      <c r="Q115" s="162"/>
      <c r="R115" s="162"/>
      <c r="S115" s="162"/>
      <c r="T115" s="243"/>
      <c r="U115" s="243"/>
      <c r="V115" s="243"/>
      <c r="W115" s="162"/>
      <c r="X115" s="242"/>
      <c r="Y115" s="242"/>
      <c r="Z115" s="162"/>
      <c r="AA115" s="163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  <c r="AP115" s="75"/>
      <c r="AQ115" s="75"/>
    </row>
    <row r="116" spans="10:44" ht="15.75" customHeight="1" x14ac:dyDescent="0.2">
      <c r="J116" s="287"/>
      <c r="L116" s="35"/>
      <c r="M116" s="31">
        <v>36</v>
      </c>
      <c r="N116" s="31" t="s">
        <v>44</v>
      </c>
      <c r="O116" s="39">
        <v>2500</v>
      </c>
      <c r="P116" s="32" t="s">
        <v>45</v>
      </c>
      <c r="Q116" s="162"/>
      <c r="R116" s="162"/>
      <c r="S116" s="162"/>
      <c r="T116" s="243"/>
      <c r="U116" s="243"/>
      <c r="V116" s="243"/>
      <c r="W116" s="162"/>
      <c r="X116" s="242"/>
      <c r="Y116" s="242"/>
      <c r="Z116" s="162"/>
      <c r="AA116" s="163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  <c r="AO116" s="75"/>
      <c r="AP116" s="75"/>
      <c r="AQ116" s="75"/>
    </row>
    <row r="117" spans="10:44" ht="15.75" customHeight="1" x14ac:dyDescent="0.2">
      <c r="J117" s="287"/>
      <c r="K117" s="86"/>
      <c r="L117" s="30"/>
      <c r="M117" s="129" t="s">
        <v>46</v>
      </c>
      <c r="N117" s="31" t="s">
        <v>44</v>
      </c>
      <c r="O117" s="39">
        <v>3500</v>
      </c>
      <c r="P117" s="32" t="s">
        <v>45</v>
      </c>
      <c r="Q117" s="162"/>
      <c r="R117" s="162"/>
      <c r="S117" s="162"/>
      <c r="T117" s="243"/>
      <c r="U117" s="243"/>
      <c r="V117" s="111"/>
      <c r="W117" s="162"/>
      <c r="X117" s="242"/>
      <c r="Y117" s="242"/>
      <c r="Z117" s="162"/>
      <c r="AA117" s="163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  <c r="AN117" s="75"/>
      <c r="AO117" s="75"/>
      <c r="AP117" s="75"/>
      <c r="AQ117" s="75"/>
      <c r="AR117" s="75"/>
    </row>
    <row r="118" spans="10:44" ht="15.75" customHeight="1" thickBot="1" x14ac:dyDescent="0.25">
      <c r="J118" s="287"/>
      <c r="K118" s="86"/>
      <c r="L118" s="21"/>
      <c r="M118" s="123" t="s">
        <v>101</v>
      </c>
      <c r="N118" s="112" t="s">
        <v>44</v>
      </c>
      <c r="O118" s="40">
        <v>6000</v>
      </c>
      <c r="P118" s="120" t="s">
        <v>13</v>
      </c>
      <c r="Q118" s="162"/>
      <c r="R118" s="162"/>
      <c r="AA118" s="163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  <c r="AN118" s="75"/>
      <c r="AO118" s="75"/>
      <c r="AP118" s="75"/>
      <c r="AQ118" s="75"/>
      <c r="AR118" s="75"/>
    </row>
    <row r="119" spans="10:44" ht="15.75" customHeight="1" x14ac:dyDescent="0.2">
      <c r="J119" s="287"/>
      <c r="K119" s="86"/>
      <c r="AA119" s="162" t="s">
        <v>21</v>
      </c>
      <c r="AR119" s="75"/>
    </row>
    <row r="120" spans="10:44" ht="15.75" customHeight="1" thickBot="1" x14ac:dyDescent="0.25">
      <c r="J120" s="287"/>
      <c r="K120" s="86"/>
      <c r="L120" s="52"/>
      <c r="M120" s="52"/>
      <c r="AR120" s="75"/>
    </row>
    <row r="121" spans="10:44" ht="15.75" customHeight="1" x14ac:dyDescent="0.2">
      <c r="J121" s="287"/>
      <c r="K121" s="86"/>
      <c r="L121" s="199" t="s">
        <v>172</v>
      </c>
      <c r="M121" s="224"/>
      <c r="N121" s="720" t="s">
        <v>162</v>
      </c>
      <c r="O121" s="720"/>
      <c r="P121" s="720" t="s">
        <v>163</v>
      </c>
      <c r="Q121" s="720"/>
      <c r="R121" s="226"/>
      <c r="AA121" s="163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  <c r="AM121" s="75"/>
      <c r="AN121" s="75"/>
      <c r="AO121" s="75"/>
      <c r="AP121" s="75"/>
      <c r="AQ121" s="75"/>
      <c r="AR121" s="75"/>
    </row>
    <row r="122" spans="10:44" ht="15.75" customHeight="1" x14ac:dyDescent="0.2">
      <c r="J122" s="287"/>
      <c r="K122" s="86"/>
      <c r="L122" s="61"/>
      <c r="M122" s="3"/>
      <c r="N122" s="236" t="s">
        <v>173</v>
      </c>
      <c r="O122" s="236" t="s">
        <v>174</v>
      </c>
      <c r="P122" s="236" t="s">
        <v>173</v>
      </c>
      <c r="Q122" s="236" t="s">
        <v>174</v>
      </c>
      <c r="R122" s="228"/>
      <c r="AA122" s="162" t="s">
        <v>22</v>
      </c>
      <c r="AR122" s="75"/>
    </row>
    <row r="123" spans="10:44" ht="15.75" customHeight="1" x14ac:dyDescent="0.2">
      <c r="J123" s="287"/>
      <c r="K123" s="86"/>
      <c r="L123" s="233">
        <v>400</v>
      </c>
      <c r="M123" s="222">
        <v>8</v>
      </c>
      <c r="N123" s="210">
        <f>M123*275</f>
        <v>2200</v>
      </c>
      <c r="O123" s="209">
        <f>+N123*0.9</f>
        <v>1980</v>
      </c>
      <c r="P123" s="209">
        <f>+N123*2</f>
        <v>4400</v>
      </c>
      <c r="Q123" s="209">
        <f t="shared" ref="Q123:Q128" si="5">+O123*2</f>
        <v>3960</v>
      </c>
      <c r="R123" s="103" t="s">
        <v>92</v>
      </c>
      <c r="T123" s="31"/>
      <c r="U123" s="31"/>
      <c r="V123" s="31"/>
      <c r="Z123" s="52"/>
      <c r="AA123" s="162" t="s">
        <v>23</v>
      </c>
      <c r="AR123" s="75"/>
    </row>
    <row r="124" spans="10:44" ht="15.75" customHeight="1" x14ac:dyDescent="0.2">
      <c r="J124" s="287"/>
      <c r="K124" s="86"/>
      <c r="L124" s="233">
        <v>450</v>
      </c>
      <c r="M124" s="222">
        <v>10</v>
      </c>
      <c r="N124" s="210">
        <f t="shared" ref="N124:N128" si="6">M124*275</f>
        <v>2750</v>
      </c>
      <c r="O124" s="209">
        <f t="shared" ref="O124:O128" si="7">+N124*0.9</f>
        <v>2475</v>
      </c>
      <c r="P124" s="209">
        <f t="shared" ref="P124:P128" si="8">+N124*2</f>
        <v>5500</v>
      </c>
      <c r="Q124" s="209">
        <f t="shared" si="5"/>
        <v>4950</v>
      </c>
      <c r="R124" s="103" t="s">
        <v>92</v>
      </c>
      <c r="T124" s="31"/>
      <c r="U124" s="31"/>
      <c r="V124" s="31"/>
      <c r="Z124" s="52"/>
      <c r="AR124" s="75"/>
    </row>
    <row r="125" spans="10:44" ht="15.75" customHeight="1" x14ac:dyDescent="0.2">
      <c r="J125" s="287"/>
      <c r="K125" s="86"/>
      <c r="L125" s="233">
        <v>525</v>
      </c>
      <c r="M125" s="222">
        <v>12</v>
      </c>
      <c r="N125" s="210">
        <f>M125*275</f>
        <v>3300</v>
      </c>
      <c r="O125" s="209">
        <f>+N125*0.9</f>
        <v>2970</v>
      </c>
      <c r="P125" s="209">
        <f t="shared" si="8"/>
        <v>6600</v>
      </c>
      <c r="Q125" s="209">
        <f t="shared" si="5"/>
        <v>5940</v>
      </c>
      <c r="R125" s="103" t="s">
        <v>92</v>
      </c>
      <c r="T125" s="31"/>
      <c r="U125" s="31"/>
      <c r="V125" s="31"/>
    </row>
    <row r="126" spans="10:44" ht="15.75" customHeight="1" x14ac:dyDescent="0.2">
      <c r="J126" s="287"/>
      <c r="K126" s="86"/>
      <c r="L126" s="233">
        <v>600</v>
      </c>
      <c r="M126" s="222">
        <v>16</v>
      </c>
      <c r="N126" s="210">
        <f>M126*275</f>
        <v>4400</v>
      </c>
      <c r="O126" s="209">
        <f t="shared" si="7"/>
        <v>3960</v>
      </c>
      <c r="P126" s="209">
        <f t="shared" si="8"/>
        <v>8800</v>
      </c>
      <c r="Q126" s="209">
        <f t="shared" si="5"/>
        <v>7920</v>
      </c>
      <c r="R126" s="103" t="s">
        <v>92</v>
      </c>
      <c r="T126" s="117"/>
      <c r="U126" s="117"/>
      <c r="V126" s="117"/>
      <c r="Z126" s="9" t="s">
        <v>12</v>
      </c>
    </row>
    <row r="127" spans="10:44" ht="15.75" customHeight="1" x14ac:dyDescent="0.2">
      <c r="J127" s="287"/>
      <c r="K127" s="86"/>
      <c r="L127" s="233">
        <v>675</v>
      </c>
      <c r="M127" s="222">
        <v>18</v>
      </c>
      <c r="N127" s="210">
        <f t="shared" si="6"/>
        <v>4950</v>
      </c>
      <c r="O127" s="209">
        <f t="shared" si="7"/>
        <v>4455</v>
      </c>
      <c r="P127" s="209">
        <f t="shared" si="8"/>
        <v>9900</v>
      </c>
      <c r="Q127" s="209">
        <f t="shared" si="5"/>
        <v>8910</v>
      </c>
      <c r="R127" s="103" t="s">
        <v>92</v>
      </c>
      <c r="Z127" s="9" t="s">
        <v>13</v>
      </c>
      <c r="AR127" s="75"/>
    </row>
    <row r="128" spans="10:44" ht="15.75" customHeight="1" thickBot="1" x14ac:dyDescent="0.25">
      <c r="J128" s="287"/>
      <c r="K128" s="86"/>
      <c r="L128" s="234">
        <v>750</v>
      </c>
      <c r="M128" s="187">
        <v>20</v>
      </c>
      <c r="N128" s="213">
        <f t="shared" si="6"/>
        <v>5500</v>
      </c>
      <c r="O128" s="212">
        <f t="shared" si="7"/>
        <v>4950</v>
      </c>
      <c r="P128" s="212">
        <f t="shared" si="8"/>
        <v>11000</v>
      </c>
      <c r="Q128" s="212">
        <f t="shared" si="5"/>
        <v>9900</v>
      </c>
      <c r="R128" s="235" t="s">
        <v>92</v>
      </c>
      <c r="Z128" s="9"/>
    </row>
    <row r="129" spans="10:30" ht="15.75" customHeight="1" thickBot="1" x14ac:dyDescent="0.25">
      <c r="J129" s="287"/>
      <c r="K129" s="86"/>
      <c r="O129" s="39"/>
      <c r="Z129" s="9"/>
      <c r="AC129" s="1" t="s">
        <v>161</v>
      </c>
    </row>
    <row r="130" spans="10:30" ht="15.75" customHeight="1" x14ac:dyDescent="0.2">
      <c r="J130" s="287">
        <f>+IF(AND(C57=L165,F57&lt;150),K177)+IF(AND(C57=L165,F57&gt;150.01,F57&lt;230),K178)+IF(AND(C57=L165,F57&gt;230.01,F57&lt;325),K179)+IF(AND(C57=L165,F57&gt;325.01,F57&lt;475),K180)+IF(AND(C57=L165,F57&gt;475.01,F57&lt;725),K181)+IF(AND(C57=L165,F57&gt;725.01,F57&lt;1400),K182)+IF(AND(C57=L165,F57&gt;1401.01,F57&lt;2200),K183)</f>
        <v>0</v>
      </c>
      <c r="K130" s="86"/>
      <c r="L130" s="199" t="s">
        <v>176</v>
      </c>
      <c r="M130" s="237" t="s">
        <v>162</v>
      </c>
      <c r="N130" s="238" t="s">
        <v>163</v>
      </c>
      <c r="P130" s="245" t="s">
        <v>182</v>
      </c>
      <c r="Q130" s="3"/>
      <c r="S130" s="245" t="s">
        <v>185</v>
      </c>
      <c r="T130" s="3"/>
      <c r="Z130" s="9"/>
      <c r="AB130" s="192" t="s">
        <v>159</v>
      </c>
      <c r="AC130" s="192"/>
      <c r="AD130" s="189" t="s">
        <v>160</v>
      </c>
    </row>
    <row r="131" spans="10:30" ht="15.75" customHeight="1" thickBot="1" x14ac:dyDescent="0.25">
      <c r="J131" s="287"/>
      <c r="K131" s="86"/>
      <c r="L131" s="239" t="s">
        <v>177</v>
      </c>
      <c r="M131" s="187">
        <v>6500</v>
      </c>
      <c r="N131" s="235">
        <f>+M131*2</f>
        <v>13000</v>
      </c>
      <c r="P131" s="244" t="s">
        <v>23</v>
      </c>
      <c r="Q131" s="3">
        <v>0</v>
      </c>
      <c r="S131" s="3" t="s">
        <v>187</v>
      </c>
      <c r="T131" s="3">
        <v>0.05</v>
      </c>
      <c r="Z131" s="9"/>
      <c r="AB131" s="3">
        <v>2.0099999999999998</v>
      </c>
      <c r="AC131" s="190">
        <v>3.01</v>
      </c>
      <c r="AD131" s="191">
        <v>9</v>
      </c>
    </row>
    <row r="132" spans="10:30" ht="15.75" customHeight="1" x14ac:dyDescent="0.2">
      <c r="J132" s="287"/>
      <c r="K132" s="86"/>
      <c r="P132" s="3" t="s">
        <v>183</v>
      </c>
      <c r="Q132" s="3">
        <v>18500</v>
      </c>
      <c r="S132" s="3" t="s">
        <v>188</v>
      </c>
      <c r="T132" s="3">
        <v>0.1</v>
      </c>
      <c r="Z132" s="9"/>
      <c r="AB132" s="3">
        <v>3.01</v>
      </c>
      <c r="AC132" s="190">
        <v>4.01</v>
      </c>
      <c r="AD132" s="191">
        <v>14</v>
      </c>
    </row>
    <row r="133" spans="10:30" ht="15.75" customHeight="1" x14ac:dyDescent="0.2">
      <c r="J133" s="287"/>
      <c r="K133" s="86"/>
      <c r="P133" s="3" t="s">
        <v>184</v>
      </c>
      <c r="Q133" s="3">
        <v>30500</v>
      </c>
      <c r="S133" s="3" t="s">
        <v>189</v>
      </c>
      <c r="T133" s="3">
        <v>0.15</v>
      </c>
      <c r="Z133" s="9"/>
      <c r="AB133" s="3">
        <v>4.01</v>
      </c>
      <c r="AC133" s="190">
        <v>5.01</v>
      </c>
      <c r="AD133" s="191">
        <v>18</v>
      </c>
    </row>
    <row r="134" spans="10:30" ht="15.75" customHeight="1" x14ac:dyDescent="0.2">
      <c r="J134" s="287"/>
      <c r="K134" s="86"/>
      <c r="S134" s="3" t="s">
        <v>190</v>
      </c>
      <c r="T134" s="3">
        <v>0.2</v>
      </c>
      <c r="W134" s="52"/>
      <c r="X134" s="52"/>
      <c r="Y134" s="52"/>
      <c r="Z134" s="52"/>
      <c r="AB134" s="3">
        <v>5.01</v>
      </c>
      <c r="AC134" s="190">
        <v>6.01</v>
      </c>
      <c r="AD134" s="191">
        <v>23</v>
      </c>
    </row>
    <row r="135" spans="10:30" ht="15.75" customHeight="1" x14ac:dyDescent="0.2">
      <c r="J135" s="287"/>
      <c r="K135" s="86"/>
      <c r="S135" s="244" t="s">
        <v>23</v>
      </c>
      <c r="T135" s="3">
        <v>0</v>
      </c>
      <c r="W135" s="52"/>
      <c r="X135" s="52"/>
      <c r="Y135" s="52"/>
      <c r="Z135" s="52"/>
      <c r="AB135" s="3">
        <v>6.01</v>
      </c>
      <c r="AC135" s="190">
        <v>7.01</v>
      </c>
      <c r="AD135" s="191">
        <v>28</v>
      </c>
    </row>
    <row r="136" spans="10:30" ht="15.75" customHeight="1" x14ac:dyDescent="0.2">
      <c r="J136" s="287"/>
      <c r="K136" s="86"/>
      <c r="W136" s="52"/>
      <c r="X136" s="52"/>
      <c r="Y136" s="52"/>
      <c r="Z136" s="52"/>
      <c r="AB136" s="3">
        <v>7.01</v>
      </c>
      <c r="AC136" s="190">
        <v>8.01</v>
      </c>
      <c r="AD136" s="191">
        <v>32</v>
      </c>
    </row>
    <row r="137" spans="10:30" ht="15.75" customHeight="1" thickBot="1" x14ac:dyDescent="0.25">
      <c r="J137" s="287"/>
      <c r="K137" s="86"/>
      <c r="W137" s="52"/>
      <c r="X137" s="52"/>
      <c r="Y137" s="52"/>
      <c r="Z137" s="52"/>
      <c r="AB137" s="3">
        <v>8.01</v>
      </c>
      <c r="AC137" s="190">
        <v>9.01</v>
      </c>
      <c r="AD137" s="191">
        <v>37</v>
      </c>
    </row>
    <row r="138" spans="10:30" ht="15.75" customHeight="1" thickBot="1" x14ac:dyDescent="0.25">
      <c r="J138" s="287"/>
      <c r="K138" s="86"/>
      <c r="L138" s="20" t="s">
        <v>43</v>
      </c>
      <c r="M138" s="106" t="s">
        <v>74</v>
      </c>
      <c r="N138" s="106"/>
      <c r="O138" s="106"/>
      <c r="P138" s="107"/>
      <c r="Q138" s="111"/>
      <c r="R138" s="111"/>
      <c r="S138" s="111"/>
      <c r="T138" s="111"/>
      <c r="U138" s="111"/>
      <c r="V138" s="111"/>
      <c r="W138" s="52"/>
      <c r="X138" s="52"/>
      <c r="Y138" s="52"/>
      <c r="Z138" s="52"/>
      <c r="AB138" s="3">
        <v>9.01</v>
      </c>
      <c r="AC138" s="190">
        <v>10.01</v>
      </c>
      <c r="AD138" s="191">
        <v>42</v>
      </c>
    </row>
    <row r="139" spans="10:30" ht="15.75" customHeight="1" x14ac:dyDescent="0.2">
      <c r="J139" s="287"/>
      <c r="L139" s="110"/>
      <c r="M139" s="111">
        <v>12</v>
      </c>
      <c r="N139" s="111" t="s">
        <v>44</v>
      </c>
      <c r="O139" s="111">
        <f>1000+500</f>
        <v>1500</v>
      </c>
      <c r="P139" s="115" t="s">
        <v>45</v>
      </c>
      <c r="Q139" s="111"/>
      <c r="R139" s="111"/>
      <c r="S139" s="111"/>
      <c r="T139" s="111"/>
      <c r="U139" s="111"/>
      <c r="V139" s="111"/>
      <c r="W139" s="52"/>
      <c r="X139" s="52"/>
      <c r="Y139" s="52"/>
      <c r="Z139" s="52"/>
      <c r="AB139" s="3">
        <v>10.01</v>
      </c>
      <c r="AC139" s="190">
        <v>11.01</v>
      </c>
      <c r="AD139" s="191">
        <v>46</v>
      </c>
    </row>
    <row r="140" spans="10:30" ht="15.75" customHeight="1" x14ac:dyDescent="0.2">
      <c r="J140" s="287"/>
      <c r="L140" s="110"/>
      <c r="M140" s="111">
        <v>24</v>
      </c>
      <c r="N140" s="111" t="s">
        <v>44</v>
      </c>
      <c r="O140" s="111">
        <f>2000+500</f>
        <v>2500</v>
      </c>
      <c r="P140" s="115" t="s">
        <v>45</v>
      </c>
      <c r="Q140" s="111"/>
      <c r="R140" s="111"/>
      <c r="S140" s="111"/>
      <c r="T140" s="111"/>
      <c r="U140" s="111"/>
      <c r="V140" s="111"/>
      <c r="W140" s="52"/>
      <c r="X140" s="52"/>
      <c r="Y140" s="52"/>
      <c r="Z140" s="52"/>
      <c r="AB140" s="3">
        <v>11.01</v>
      </c>
      <c r="AC140" s="190">
        <v>12.01</v>
      </c>
      <c r="AD140" s="191">
        <v>51</v>
      </c>
    </row>
    <row r="141" spans="10:30" ht="15.75" customHeight="1" x14ac:dyDescent="0.2">
      <c r="J141" s="287"/>
      <c r="L141" s="116"/>
      <c r="M141" s="111">
        <v>36</v>
      </c>
      <c r="N141" s="117" t="s">
        <v>44</v>
      </c>
      <c r="O141" s="117">
        <f>3000+500</f>
        <v>3500</v>
      </c>
      <c r="P141" s="118" t="s">
        <v>45</v>
      </c>
      <c r="Q141" s="117"/>
      <c r="R141" s="117"/>
      <c r="S141" s="117"/>
      <c r="T141" s="117"/>
      <c r="U141" s="117"/>
      <c r="V141" s="117"/>
      <c r="W141" s="52"/>
      <c r="X141" s="52"/>
      <c r="Y141" s="52"/>
      <c r="Z141" s="52"/>
      <c r="AB141" s="3">
        <v>12.01</v>
      </c>
      <c r="AC141" s="190">
        <v>13.01</v>
      </c>
      <c r="AD141" s="191">
        <v>56</v>
      </c>
    </row>
    <row r="142" spans="10:30" ht="15.75" customHeight="1" thickBot="1" x14ac:dyDescent="0.25">
      <c r="J142" s="287"/>
      <c r="L142" s="119"/>
      <c r="M142" s="122" t="s">
        <v>46</v>
      </c>
      <c r="N142" s="113" t="s">
        <v>44</v>
      </c>
      <c r="O142" s="113">
        <f>3500+500</f>
        <v>4000</v>
      </c>
      <c r="P142" s="120" t="s">
        <v>45</v>
      </c>
      <c r="Q142" s="117"/>
      <c r="R142" s="117"/>
      <c r="S142" s="117"/>
      <c r="T142" s="117"/>
      <c r="U142" s="117"/>
      <c r="V142" s="117"/>
      <c r="W142" s="52"/>
      <c r="X142" s="52"/>
      <c r="Y142" s="52"/>
      <c r="Z142" s="52"/>
    </row>
    <row r="143" spans="10:30" ht="15.75" customHeight="1" thickBot="1" x14ac:dyDescent="0.25">
      <c r="J143" s="287"/>
      <c r="R143" s="52"/>
      <c r="S143" s="52"/>
      <c r="T143" s="52"/>
      <c r="U143" s="52"/>
      <c r="V143" s="52"/>
      <c r="W143" s="52"/>
      <c r="X143" s="52"/>
      <c r="Y143" s="52"/>
      <c r="Z143" s="52"/>
      <c r="AA143" s="1"/>
    </row>
    <row r="144" spans="10:30" ht="15.75" customHeight="1" thickBot="1" x14ac:dyDescent="0.25">
      <c r="J144" s="287"/>
      <c r="L144" s="20" t="s">
        <v>48</v>
      </c>
      <c r="M144" s="106" t="s">
        <v>74</v>
      </c>
      <c r="N144" s="106"/>
      <c r="O144" s="106"/>
      <c r="P144" s="106"/>
      <c r="Q144" s="106"/>
      <c r="R144" s="52"/>
      <c r="S144" s="52"/>
      <c r="T144" s="52"/>
      <c r="U144" s="52"/>
      <c r="V144" s="52"/>
      <c r="W144" s="52"/>
      <c r="X144" s="111"/>
      <c r="Y144" s="111"/>
      <c r="Z144" s="52"/>
      <c r="AA144" s="1"/>
    </row>
    <row r="145" spans="10:27" ht="15.75" customHeight="1" x14ac:dyDescent="0.2">
      <c r="J145" s="287"/>
      <c r="L145" s="116"/>
      <c r="M145" s="111">
        <v>12</v>
      </c>
      <c r="N145" s="111" t="s">
        <v>44</v>
      </c>
      <c r="O145" s="111">
        <f>500+150</f>
        <v>650</v>
      </c>
      <c r="P145" s="111" t="s">
        <v>47</v>
      </c>
      <c r="Q145" s="115" t="s">
        <v>80</v>
      </c>
      <c r="R145" s="52"/>
      <c r="S145" s="52"/>
      <c r="T145" s="52"/>
      <c r="U145" s="52"/>
      <c r="V145" s="52"/>
      <c r="W145" s="52"/>
      <c r="X145" s="111"/>
      <c r="Y145" s="111"/>
      <c r="Z145" s="52"/>
      <c r="AA145" s="1"/>
    </row>
    <row r="146" spans="10:27" ht="15.75" customHeight="1" x14ac:dyDescent="0.2">
      <c r="J146" s="287"/>
      <c r="L146" s="116"/>
      <c r="M146" s="111">
        <v>24</v>
      </c>
      <c r="N146" s="111" t="s">
        <v>44</v>
      </c>
      <c r="O146" s="111">
        <f>450+150</f>
        <v>600</v>
      </c>
      <c r="P146" s="111" t="s">
        <v>47</v>
      </c>
      <c r="Q146" s="115" t="s">
        <v>81</v>
      </c>
      <c r="R146" s="52"/>
      <c r="S146" s="52"/>
      <c r="T146" s="52"/>
      <c r="U146" s="52"/>
      <c r="V146" s="52"/>
      <c r="W146" s="52"/>
      <c r="X146" s="111"/>
      <c r="Y146" s="111"/>
      <c r="Z146" s="52"/>
      <c r="AA146" s="1"/>
    </row>
    <row r="147" spans="10:27" ht="15.75" customHeight="1" x14ac:dyDescent="0.2">
      <c r="J147" s="287"/>
      <c r="L147" s="110"/>
      <c r="M147" s="111">
        <v>36</v>
      </c>
      <c r="N147" s="111" t="s">
        <v>44</v>
      </c>
      <c r="O147" s="111">
        <f>400+150</f>
        <v>550</v>
      </c>
      <c r="P147" s="111" t="s">
        <v>47</v>
      </c>
      <c r="Q147" s="115" t="s">
        <v>82</v>
      </c>
      <c r="R147" s="52"/>
      <c r="S147" s="52"/>
      <c r="T147" s="52"/>
      <c r="U147" s="52"/>
      <c r="V147" s="52"/>
      <c r="W147" s="52"/>
      <c r="X147" s="111"/>
      <c r="Y147" s="111"/>
      <c r="Z147" s="52"/>
      <c r="AA147" s="1"/>
    </row>
    <row r="148" spans="10:27" ht="15.75" customHeight="1" x14ac:dyDescent="0.2">
      <c r="J148" s="287"/>
      <c r="L148" s="110"/>
      <c r="M148" s="121" t="s">
        <v>46</v>
      </c>
      <c r="N148" s="111" t="s">
        <v>44</v>
      </c>
      <c r="O148" s="111">
        <f>400+150</f>
        <v>550</v>
      </c>
      <c r="P148" s="111" t="s">
        <v>47</v>
      </c>
      <c r="Q148" s="115" t="s">
        <v>102</v>
      </c>
      <c r="R148" s="52"/>
      <c r="S148" s="52"/>
      <c r="T148" s="52"/>
      <c r="U148" s="52"/>
      <c r="V148" s="52"/>
      <c r="W148" s="52"/>
      <c r="X148" s="111"/>
      <c r="Y148" s="111"/>
      <c r="Z148" s="52"/>
    </row>
    <row r="149" spans="10:27" ht="15.75" customHeight="1" thickBot="1" x14ac:dyDescent="0.25">
      <c r="J149" s="287"/>
      <c r="L149" s="119"/>
      <c r="M149" s="123" t="s">
        <v>101</v>
      </c>
      <c r="N149" s="113" t="s">
        <v>44</v>
      </c>
      <c r="O149" s="113">
        <f>500+150</f>
        <v>650</v>
      </c>
      <c r="P149" s="112" t="s">
        <v>47</v>
      </c>
      <c r="Q149" s="109" t="s">
        <v>103</v>
      </c>
      <c r="R149" s="52"/>
      <c r="S149" s="52"/>
      <c r="T149" s="52"/>
      <c r="U149" s="52"/>
      <c r="V149" s="52"/>
      <c r="W149" s="52"/>
      <c r="X149" s="111"/>
      <c r="Y149" s="111"/>
      <c r="Z149" s="52"/>
    </row>
    <row r="150" spans="10:27" ht="15.75" customHeight="1" thickBot="1" x14ac:dyDescent="0.25">
      <c r="J150" s="287"/>
      <c r="L150" s="20" t="s">
        <v>83</v>
      </c>
      <c r="M150" s="124">
        <v>0.03</v>
      </c>
      <c r="N150" s="106" t="s">
        <v>84</v>
      </c>
      <c r="O150" s="106" t="s">
        <v>85</v>
      </c>
      <c r="P150" s="106"/>
      <c r="Q150" s="106"/>
      <c r="R150" s="52"/>
      <c r="S150" s="52"/>
      <c r="T150" s="52"/>
      <c r="U150" s="52"/>
      <c r="V150" s="52"/>
      <c r="W150" s="52"/>
      <c r="X150" s="111"/>
      <c r="Y150" s="111"/>
      <c r="Z150" s="52"/>
    </row>
    <row r="151" spans="10:27" ht="15.75" customHeight="1" x14ac:dyDescent="0.2">
      <c r="J151" s="287"/>
      <c r="L151" s="110"/>
      <c r="M151" s="114">
        <v>0.05</v>
      </c>
      <c r="N151" s="111" t="s">
        <v>86</v>
      </c>
      <c r="O151" s="111" t="s">
        <v>87</v>
      </c>
      <c r="P151" s="111"/>
      <c r="Q151" s="111"/>
      <c r="R151" s="52"/>
      <c r="S151" s="52"/>
      <c r="T151" s="52"/>
      <c r="U151" s="52"/>
      <c r="V151" s="52"/>
      <c r="W151" s="52"/>
      <c r="X151" s="111"/>
      <c r="Y151" s="111"/>
      <c r="Z151" s="52"/>
    </row>
    <row r="152" spans="10:27" ht="15.75" customHeight="1" x14ac:dyDescent="0.2">
      <c r="J152" s="287"/>
      <c r="L152" s="110"/>
      <c r="M152" s="114">
        <v>0.08</v>
      </c>
      <c r="N152" s="111" t="s">
        <v>86</v>
      </c>
      <c r="O152" s="193" t="s">
        <v>88</v>
      </c>
      <c r="P152" s="193"/>
      <c r="Q152" s="193"/>
      <c r="R152" s="52"/>
      <c r="S152" s="52"/>
      <c r="T152" s="52"/>
      <c r="U152" s="52"/>
      <c r="V152" s="52"/>
      <c r="W152" s="52"/>
      <c r="X152" s="193"/>
      <c r="Y152" s="193"/>
      <c r="Z152" s="52"/>
    </row>
    <row r="153" spans="10:27" ht="15.75" customHeight="1" x14ac:dyDescent="0.2">
      <c r="J153" s="287"/>
      <c r="L153" s="110"/>
      <c r="M153" s="111"/>
      <c r="N153" s="111"/>
      <c r="O153" s="193"/>
      <c r="P153" s="193"/>
      <c r="Q153" s="193"/>
      <c r="R153" s="52"/>
      <c r="S153" s="52"/>
      <c r="T153" s="52"/>
      <c r="U153" s="52"/>
      <c r="V153" s="52"/>
      <c r="W153" s="52"/>
      <c r="X153" s="193"/>
      <c r="Y153" s="193"/>
      <c r="Z153" s="52"/>
    </row>
    <row r="154" spans="10:27" ht="15.75" customHeight="1" thickBot="1" x14ac:dyDescent="0.25">
      <c r="J154" s="287"/>
      <c r="L154" s="108"/>
      <c r="M154" s="112"/>
      <c r="N154" s="112"/>
      <c r="O154" s="194"/>
      <c r="P154" s="194"/>
      <c r="Q154" s="194"/>
      <c r="R154" s="52"/>
      <c r="S154" s="52"/>
      <c r="T154" s="52"/>
      <c r="U154" s="52"/>
      <c r="V154" s="52"/>
      <c r="W154" s="52"/>
      <c r="X154" s="193"/>
      <c r="Y154" s="193"/>
      <c r="Z154" s="52"/>
    </row>
    <row r="155" spans="10:27" ht="15.75" customHeight="1" x14ac:dyDescent="0.2">
      <c r="J155" s="287"/>
      <c r="R155" s="52"/>
      <c r="S155" s="52"/>
      <c r="T155" s="52"/>
      <c r="U155" s="52"/>
      <c r="V155" s="52"/>
      <c r="W155" s="52"/>
      <c r="Z155" s="52"/>
    </row>
    <row r="156" spans="10:27" ht="15.75" customHeight="1" x14ac:dyDescent="0.2">
      <c r="J156" s="287"/>
      <c r="Z156" s="52"/>
    </row>
    <row r="157" spans="10:27" ht="15.75" customHeight="1" x14ac:dyDescent="0.2">
      <c r="J157" s="287"/>
      <c r="L157" s="130" t="s">
        <v>146</v>
      </c>
      <c r="Z157" s="52"/>
      <c r="AA157" s="162" t="s">
        <v>21</v>
      </c>
    </row>
    <row r="158" spans="10:27" ht="15.75" customHeight="1" x14ac:dyDescent="0.2">
      <c r="J158" s="287"/>
      <c r="P158" s="1">
        <f>(N170+O170)*26%</f>
        <v>1885</v>
      </c>
      <c r="Z158" s="52"/>
      <c r="AA158" s="162" t="s">
        <v>22</v>
      </c>
    </row>
    <row r="159" spans="10:27" ht="15.75" customHeight="1" x14ac:dyDescent="0.2">
      <c r="J159" s="287"/>
      <c r="L159" s="1" t="s">
        <v>199</v>
      </c>
      <c r="Z159" s="52"/>
      <c r="AA159" s="162" t="s">
        <v>23</v>
      </c>
    </row>
    <row r="160" spans="10:27" ht="15.75" customHeight="1" x14ac:dyDescent="0.2">
      <c r="J160" s="287"/>
      <c r="L160" s="1" t="s">
        <v>127</v>
      </c>
      <c r="Z160" s="52"/>
    </row>
    <row r="161" spans="10:27" ht="15.75" customHeight="1" x14ac:dyDescent="0.2">
      <c r="J161" s="287"/>
      <c r="Z161" s="52"/>
    </row>
    <row r="162" spans="10:27" ht="15.75" customHeight="1" x14ac:dyDescent="0.2">
      <c r="J162" s="287"/>
      <c r="L162" s="1" t="s">
        <v>203</v>
      </c>
      <c r="Z162" s="52"/>
    </row>
    <row r="163" spans="10:27" ht="15.75" customHeight="1" x14ac:dyDescent="0.2">
      <c r="J163" s="287"/>
      <c r="L163" s="1" t="s">
        <v>204</v>
      </c>
      <c r="Z163" s="52"/>
      <c r="AA163" s="162" t="s">
        <v>26</v>
      </c>
    </row>
    <row r="164" spans="10:27" ht="15.75" customHeight="1" x14ac:dyDescent="0.2">
      <c r="J164" s="287"/>
      <c r="L164" s="1" t="s">
        <v>202</v>
      </c>
      <c r="Z164" s="52"/>
      <c r="AA164" s="162" t="s">
        <v>27</v>
      </c>
    </row>
    <row r="165" spans="10:27" ht="15.75" customHeight="1" x14ac:dyDescent="0.2">
      <c r="J165" s="287"/>
      <c r="L165" s="1" t="s">
        <v>23</v>
      </c>
      <c r="Z165" s="52"/>
      <c r="AA165" s="162" t="s">
        <v>23</v>
      </c>
    </row>
    <row r="166" spans="10:27" ht="15.75" customHeight="1" x14ac:dyDescent="0.2">
      <c r="J166" s="287"/>
      <c r="Z166" s="52"/>
    </row>
    <row r="167" spans="10:27" ht="15.75" customHeight="1" x14ac:dyDescent="0.2">
      <c r="J167" s="287"/>
      <c r="R167" s="1" t="b">
        <f>IF(AND(C57=L162,E57=L159,F57&gt;550.01,F57&lt;750),L171)</f>
        <v>0</v>
      </c>
      <c r="Z167" s="52"/>
    </row>
    <row r="168" spans="10:27" ht="15.75" customHeight="1" thickBot="1" x14ac:dyDescent="0.25">
      <c r="J168" s="287"/>
      <c r="Z168" s="52"/>
    </row>
    <row r="169" spans="10:27" ht="15.75" customHeight="1" thickBot="1" x14ac:dyDescent="0.25">
      <c r="J169" s="287"/>
      <c r="K169" s="284" t="s">
        <v>207</v>
      </c>
      <c r="L169" s="268" t="s">
        <v>111</v>
      </c>
      <c r="M169" s="177"/>
      <c r="N169" s="178" t="s">
        <v>116</v>
      </c>
      <c r="O169" s="178" t="s">
        <v>33</v>
      </c>
      <c r="P169" s="178" t="s">
        <v>117</v>
      </c>
      <c r="Q169" s="178" t="s">
        <v>118</v>
      </c>
      <c r="R169" s="281" t="s">
        <v>0</v>
      </c>
      <c r="Y169" s="196"/>
      <c r="Z169" s="196"/>
    </row>
    <row r="170" spans="10:27" ht="15.75" customHeight="1" x14ac:dyDescent="0.2">
      <c r="J170" s="287"/>
      <c r="K170" s="285">
        <v>600</v>
      </c>
      <c r="L170" s="174" t="s">
        <v>112</v>
      </c>
      <c r="M170" s="179">
        <v>100</v>
      </c>
      <c r="N170" s="179">
        <f t="shared" ref="N170:N175" si="9">M170*C$19</f>
        <v>6500</v>
      </c>
      <c r="O170" s="179">
        <v>750</v>
      </c>
      <c r="P170" s="179">
        <v>1522.5</v>
      </c>
      <c r="Q170" s="180">
        <v>6773</v>
      </c>
      <c r="R170" s="179">
        <v>0.4</v>
      </c>
      <c r="S170" s="1">
        <v>0</v>
      </c>
      <c r="T170" s="1">
        <v>550</v>
      </c>
      <c r="Y170" s="179"/>
      <c r="Z170" s="179"/>
    </row>
    <row r="171" spans="10:27" ht="15.75" customHeight="1" x14ac:dyDescent="0.2">
      <c r="J171" s="287"/>
      <c r="K171" s="285">
        <v>800</v>
      </c>
      <c r="L171" s="174" t="s">
        <v>113</v>
      </c>
      <c r="M171" s="179">
        <v>140</v>
      </c>
      <c r="N171" s="179">
        <f t="shared" si="9"/>
        <v>9100</v>
      </c>
      <c r="O171" s="179">
        <v>1000</v>
      </c>
      <c r="P171" s="179">
        <v>2117</v>
      </c>
      <c r="Q171" s="180">
        <v>9417</v>
      </c>
      <c r="R171" s="179">
        <v>0.4</v>
      </c>
      <c r="S171" s="1">
        <v>550.01</v>
      </c>
      <c r="T171" s="1">
        <v>750</v>
      </c>
      <c r="Y171" s="179"/>
      <c r="Z171" s="179"/>
    </row>
    <row r="172" spans="10:27" ht="15.75" customHeight="1" x14ac:dyDescent="0.2">
      <c r="J172" s="287"/>
      <c r="K172" s="285">
        <v>1000</v>
      </c>
      <c r="L172" s="174" t="s">
        <v>114</v>
      </c>
      <c r="M172" s="179">
        <v>160</v>
      </c>
      <c r="N172" s="179">
        <f t="shared" si="9"/>
        <v>10400</v>
      </c>
      <c r="O172" s="179">
        <v>1000</v>
      </c>
      <c r="P172" s="179">
        <v>2378</v>
      </c>
      <c r="Q172" s="180">
        <v>10578</v>
      </c>
      <c r="R172" s="179">
        <v>0.4</v>
      </c>
      <c r="S172" s="1">
        <v>750.01</v>
      </c>
      <c r="T172" s="1">
        <v>950</v>
      </c>
      <c r="Y172" s="179"/>
      <c r="Z172" s="179"/>
    </row>
    <row r="173" spans="10:27" ht="15.75" customHeight="1" x14ac:dyDescent="0.2">
      <c r="J173" s="287"/>
      <c r="K173" s="285">
        <v>1300</v>
      </c>
      <c r="L173" s="174" t="s">
        <v>115</v>
      </c>
      <c r="M173" s="179">
        <v>227.5</v>
      </c>
      <c r="N173" s="179">
        <f t="shared" si="9"/>
        <v>14787.5</v>
      </c>
      <c r="O173" s="179">
        <v>1200</v>
      </c>
      <c r="P173" s="179">
        <v>3316.8749999999995</v>
      </c>
      <c r="Q173" s="180">
        <v>14755</v>
      </c>
      <c r="R173" s="179">
        <v>0.4</v>
      </c>
      <c r="S173" s="179">
        <v>950.01</v>
      </c>
      <c r="T173" s="179">
        <v>1250</v>
      </c>
      <c r="U173" s="179"/>
      <c r="V173" s="179"/>
      <c r="W173" s="179"/>
      <c r="Y173" s="179"/>
      <c r="Z173" s="179"/>
    </row>
    <row r="174" spans="10:27" ht="15.75" customHeight="1" x14ac:dyDescent="0.2">
      <c r="J174" s="287"/>
      <c r="K174" s="285">
        <v>1500</v>
      </c>
      <c r="L174" s="174" t="s">
        <v>119</v>
      </c>
      <c r="M174" s="179">
        <v>277.5</v>
      </c>
      <c r="N174" s="179">
        <f t="shared" si="9"/>
        <v>18037.5</v>
      </c>
      <c r="O174" s="179">
        <v>1500</v>
      </c>
      <c r="P174" s="179">
        <v>4056.3749999999995</v>
      </c>
      <c r="Q174" s="180">
        <v>18044</v>
      </c>
      <c r="R174" s="179">
        <v>0.4</v>
      </c>
      <c r="S174" s="179">
        <v>1250.0999999999999</v>
      </c>
      <c r="T174" s="179">
        <v>1450</v>
      </c>
      <c r="U174" s="179"/>
      <c r="V174" s="179"/>
      <c r="W174" s="179"/>
      <c r="Y174" s="179"/>
      <c r="Z174" s="179"/>
    </row>
    <row r="175" spans="10:27" ht="15.75" customHeight="1" x14ac:dyDescent="0.2">
      <c r="J175" s="287"/>
      <c r="K175" s="285">
        <v>2000</v>
      </c>
      <c r="L175" s="174" t="s">
        <v>153</v>
      </c>
      <c r="M175" s="179">
        <v>1114</v>
      </c>
      <c r="N175" s="179">
        <f t="shared" si="9"/>
        <v>72410</v>
      </c>
      <c r="O175" s="179">
        <v>4000</v>
      </c>
      <c r="P175" s="179">
        <v>15697.699999999999</v>
      </c>
      <c r="Q175" s="180">
        <v>73828</v>
      </c>
      <c r="R175" s="179">
        <v>0.8</v>
      </c>
      <c r="S175" s="179">
        <v>1450.1</v>
      </c>
      <c r="T175" s="179">
        <v>2000</v>
      </c>
      <c r="U175" s="179"/>
      <c r="V175" s="179"/>
      <c r="W175" s="179"/>
      <c r="Y175" s="179"/>
      <c r="Z175" s="179"/>
    </row>
    <row r="176" spans="10:27" ht="15.75" customHeight="1" x14ac:dyDescent="0.2">
      <c r="J176" s="287"/>
      <c r="K176" s="285">
        <v>3000</v>
      </c>
      <c r="L176" s="174" t="s">
        <v>206</v>
      </c>
      <c r="M176" s="179"/>
      <c r="N176" s="179"/>
      <c r="O176" s="179"/>
      <c r="P176" s="179"/>
      <c r="Q176" s="180">
        <v>115000</v>
      </c>
      <c r="R176" s="179">
        <v>0.8</v>
      </c>
      <c r="S176" s="179">
        <v>2000.01</v>
      </c>
      <c r="T176" s="179">
        <v>3000</v>
      </c>
      <c r="U176" s="179"/>
      <c r="V176" s="179"/>
      <c r="W176" s="179"/>
      <c r="Y176" s="179"/>
      <c r="Z176" s="179"/>
    </row>
    <row r="177" spans="10:27" ht="15.75" customHeight="1" x14ac:dyDescent="0.2">
      <c r="J177" s="287"/>
      <c r="K177" s="285">
        <v>170</v>
      </c>
      <c r="L177" s="174" t="s">
        <v>104</v>
      </c>
      <c r="M177" s="179">
        <f>23047+4904</f>
        <v>27951</v>
      </c>
      <c r="N177" s="179"/>
      <c r="O177" s="179">
        <v>1868.65</v>
      </c>
      <c r="P177" s="179"/>
      <c r="Q177" s="180">
        <v>28563.65</v>
      </c>
      <c r="R177" s="179">
        <v>0.8</v>
      </c>
      <c r="S177" s="179">
        <v>0</v>
      </c>
      <c r="T177" s="179">
        <v>150</v>
      </c>
      <c r="U177" s="174"/>
      <c r="V177" s="174"/>
      <c r="W177" s="174"/>
      <c r="Y177" s="179"/>
      <c r="Z177" s="179"/>
    </row>
    <row r="178" spans="10:27" ht="15.75" customHeight="1" x14ac:dyDescent="0.2">
      <c r="J178" s="287"/>
      <c r="K178" s="285">
        <v>250</v>
      </c>
      <c r="L178" s="174" t="s">
        <v>105</v>
      </c>
      <c r="M178" s="179">
        <f>24280+4904</f>
        <v>29184</v>
      </c>
      <c r="N178" s="179"/>
      <c r="O178" s="179">
        <v>1951.0400000000002</v>
      </c>
      <c r="P178" s="174"/>
      <c r="Q178" s="180">
        <v>29823.040000000001</v>
      </c>
      <c r="R178" s="179">
        <v>0.8</v>
      </c>
      <c r="S178" s="174">
        <v>150.01</v>
      </c>
      <c r="T178" s="174">
        <v>230</v>
      </c>
      <c r="U178" s="174"/>
      <c r="V178" s="174"/>
      <c r="W178" s="174"/>
      <c r="Y178" s="179"/>
      <c r="Z178" s="179"/>
      <c r="AA178" s="162">
        <f>+IF(AND(C9&gt;AB131,C9&lt;=AC131,C42=O11),AD131)+IF(AND(C9&gt;AB132,C9&lt;=AC132,C42=O11),AD132)+IF(AND(C9&gt;AB133,C9&lt;=AC133,C42=O11),AD133)+IF(AND(C9&gt;AB134,C9&lt;=AC134,C42=O11),AD134)+IF(AND(C9&gt;AB135,C9&lt;=AC135,C42=O11),AD135)+IF(AND(C9&gt;AB136,C9&lt;=AC136,C42=O11),AD136)+IF(AND(C9&gt;AB137,C9&lt;=AC137,C42=O11),AD137)+IF(AND(C9&gt;AB138,C9&lt;=AC138,C42=O11),AD138)+IF(AND(C9&gt;AB139,C9&lt;=AC139,C42=O11),AD139)+IF(AND(C9&gt;AB140,C9&lt;=AC140,C42=O11),AD140)+IF(AND(C9&gt;AB141,C9&lt;=AC141,C42=O11),AD141)</f>
        <v>9</v>
      </c>
    </row>
    <row r="179" spans="10:27" ht="15.75" customHeight="1" x14ac:dyDescent="0.2">
      <c r="J179" s="287"/>
      <c r="K179" s="285">
        <v>350</v>
      </c>
      <c r="L179" s="174" t="s">
        <v>106</v>
      </c>
      <c r="M179" s="179">
        <f>28694+4904</f>
        <v>33598</v>
      </c>
      <c r="N179" s="179"/>
      <c r="O179" s="179">
        <v>2246.1600000000003</v>
      </c>
      <c r="P179" s="174"/>
      <c r="Q179" s="180">
        <v>34334.160000000003</v>
      </c>
      <c r="R179" s="179">
        <v>0.8</v>
      </c>
      <c r="S179" s="174">
        <v>230.01</v>
      </c>
      <c r="T179" s="174">
        <v>325</v>
      </c>
      <c r="U179" s="174"/>
      <c r="V179" s="174"/>
      <c r="W179" s="174"/>
      <c r="Y179" s="179"/>
      <c r="Z179" s="179"/>
    </row>
    <row r="180" spans="10:27" ht="15.75" customHeight="1" x14ac:dyDescent="0.2">
      <c r="J180" s="287"/>
      <c r="K180" s="285">
        <v>500</v>
      </c>
      <c r="L180" s="174" t="s">
        <v>109</v>
      </c>
      <c r="M180" s="179">
        <f>37523+4904</f>
        <v>42427</v>
      </c>
      <c r="N180" s="179"/>
      <c r="O180" s="179">
        <v>2836.4</v>
      </c>
      <c r="P180" s="174"/>
      <c r="Q180" s="180">
        <v>43356.4</v>
      </c>
      <c r="R180" s="179">
        <v>0.8</v>
      </c>
      <c r="S180" s="174">
        <v>325.01</v>
      </c>
      <c r="T180" s="174">
        <v>475</v>
      </c>
      <c r="U180" s="174"/>
      <c r="V180" s="174"/>
      <c r="W180" s="174"/>
      <c r="Y180" s="179"/>
      <c r="Z180" s="179"/>
    </row>
    <row r="181" spans="10:27" ht="15.75" customHeight="1" x14ac:dyDescent="0.2">
      <c r="J181" s="287"/>
      <c r="K181" s="285">
        <v>750</v>
      </c>
      <c r="L181" s="174" t="s">
        <v>110</v>
      </c>
      <c r="M181" s="179">
        <f>40221+4904</f>
        <v>45125</v>
      </c>
      <c r="N181" s="179"/>
      <c r="O181" s="179">
        <v>3016.7900000000004</v>
      </c>
      <c r="P181" s="174"/>
      <c r="Q181" s="180">
        <v>46113.79</v>
      </c>
      <c r="R181" s="179">
        <v>0.8</v>
      </c>
      <c r="S181" s="174">
        <v>475.01</v>
      </c>
      <c r="T181" s="174">
        <v>725</v>
      </c>
      <c r="V181" s="162"/>
    </row>
    <row r="182" spans="10:27" ht="15.75" customHeight="1" x14ac:dyDescent="0.2">
      <c r="J182" s="287"/>
      <c r="K182" s="285">
        <v>15001</v>
      </c>
      <c r="L182" s="174" t="s">
        <v>151</v>
      </c>
      <c r="M182" s="174">
        <f>42015+4038+15606</f>
        <v>61659</v>
      </c>
      <c r="N182" s="174"/>
      <c r="O182" s="174"/>
      <c r="P182" s="174"/>
      <c r="Q182" s="175">
        <f>M182</f>
        <v>61659</v>
      </c>
      <c r="R182" s="174">
        <v>0.8</v>
      </c>
      <c r="S182" s="174">
        <v>725.01</v>
      </c>
      <c r="T182" s="174">
        <v>1400</v>
      </c>
      <c r="V182" s="162"/>
    </row>
    <row r="183" spans="10:27" ht="15.75" customHeight="1" x14ac:dyDescent="0.2">
      <c r="J183" s="287"/>
      <c r="K183" s="285">
        <v>22001</v>
      </c>
      <c r="L183" s="176" t="s">
        <v>152</v>
      </c>
      <c r="M183" s="176">
        <f>43040+4038+15606</f>
        <v>62684</v>
      </c>
      <c r="N183" s="174"/>
      <c r="O183" s="174"/>
      <c r="P183" s="174"/>
      <c r="Q183" s="175">
        <f>M183</f>
        <v>62684</v>
      </c>
      <c r="R183" s="174">
        <v>0.8</v>
      </c>
      <c r="S183" s="174">
        <v>1401</v>
      </c>
      <c r="T183" s="174">
        <v>2200</v>
      </c>
      <c r="V183" s="162"/>
    </row>
    <row r="184" spans="10:27" ht="15.75" customHeight="1" x14ac:dyDescent="0.2">
      <c r="J184" s="287"/>
      <c r="K184" s="285"/>
      <c r="L184" s="174" t="s">
        <v>108</v>
      </c>
      <c r="M184" s="179">
        <v>8500</v>
      </c>
      <c r="N184" s="174"/>
      <c r="O184" s="174"/>
      <c r="P184" s="174"/>
      <c r="Q184" s="175"/>
      <c r="R184" s="174"/>
      <c r="S184" s="174"/>
      <c r="T184" s="174"/>
      <c r="V184" s="162"/>
    </row>
    <row r="185" spans="10:27" ht="15.75" customHeight="1" x14ac:dyDescent="0.2">
      <c r="J185" s="287"/>
      <c r="K185" s="285"/>
      <c r="L185" s="174" t="s">
        <v>107</v>
      </c>
      <c r="M185" s="179">
        <v>6500</v>
      </c>
      <c r="N185" s="174"/>
      <c r="O185" s="174"/>
      <c r="P185" s="174"/>
      <c r="Q185" s="175"/>
      <c r="R185" s="174"/>
      <c r="S185" s="174"/>
      <c r="T185" s="174"/>
      <c r="V185" s="162"/>
    </row>
    <row r="186" spans="10:27" ht="15.75" customHeight="1" x14ac:dyDescent="0.2">
      <c r="J186" s="287"/>
      <c r="K186" s="285"/>
      <c r="L186" s="174" t="s">
        <v>23</v>
      </c>
      <c r="M186" s="174"/>
      <c r="N186" s="174"/>
      <c r="O186" s="174"/>
      <c r="P186" s="174"/>
      <c r="Q186" s="175"/>
      <c r="R186" s="174"/>
      <c r="S186" s="174"/>
      <c r="T186" s="174"/>
      <c r="V186" s="162"/>
    </row>
    <row r="187" spans="10:27" ht="15.75" customHeight="1" x14ac:dyDescent="0.2">
      <c r="J187" s="287"/>
      <c r="K187" s="285"/>
      <c r="L187" s="174" t="s">
        <v>154</v>
      </c>
      <c r="M187" s="174">
        <f>35125+4370</f>
        <v>39495</v>
      </c>
      <c r="N187" s="174"/>
      <c r="O187" s="174"/>
      <c r="P187" s="174"/>
      <c r="Q187" s="175"/>
      <c r="R187" s="174"/>
      <c r="S187" s="174"/>
      <c r="T187" s="174"/>
      <c r="V187" s="162"/>
    </row>
    <row r="188" spans="10:27" ht="15.75" customHeight="1" x14ac:dyDescent="0.2">
      <c r="J188" s="287"/>
      <c r="K188" s="285"/>
      <c r="L188" s="174" t="s">
        <v>155</v>
      </c>
      <c r="M188" s="174">
        <f>57874+4402</f>
        <v>62276</v>
      </c>
      <c r="N188" s="174"/>
      <c r="O188" s="174"/>
      <c r="P188" s="174"/>
      <c r="Q188" s="175"/>
      <c r="R188" s="174"/>
      <c r="S188" s="174"/>
      <c r="T188" s="174"/>
      <c r="V188" s="162"/>
    </row>
    <row r="189" spans="10:27" ht="15.75" customHeight="1" x14ac:dyDescent="0.2">
      <c r="J189" s="287"/>
      <c r="K189" s="285"/>
      <c r="L189" s="174" t="s">
        <v>156</v>
      </c>
      <c r="M189" s="174">
        <f>76475+9318</f>
        <v>85793</v>
      </c>
      <c r="N189" s="174"/>
      <c r="O189" s="174"/>
      <c r="P189" s="174"/>
      <c r="Q189" s="175"/>
      <c r="R189" s="174"/>
      <c r="S189" s="174"/>
      <c r="T189" s="174"/>
      <c r="V189" s="162"/>
    </row>
    <row r="190" spans="10:27" ht="15.75" customHeight="1" thickBot="1" x14ac:dyDescent="0.25">
      <c r="J190" s="287"/>
      <c r="K190" s="285"/>
      <c r="L190" s="181" t="s">
        <v>23</v>
      </c>
      <c r="M190" s="181"/>
      <c r="N190" s="181"/>
      <c r="O190" s="181"/>
      <c r="P190" s="181"/>
      <c r="Q190" s="182"/>
      <c r="R190" s="174"/>
      <c r="S190" s="174"/>
      <c r="T190" s="174"/>
      <c r="V190" s="162"/>
    </row>
    <row r="191" spans="10:27" ht="15.75" customHeight="1" thickBot="1" x14ac:dyDescent="0.25">
      <c r="J191" s="287"/>
      <c r="K191" s="285"/>
      <c r="L191" s="266" t="s">
        <v>157</v>
      </c>
      <c r="M191" s="183">
        <v>22874</v>
      </c>
      <c r="N191" s="184"/>
      <c r="O191" s="183">
        <v>1601.18</v>
      </c>
      <c r="P191" s="184"/>
      <c r="Q191" s="185">
        <v>24475.18</v>
      </c>
      <c r="R191" s="179"/>
      <c r="S191" s="179"/>
      <c r="T191" s="179"/>
      <c r="Z191" s="162"/>
    </row>
    <row r="192" spans="10:27" ht="15.75" customHeight="1" x14ac:dyDescent="0.2">
      <c r="J192" s="287"/>
    </row>
    <row r="193" spans="10:28" ht="15.75" customHeight="1" x14ac:dyDescent="0.2">
      <c r="J193" s="287"/>
    </row>
    <row r="194" spans="10:28" ht="15.75" customHeight="1" x14ac:dyDescent="0.2">
      <c r="J194" s="287"/>
      <c r="AA194" s="52"/>
      <c r="AB194" s="162"/>
    </row>
    <row r="195" spans="10:28" ht="15.75" customHeight="1" x14ac:dyDescent="0.2">
      <c r="J195" s="287"/>
      <c r="AA195" s="52"/>
      <c r="AB195" s="162"/>
    </row>
    <row r="196" spans="10:28" ht="15.75" customHeight="1" x14ac:dyDescent="0.2">
      <c r="J196" s="287"/>
      <c r="AA196" s="52"/>
      <c r="AB196" s="162"/>
    </row>
    <row r="197" spans="10:28" ht="15.75" customHeight="1" x14ac:dyDescent="0.2">
      <c r="AA197" s="52"/>
      <c r="AB197" s="162"/>
    </row>
    <row r="198" spans="10:28" ht="15.75" customHeight="1" x14ac:dyDescent="0.2">
      <c r="AA198" s="52"/>
      <c r="AB198" s="162"/>
    </row>
    <row r="199" spans="10:28" ht="15.75" customHeight="1" x14ac:dyDescent="0.2">
      <c r="AA199" s="1"/>
      <c r="AB199" s="162"/>
    </row>
    <row r="200" spans="10:28" ht="15.75" customHeight="1" x14ac:dyDescent="0.2">
      <c r="AA200" s="1"/>
      <c r="AB200" s="162"/>
    </row>
    <row r="201" spans="10:28" ht="15.75" customHeight="1" x14ac:dyDescent="0.2">
      <c r="AA201" s="1"/>
      <c r="AB201" s="162"/>
    </row>
    <row r="202" spans="10:28" ht="15.75" customHeight="1" x14ac:dyDescent="0.2">
      <c r="AA202" s="1"/>
      <c r="AB202" s="162"/>
    </row>
    <row r="203" spans="10:28" ht="15.75" customHeight="1" x14ac:dyDescent="0.2">
      <c r="AA203" s="1"/>
      <c r="AB203" s="162"/>
    </row>
    <row r="204" spans="10:28" ht="15.75" customHeight="1" x14ac:dyDescent="0.2">
      <c r="AA204" s="1"/>
      <c r="AB204" s="162"/>
    </row>
    <row r="205" spans="10:28" ht="15.75" customHeight="1" x14ac:dyDescent="0.2">
      <c r="AA205" s="1"/>
      <c r="AB205" s="162"/>
    </row>
    <row r="206" spans="10:28" ht="15.75" customHeight="1" x14ac:dyDescent="0.2">
      <c r="AA206" s="1"/>
    </row>
    <row r="207" spans="10:28" ht="15.75" customHeight="1" x14ac:dyDescent="0.2">
      <c r="AA207" s="1"/>
    </row>
    <row r="208" spans="10:28" ht="15.75" customHeight="1" x14ac:dyDescent="0.2">
      <c r="AA208" s="1"/>
    </row>
    <row r="209" spans="27:27" ht="15.75" customHeight="1" x14ac:dyDescent="0.2">
      <c r="AA209" s="1"/>
    </row>
    <row r="210" spans="27:27" ht="15.75" customHeight="1" x14ac:dyDescent="0.2">
      <c r="AA210" s="1"/>
    </row>
    <row r="211" spans="27:27" ht="15.75" customHeight="1" x14ac:dyDescent="0.2">
      <c r="AA211" s="1"/>
    </row>
    <row r="212" spans="27:27" ht="15.75" customHeight="1" x14ac:dyDescent="0.2">
      <c r="AA212" s="1"/>
    </row>
    <row r="213" spans="27:27" ht="15.75" customHeight="1" x14ac:dyDescent="0.2">
      <c r="AA213" s="1"/>
    </row>
    <row r="214" spans="27:27" ht="15.75" customHeight="1" x14ac:dyDescent="0.2">
      <c r="AA214" s="1"/>
    </row>
    <row r="215" spans="27:27" ht="15.75" customHeight="1" x14ac:dyDescent="0.2">
      <c r="AA215" s="1"/>
    </row>
    <row r="216" spans="27:27" ht="15.75" customHeight="1" x14ac:dyDescent="0.2">
      <c r="AA216" s="1"/>
    </row>
  </sheetData>
  <sheetProtection formatCells="0" formatColumns="0" formatRows="0" insertColumns="0" insertRows="0" insertHyperlinks="0" deleteColumns="0" deleteRows="0" sort="0" autoFilter="0" pivotTables="0"/>
  <mergeCells count="14">
    <mergeCell ref="N121:O121"/>
    <mergeCell ref="L4:N4"/>
    <mergeCell ref="N38:U38"/>
    <mergeCell ref="P121:Q121"/>
    <mergeCell ref="N31:U31"/>
    <mergeCell ref="N45:U45"/>
    <mergeCell ref="R99:S99"/>
    <mergeCell ref="O52:R52"/>
    <mergeCell ref="L75:L76"/>
    <mergeCell ref="V52:Z52"/>
    <mergeCell ref="B2:C2"/>
    <mergeCell ref="B3:C3"/>
    <mergeCell ref="B22:C22"/>
    <mergeCell ref="D4:H4"/>
  </mergeCells>
  <phoneticPr fontId="5" type="noConversion"/>
  <conditionalFormatting sqref="D26">
    <cfRule type="expression" dxfId="4" priority="1" stopIfTrue="1">
      <formula>$D$26=0</formula>
    </cfRule>
  </conditionalFormatting>
  <dataValidations count="32">
    <dataValidation type="list" allowBlank="1" showInputMessage="1" showErrorMessage="1" sqref="D85">
      <formula1>$S$131:$S$135</formula1>
    </dataValidation>
    <dataValidation allowBlank="1" showInputMessage="1" showErrorMessage="1" promptTitle="Enter Reason" prompt="Enter Reason for increase in rates per No" sqref="C62"/>
    <dataValidation allowBlank="1" showInputMessage="1" showErrorMessage="1" promptTitle="Enter Rates per No." prompt="Enter rates per No_x000a_" sqref="F62"/>
    <dataValidation allowBlank="1" showErrorMessage="1" promptTitle="Enter Reason" prompt="Enter Reason for increase in rates per No" sqref="C61"/>
    <dataValidation type="list" allowBlank="1" showInputMessage="1" showErrorMessage="1" sqref="C59 C46">
      <formula1>$AA$31:$AA$34</formula1>
    </dataValidation>
    <dataValidation allowBlank="1" showInputMessage="1" showErrorMessage="1" promptTitle="Enter Rates per Sqm" prompt="Enter rates per No_x000a_" sqref="F46"/>
    <dataValidation allowBlank="1" showInputMessage="1" showErrorMessage="1" promptTitle="Enter Rates per Sqm" prompt="Enter rates per Sqm_x000a_" sqref="D43"/>
    <dataValidation allowBlank="1" showInputMessage="1" showErrorMessage="1" promptTitle="Enter Value" prompt="Enter Reason for increase in rates per No" sqref="C43"/>
    <dataValidation allowBlank="1" showErrorMessage="1" sqref="C44:D44"/>
    <dataValidation type="list" allowBlank="1" showInputMessage="1" showErrorMessage="1" sqref="D41">
      <formula1>$R$100:$R$102</formula1>
    </dataValidation>
    <dataValidation type="list" allowBlank="1" showInputMessage="1" showErrorMessage="1" sqref="C41:C42">
      <formula1>$AA$99:$AA$100</formula1>
    </dataValidation>
    <dataValidation allowBlank="1" showInputMessage="1" showErrorMessage="1" promptTitle="Enter Value" prompt="Enter height_x000a_" sqref="E39"/>
    <dataValidation allowBlank="1" showInputMessage="1" showErrorMessage="1" promptTitle="Enter Value" prompt="Enter The height" sqref="E38"/>
    <dataValidation type="list" allowBlank="1" showInputMessage="1" showErrorMessage="1" sqref="C40">
      <formula1>$AA$95:$AA$97</formula1>
    </dataValidation>
    <dataValidation type="list" allowBlank="1" showInputMessage="1" showErrorMessage="1" sqref="C39">
      <formula1>$AA$91:$AA$93</formula1>
    </dataValidation>
    <dataValidation type="list" allowBlank="1" showInputMessage="1" showErrorMessage="1" sqref="C38">
      <formula1>$AA$87:$AA$89</formula1>
    </dataValidation>
    <dataValidation allowBlank="1" showErrorMessage="1" promptTitle="Pipe Thickness" prompt="Pipe Thickness" sqref="E26"/>
    <dataValidation allowBlank="1" showInputMessage="1" showErrorMessage="1" promptTitle="Unit" prompt="In MM_x000a_" sqref="C24"/>
    <dataValidation allowBlank="1" showErrorMessage="1" promptTitle="Height" prompt="Enter the Height _x000a_" sqref="F24 F27:F28"/>
    <dataValidation allowBlank="1" showInputMessage="1" showErrorMessage="1" promptTitle="Pipe Thickness" prompt="Pipe Thickness" sqref="D26"/>
    <dataValidation type="list" allowBlank="1" showInputMessage="1" showErrorMessage="1" sqref="B28">
      <formula1>$Q$87:$R$87</formula1>
    </dataValidation>
    <dataValidation type="list" allowBlank="1" showInputMessage="1" showErrorMessage="1" sqref="B30">
      <formula1>$N$122:$O$122</formula1>
    </dataValidation>
    <dataValidation type="list" allowBlank="1" showInputMessage="1" showErrorMessage="1" sqref="E57">
      <formula1>$L$159:$L$160</formula1>
    </dataValidation>
    <dataValidation type="list" allowBlank="1" showInputMessage="1" showErrorMessage="1" sqref="C57">
      <formula1>$L$162:$L$165</formula1>
    </dataValidation>
    <dataValidation type="list" allowBlank="1" showInputMessage="1" showErrorMessage="1" sqref="E73:E81">
      <formula1>$O$11:$O$14</formula1>
    </dataValidation>
    <dataValidation type="list" allowBlank="1" showInputMessage="1" showErrorMessage="1" sqref="C16">
      <formula1>$M$11:$M$17</formula1>
    </dataValidation>
    <dataValidation type="list" allowBlank="1" showErrorMessage="1" errorTitle="Too Long" error="The height of the shutter is too long_x000a_" sqref="C15">
      <formula1>$N$11:$N$22</formula1>
    </dataValidation>
    <dataValidation allowBlank="1" showErrorMessage="1" errorTitle="Too Long" error="The length of the shutter is too long_x000a_" sqref="C9"/>
    <dataValidation allowBlank="1" showErrorMessage="1" errorTitle="Too Long" error="The height of the shutter is too long_x000a_" sqref="C10"/>
    <dataValidation type="list" allowBlank="1" showInputMessage="1" showErrorMessage="1" sqref="C8">
      <formula1>$L$6:$L$8</formula1>
    </dataValidation>
    <dataValidation type="list" allowBlank="1" showErrorMessage="1" errorTitle="Too Long" error="The height of the shutter is too long_x000a_" sqref="C14">
      <formula1>$L$11:$L$14</formula1>
    </dataValidation>
    <dataValidation type="list" allowBlank="1" showInputMessage="1" showErrorMessage="1" sqref="B24">
      <formula1>$P$53:$R$53</formula1>
    </dataValidation>
  </dataValidations>
  <pageMargins left="0.96" right="0.15" top="0.16" bottom="0.16" header="0.16" footer="0.18"/>
  <pageSetup scale="65" orientation="landscape" verticalDpi="300" r:id="rId1"/>
  <headerFooter alignWithMargins="0"/>
  <colBreaks count="2" manualBreakCount="2">
    <brk id="11" max="80" man="1"/>
    <brk id="26" max="1048575" man="1"/>
  </colBreaks>
  <ignoredErrors>
    <ignoredError sqref="G26:G27 G30 G33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DJ210"/>
  <sheetViews>
    <sheetView topLeftCell="A20" zoomScale="90" zoomScaleNormal="90" workbookViewId="0">
      <selection activeCell="F28" sqref="F28"/>
    </sheetView>
  </sheetViews>
  <sheetFormatPr defaultRowHeight="15.75" customHeight="1" x14ac:dyDescent="0.2"/>
  <cols>
    <col min="1" max="1" width="3.140625" style="1" customWidth="1"/>
    <col min="2" max="2" width="32.5703125" style="1" bestFit="1" customWidth="1"/>
    <col min="3" max="3" width="37.5703125" style="2" bestFit="1" customWidth="1"/>
    <col min="4" max="4" width="26.140625" style="1" bestFit="1" customWidth="1"/>
    <col min="5" max="5" width="19.7109375" style="1" bestFit="1" customWidth="1"/>
    <col min="6" max="6" width="17.28515625" style="1" bestFit="1" customWidth="1"/>
    <col min="7" max="7" width="19.42578125" style="1" bestFit="1" customWidth="1"/>
    <col min="8" max="8" width="20.7109375" style="1" bestFit="1" customWidth="1"/>
    <col min="9" max="9" width="10.85546875" style="1" customWidth="1"/>
    <col min="10" max="10" width="11.85546875" style="1" bestFit="1" customWidth="1"/>
    <col min="11" max="11" width="10.85546875" style="1" customWidth="1"/>
    <col min="12" max="12" width="24.28515625" style="1" customWidth="1"/>
    <col min="13" max="13" width="16.85546875" style="1" bestFit="1" customWidth="1"/>
    <col min="14" max="18" width="22.7109375" style="1" customWidth="1"/>
    <col min="19" max="19" width="18.5703125" style="1" customWidth="1"/>
    <col min="20" max="20" width="17.140625" style="1" customWidth="1"/>
    <col min="21" max="22" width="22.7109375" style="1" customWidth="1"/>
    <col min="23" max="25" width="17.7109375" style="1" customWidth="1"/>
    <col min="26" max="26" width="15.42578125" style="1" customWidth="1"/>
    <col min="27" max="27" width="23" style="162" customWidth="1"/>
    <col min="28" max="28" width="6.7109375" style="1" bestFit="1" customWidth="1"/>
    <col min="29" max="29" width="6.5703125" style="1" customWidth="1"/>
    <col min="30" max="30" width="9" style="1" customWidth="1"/>
    <col min="31" max="16384" width="9.140625" style="1"/>
  </cols>
  <sheetData>
    <row r="1" spans="2:81" s="12" customFormat="1" ht="12.75" x14ac:dyDescent="0.2">
      <c r="B1" s="10" t="s">
        <v>32</v>
      </c>
      <c r="C1" s="14"/>
      <c r="J1" s="291">
        <f ca="1">G87</f>
        <v>477717.1715555556</v>
      </c>
      <c r="K1" s="12">
        <v>394213.30666668492</v>
      </c>
      <c r="L1" s="292">
        <f ca="1">J1-K1</f>
        <v>83503.864888870681</v>
      </c>
      <c r="M1" s="52"/>
      <c r="N1" s="52"/>
      <c r="O1" s="52"/>
      <c r="P1" s="52"/>
      <c r="Q1" s="52"/>
      <c r="R1" s="52"/>
      <c r="S1" s="52"/>
      <c r="T1" s="52"/>
      <c r="U1" s="52"/>
      <c r="V1" s="52"/>
      <c r="AA1" s="161"/>
    </row>
    <row r="2" spans="2:81" s="12" customFormat="1" ht="12.75" x14ac:dyDescent="0.2">
      <c r="B2" s="712" t="s">
        <v>210</v>
      </c>
      <c r="C2" s="712"/>
      <c r="J2" s="286"/>
      <c r="L2" s="1"/>
      <c r="M2" s="52"/>
      <c r="N2" s="52"/>
      <c r="O2" s="52"/>
      <c r="P2" s="52"/>
      <c r="Q2" s="52"/>
      <c r="R2" s="52"/>
      <c r="S2" s="52"/>
      <c r="T2" s="52"/>
      <c r="U2" s="52"/>
      <c r="V2" s="52"/>
      <c r="AA2" s="161"/>
    </row>
    <row r="3" spans="2:81" thickBot="1" x14ac:dyDescent="0.25">
      <c r="B3" s="713" t="s">
        <v>211</v>
      </c>
      <c r="C3" s="714"/>
      <c r="J3" s="286"/>
      <c r="K3" s="12"/>
      <c r="M3" s="52"/>
      <c r="N3" s="52"/>
      <c r="O3" s="52"/>
      <c r="P3" s="52"/>
      <c r="Q3" s="52"/>
      <c r="R3" s="52"/>
      <c r="S3" s="52"/>
      <c r="T3" s="52"/>
      <c r="U3" s="52"/>
      <c r="V3" s="52"/>
      <c r="W3" s="12"/>
      <c r="X3" s="12"/>
      <c r="Y3" s="12"/>
      <c r="Z3" s="12"/>
      <c r="AA3" s="161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</row>
    <row r="4" spans="2:81" ht="13.5" thickBot="1" x14ac:dyDescent="0.25">
      <c r="B4" s="3" t="s">
        <v>7</v>
      </c>
      <c r="C4" s="102">
        <f ca="1">TODAY()</f>
        <v>43890</v>
      </c>
      <c r="D4" s="717" t="s">
        <v>129</v>
      </c>
      <c r="E4" s="718"/>
      <c r="F4" s="718"/>
      <c r="G4" s="718"/>
      <c r="H4" s="719"/>
      <c r="J4" s="287"/>
      <c r="K4" s="12" t="s">
        <v>216</v>
      </c>
      <c r="L4" s="721" t="s">
        <v>193</v>
      </c>
      <c r="M4" s="721"/>
      <c r="N4" s="721"/>
      <c r="O4" s="52"/>
      <c r="P4" s="52"/>
      <c r="Q4" s="52"/>
      <c r="R4" s="52"/>
      <c r="S4" s="52"/>
      <c r="T4" s="52"/>
      <c r="U4" s="52"/>
      <c r="V4" s="52"/>
      <c r="W4" s="12"/>
      <c r="X4" s="12"/>
      <c r="Y4" s="12"/>
      <c r="Z4" s="12"/>
      <c r="AA4" s="161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2:81" ht="12.75" x14ac:dyDescent="0.2">
      <c r="B5" s="3" t="s">
        <v>99</v>
      </c>
      <c r="C5" s="88"/>
      <c r="D5" s="63"/>
      <c r="E5" s="64" t="s">
        <v>123</v>
      </c>
      <c r="F5" s="64" t="s">
        <v>122</v>
      </c>
      <c r="G5" s="64" t="s">
        <v>124</v>
      </c>
      <c r="H5" s="65" t="s">
        <v>125</v>
      </c>
      <c r="J5" s="287"/>
      <c r="K5" s="12"/>
      <c r="L5" s="3"/>
      <c r="M5" s="6" t="s">
        <v>197</v>
      </c>
      <c r="N5" s="6" t="s">
        <v>130</v>
      </c>
      <c r="O5" s="52"/>
      <c r="P5" s="52"/>
      <c r="Q5" s="52"/>
      <c r="R5" s="52"/>
      <c r="S5" s="52"/>
      <c r="T5" s="52"/>
      <c r="U5" s="52"/>
      <c r="V5" s="52"/>
      <c r="W5" s="12"/>
      <c r="X5" s="12"/>
      <c r="Y5" s="12"/>
      <c r="Z5" s="12"/>
      <c r="AA5" s="161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2:81" ht="12.75" x14ac:dyDescent="0.2">
      <c r="B6" s="3" t="s">
        <v>5</v>
      </c>
      <c r="C6" s="88"/>
      <c r="D6" s="66" t="s">
        <v>128</v>
      </c>
      <c r="E6" s="67">
        <f ca="1">G47</f>
        <v>189329.16888888887</v>
      </c>
      <c r="F6" s="67">
        <f>G57</f>
        <v>6773</v>
      </c>
      <c r="G6" s="67">
        <f t="shared" ref="G6:G12" ca="1" si="0">SUM(E6:F6)</f>
        <v>196102.16888888887</v>
      </c>
      <c r="H6" s="68">
        <f ca="1">CEILING((G6/C11),1)</f>
        <v>21790</v>
      </c>
      <c r="J6" s="287"/>
      <c r="K6" s="12"/>
      <c r="L6" s="3" t="s">
        <v>194</v>
      </c>
      <c r="M6" s="249">
        <v>0.7</v>
      </c>
      <c r="N6" s="251">
        <v>0.4</v>
      </c>
      <c r="O6" s="52"/>
      <c r="P6" s="52"/>
      <c r="Q6" s="52"/>
      <c r="R6" s="52"/>
      <c r="S6" s="52"/>
      <c r="T6" s="52"/>
      <c r="U6" s="52"/>
      <c r="V6" s="52"/>
      <c r="W6" s="12"/>
      <c r="X6" s="12"/>
      <c r="Y6" s="12"/>
      <c r="Z6" s="12"/>
      <c r="AA6" s="161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2:81" ht="12.75" x14ac:dyDescent="0.2">
      <c r="B7" s="3" t="s">
        <v>6</v>
      </c>
      <c r="C7" s="89"/>
      <c r="D7" s="69" t="s">
        <v>41</v>
      </c>
      <c r="E7" s="67">
        <f ca="1">G45</f>
        <v>3786.5833777777775</v>
      </c>
      <c r="F7" s="67">
        <f ca="1">G58</f>
        <v>150.52000000000001</v>
      </c>
      <c r="G7" s="67">
        <f t="shared" ca="1" si="0"/>
        <v>3937.1033777777775</v>
      </c>
      <c r="H7" s="68">
        <f ca="1">CEILING((G7/C11),1)</f>
        <v>438</v>
      </c>
      <c r="J7" s="287"/>
      <c r="K7" s="12"/>
      <c r="L7" s="3" t="s">
        <v>195</v>
      </c>
      <c r="M7" s="249">
        <v>0.75</v>
      </c>
      <c r="N7" s="251">
        <v>0.5</v>
      </c>
      <c r="O7" s="52"/>
      <c r="P7" s="52"/>
      <c r="Q7" s="52"/>
      <c r="R7" s="52"/>
      <c r="S7" s="52"/>
      <c r="T7" s="52"/>
      <c r="U7" s="52"/>
      <c r="V7" s="52"/>
      <c r="W7" s="12"/>
      <c r="X7" s="12"/>
      <c r="Y7" s="12"/>
      <c r="Z7" s="12"/>
      <c r="AA7" s="161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2:81" ht="12.75" x14ac:dyDescent="0.2">
      <c r="B8" s="61" t="s">
        <v>192</v>
      </c>
      <c r="C8" s="89" t="s">
        <v>194</v>
      </c>
      <c r="D8" s="69"/>
      <c r="E8" s="67"/>
      <c r="F8" s="67"/>
      <c r="G8" s="67"/>
      <c r="H8" s="68"/>
      <c r="J8" s="287"/>
      <c r="K8" s="12"/>
      <c r="L8" s="250" t="s">
        <v>196</v>
      </c>
      <c r="M8" s="249">
        <v>0.8</v>
      </c>
      <c r="N8" s="251">
        <v>0.55000000000000004</v>
      </c>
      <c r="O8" s="52"/>
      <c r="P8" s="52"/>
      <c r="Q8" s="52"/>
      <c r="R8" s="52"/>
      <c r="S8" s="52"/>
      <c r="T8" s="52"/>
      <c r="U8" s="52"/>
      <c r="V8" s="52"/>
      <c r="W8" s="12"/>
      <c r="X8" s="12"/>
      <c r="Y8" s="12"/>
      <c r="Z8" s="12"/>
      <c r="AA8" s="161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2:81" ht="12.75" x14ac:dyDescent="0.2">
      <c r="B9" s="3" t="s">
        <v>8</v>
      </c>
      <c r="C9" s="90">
        <v>3</v>
      </c>
      <c r="D9" s="69" t="s">
        <v>120</v>
      </c>
      <c r="E9" s="67">
        <f ca="1">G48</f>
        <v>75731.66755555557</v>
      </c>
      <c r="F9" s="67">
        <f ca="1">G61</f>
        <v>7526</v>
      </c>
      <c r="G9" s="67">
        <f t="shared" ca="1" si="0"/>
        <v>83257.66755555557</v>
      </c>
      <c r="H9" s="68">
        <f ca="1">CEILING((G9/C11),1)</f>
        <v>9251</v>
      </c>
      <c r="J9" s="287"/>
      <c r="K9" s="12"/>
      <c r="M9" s="52"/>
      <c r="N9" s="52"/>
      <c r="O9" s="52"/>
      <c r="P9" s="52"/>
      <c r="Q9" s="52"/>
      <c r="R9" s="52"/>
      <c r="S9" s="52"/>
      <c r="T9" s="52"/>
      <c r="U9" s="52"/>
      <c r="V9" s="52"/>
      <c r="W9" s="12"/>
      <c r="X9" s="12"/>
      <c r="Y9" s="12"/>
      <c r="Z9" s="12"/>
      <c r="AA9" s="161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2:81" ht="12.75" x14ac:dyDescent="0.2">
      <c r="B10" s="3" t="s">
        <v>11</v>
      </c>
      <c r="C10" s="90">
        <v>3</v>
      </c>
      <c r="D10" s="69" t="s">
        <v>69</v>
      </c>
      <c r="E10" s="67">
        <f ca="1">G46</f>
        <v>15146.33351111111</v>
      </c>
      <c r="F10" s="67">
        <f ca="1">G59</f>
        <v>602.08000000000004</v>
      </c>
      <c r="G10" s="67">
        <f t="shared" ca="1" si="0"/>
        <v>15748.41351111111</v>
      </c>
      <c r="H10" s="68">
        <f ca="1">CEILING((G10/C11),1)</f>
        <v>1750</v>
      </c>
      <c r="J10" s="287"/>
      <c r="K10" s="12"/>
      <c r="L10" s="308" t="s">
        <v>218</v>
      </c>
      <c r="M10" s="309" t="s">
        <v>219</v>
      </c>
      <c r="N10" s="309" t="s">
        <v>239</v>
      </c>
      <c r="O10" s="52"/>
      <c r="P10" s="52"/>
      <c r="Q10" s="52"/>
      <c r="R10" s="52"/>
      <c r="S10" s="52"/>
      <c r="T10" s="52"/>
      <c r="U10" s="52"/>
      <c r="V10" s="52"/>
      <c r="W10" s="12"/>
      <c r="X10" s="12"/>
      <c r="Y10" s="12"/>
      <c r="Z10" s="12"/>
      <c r="AA10" s="161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2:81" ht="12.75" x14ac:dyDescent="0.2">
      <c r="B11" s="3" t="s">
        <v>9</v>
      </c>
      <c r="C11" s="91">
        <f>C9*C10</f>
        <v>9</v>
      </c>
      <c r="D11" s="69" t="s">
        <v>121</v>
      </c>
      <c r="E11" s="67">
        <f>G43</f>
        <v>0</v>
      </c>
      <c r="F11" s="67">
        <f>G62</f>
        <v>0</v>
      </c>
      <c r="G11" s="67">
        <f t="shared" si="0"/>
        <v>0</v>
      </c>
      <c r="H11" s="68">
        <f>CEILING((G11/C11),1)</f>
        <v>0</v>
      </c>
      <c r="J11" s="287"/>
      <c r="K11" s="1" t="s">
        <v>217</v>
      </c>
      <c r="L11" s="298" t="s">
        <v>212</v>
      </c>
      <c r="M11" s="295" t="s">
        <v>220</v>
      </c>
      <c r="N11" s="221" t="s">
        <v>227</v>
      </c>
      <c r="O11" s="52" t="s">
        <v>31</v>
      </c>
      <c r="P11" s="162"/>
      <c r="Q11" s="52"/>
      <c r="R11" s="52"/>
      <c r="S11" s="52"/>
      <c r="T11" s="52"/>
      <c r="U11" s="52"/>
      <c r="V11" s="52"/>
      <c r="W11" s="161"/>
      <c r="X11" s="161"/>
      <c r="Y11" s="161"/>
      <c r="Z11" s="12"/>
      <c r="AA11" s="161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</row>
    <row r="12" spans="2:81" ht="12.75" x14ac:dyDescent="0.2">
      <c r="B12" s="3" t="s">
        <v>28</v>
      </c>
      <c r="C12" s="91">
        <f>C11*17</f>
        <v>153</v>
      </c>
      <c r="D12" s="70" t="s">
        <v>118</v>
      </c>
      <c r="E12" s="67">
        <f ca="1">G49</f>
        <v>265060.83644444443</v>
      </c>
      <c r="F12" s="67">
        <f ca="1">G63</f>
        <v>15052</v>
      </c>
      <c r="G12" s="67">
        <f t="shared" ca="1" si="0"/>
        <v>280112.83644444443</v>
      </c>
      <c r="H12" s="68">
        <f ca="1">CEILING((G12/C11),1)</f>
        <v>31124</v>
      </c>
      <c r="J12" s="287"/>
      <c r="L12" s="298" t="s">
        <v>213</v>
      </c>
      <c r="M12" s="295" t="s">
        <v>221</v>
      </c>
      <c r="N12" s="221" t="s">
        <v>228</v>
      </c>
      <c r="O12" s="52"/>
      <c r="P12" s="162"/>
      <c r="Q12" s="52"/>
      <c r="R12" s="52"/>
      <c r="S12" s="52"/>
      <c r="T12" s="52"/>
      <c r="U12" s="52"/>
      <c r="V12" s="52"/>
      <c r="W12" s="161"/>
      <c r="X12" s="161"/>
      <c r="Y12" s="161"/>
      <c r="Z12" s="12"/>
      <c r="AA12" s="161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</row>
    <row r="13" spans="2:81" ht="12.75" x14ac:dyDescent="0.2">
      <c r="B13" s="3" t="s">
        <v>10</v>
      </c>
      <c r="C13" s="283">
        <v>1</v>
      </c>
      <c r="D13" s="70" t="s">
        <v>0</v>
      </c>
      <c r="E13" s="71">
        <f>G50</f>
        <v>0.7</v>
      </c>
      <c r="F13" s="71">
        <f>G64</f>
        <v>0.4</v>
      </c>
      <c r="G13" s="71"/>
      <c r="H13" s="72"/>
      <c r="J13" s="287"/>
      <c r="L13" s="298" t="s">
        <v>214</v>
      </c>
      <c r="M13" s="295" t="s">
        <v>222</v>
      </c>
      <c r="N13" s="221" t="s">
        <v>229</v>
      </c>
      <c r="O13" s="52"/>
      <c r="P13" s="162">
        <v>1</v>
      </c>
      <c r="Q13" s="52"/>
      <c r="R13" s="52"/>
      <c r="S13" s="52"/>
      <c r="T13" s="52"/>
      <c r="U13" s="52"/>
      <c r="V13" s="52"/>
      <c r="W13" s="161"/>
      <c r="X13" s="161"/>
      <c r="Y13" s="161"/>
      <c r="Z13" s="12"/>
      <c r="AA13" s="161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</row>
    <row r="14" spans="2:81" ht="12.75" x14ac:dyDescent="0.2">
      <c r="B14" s="3" t="s">
        <v>164</v>
      </c>
      <c r="C14" s="168" t="s">
        <v>212</v>
      </c>
      <c r="D14" s="69"/>
      <c r="E14" s="67"/>
      <c r="F14" s="67"/>
      <c r="G14" s="67"/>
      <c r="H14" s="68"/>
      <c r="J14" s="287"/>
      <c r="L14" s="3" t="s">
        <v>215</v>
      </c>
      <c r="M14" s="295" t="s">
        <v>223</v>
      </c>
      <c r="N14" s="221" t="s">
        <v>230</v>
      </c>
      <c r="O14" s="52" t="s">
        <v>23</v>
      </c>
      <c r="P14" s="162"/>
      <c r="Q14" s="52"/>
      <c r="R14" s="52"/>
      <c r="S14" s="75"/>
      <c r="T14" s="75"/>
      <c r="U14" s="75"/>
      <c r="V14" s="75"/>
      <c r="W14" s="162"/>
      <c r="X14" s="162"/>
      <c r="Y14" s="162"/>
    </row>
    <row r="15" spans="2:81" ht="12.75" x14ac:dyDescent="0.2">
      <c r="B15" s="3" t="s">
        <v>165</v>
      </c>
      <c r="C15" s="168" t="s">
        <v>227</v>
      </c>
      <c r="D15" s="69"/>
      <c r="E15" s="67"/>
      <c r="F15" s="67"/>
      <c r="G15" s="67"/>
      <c r="H15" s="68"/>
      <c r="J15" s="287"/>
      <c r="L15" s="3"/>
      <c r="M15" s="295" t="s">
        <v>224</v>
      </c>
      <c r="N15" s="221" t="s">
        <v>231</v>
      </c>
      <c r="O15" s="52"/>
      <c r="P15" s="162"/>
      <c r="Q15" s="52"/>
      <c r="R15" s="52"/>
      <c r="S15" s="75"/>
      <c r="T15" s="75"/>
      <c r="U15" s="75"/>
      <c r="V15" s="75"/>
      <c r="W15" s="162"/>
      <c r="X15" s="162"/>
      <c r="Y15" s="162"/>
    </row>
    <row r="16" spans="2:81" ht="12.75" x14ac:dyDescent="0.2">
      <c r="B16" s="22" t="s">
        <v>56</v>
      </c>
      <c r="C16" s="282" t="s">
        <v>220</v>
      </c>
      <c r="D16" s="92" t="s">
        <v>42</v>
      </c>
      <c r="E16" s="87">
        <f ca="1">G51</f>
        <v>378658.33777777781</v>
      </c>
      <c r="F16" s="87">
        <f ca="1">G65</f>
        <v>37630</v>
      </c>
      <c r="G16" s="87">
        <f ca="1">SUM(E16:F16)</f>
        <v>416288.33777777781</v>
      </c>
      <c r="H16" s="93">
        <f ca="1">CEILING((G16/C11),1)</f>
        <v>46255</v>
      </c>
      <c r="J16" s="287"/>
      <c r="L16" s="3"/>
      <c r="M16" s="295" t="s">
        <v>225</v>
      </c>
      <c r="N16" s="221" t="s">
        <v>232</v>
      </c>
      <c r="O16" s="52"/>
      <c r="P16" s="162">
        <v>2</v>
      </c>
      <c r="Q16" s="52"/>
      <c r="R16" s="52"/>
      <c r="S16" s="75"/>
      <c r="T16" s="75"/>
      <c r="U16" s="75"/>
      <c r="V16" s="75"/>
      <c r="W16" s="162"/>
      <c r="X16" s="162"/>
      <c r="Y16" s="162"/>
    </row>
    <row r="17" spans="1:112" ht="13.5" thickBot="1" x14ac:dyDescent="0.25">
      <c r="B17" s="26" t="s">
        <v>117</v>
      </c>
      <c r="C17" s="168">
        <v>0.28999999999999998</v>
      </c>
      <c r="D17" s="94" t="s">
        <v>131</v>
      </c>
      <c r="E17" s="95"/>
      <c r="F17" s="95"/>
      <c r="G17" s="96">
        <f>H72</f>
        <v>0</v>
      </c>
      <c r="H17" s="97"/>
      <c r="J17" s="287"/>
      <c r="L17" s="3"/>
      <c r="M17" s="295" t="s">
        <v>226</v>
      </c>
      <c r="N17" s="221" t="s">
        <v>233</v>
      </c>
      <c r="O17" s="52"/>
      <c r="P17" s="162"/>
      <c r="Q17" s="52"/>
      <c r="R17" s="52"/>
      <c r="S17" s="75"/>
      <c r="T17" s="75"/>
      <c r="U17" s="75"/>
      <c r="V17" s="75"/>
      <c r="W17" s="162"/>
      <c r="X17" s="162"/>
      <c r="Y17" s="162"/>
    </row>
    <row r="18" spans="1:112" ht="15.75" customHeight="1" thickBot="1" x14ac:dyDescent="0.25">
      <c r="B18" s="11" t="s">
        <v>15</v>
      </c>
      <c r="C18" s="89">
        <v>75</v>
      </c>
      <c r="D18" s="98" t="s">
        <v>145</v>
      </c>
      <c r="E18" s="99"/>
      <c r="F18" s="99"/>
      <c r="G18" s="100">
        <f ca="1">SUM(G16:G17)</f>
        <v>416288.33777777781</v>
      </c>
      <c r="H18" s="101"/>
      <c r="J18" s="287"/>
      <c r="L18" s="3"/>
      <c r="M18" s="295"/>
      <c r="N18" s="221" t="s">
        <v>234</v>
      </c>
      <c r="O18" s="52"/>
      <c r="P18" s="162"/>
      <c r="Q18" s="52"/>
      <c r="R18" s="52"/>
      <c r="S18" s="75"/>
      <c r="T18" s="75"/>
      <c r="U18" s="75"/>
      <c r="V18" s="75"/>
      <c r="W18" s="162"/>
      <c r="X18" s="162"/>
      <c r="Y18" s="162"/>
    </row>
    <row r="19" spans="1:112" ht="12.75" x14ac:dyDescent="0.2">
      <c r="B19" s="167" t="s">
        <v>30</v>
      </c>
      <c r="C19" s="4">
        <v>65</v>
      </c>
      <c r="J19" s="287"/>
      <c r="L19" s="3"/>
      <c r="M19" s="295"/>
      <c r="N19" s="221" t="s">
        <v>235</v>
      </c>
      <c r="O19" s="52"/>
      <c r="P19" s="162">
        <v>3</v>
      </c>
      <c r="Q19" s="52"/>
      <c r="R19" s="52"/>
      <c r="S19" s="75"/>
      <c r="T19" s="75"/>
      <c r="U19" s="75"/>
      <c r="V19" s="75"/>
      <c r="W19" s="162"/>
      <c r="X19" s="162"/>
      <c r="Y19" s="162"/>
    </row>
    <row r="20" spans="1:112" ht="12.75" x14ac:dyDescent="0.2">
      <c r="C20" s="6"/>
      <c r="J20" s="287"/>
      <c r="L20" s="3"/>
      <c r="M20" s="295"/>
      <c r="N20" s="221" t="s">
        <v>236</v>
      </c>
      <c r="O20" s="52"/>
      <c r="P20" s="162"/>
      <c r="Q20" s="52"/>
      <c r="R20" s="52"/>
      <c r="S20" s="75"/>
      <c r="T20" s="75"/>
      <c r="U20" s="75"/>
      <c r="V20" s="75"/>
      <c r="W20" s="162"/>
      <c r="X20" s="162"/>
      <c r="Y20" s="162"/>
    </row>
    <row r="21" spans="1:112" ht="13.5" thickBot="1" x14ac:dyDescent="0.25">
      <c r="J21" s="287"/>
      <c r="L21" s="3"/>
      <c r="M21" s="299"/>
      <c r="N21" s="221" t="s">
        <v>237</v>
      </c>
      <c r="O21" s="52"/>
      <c r="P21" s="162"/>
      <c r="Q21" s="52"/>
      <c r="R21" s="52"/>
      <c r="S21" s="75"/>
      <c r="T21" s="75"/>
      <c r="U21" s="75"/>
      <c r="V21" s="75"/>
      <c r="W21" s="162"/>
      <c r="X21" s="162"/>
      <c r="Y21" s="162"/>
    </row>
    <row r="22" spans="1:112" ht="13.5" thickBot="1" x14ac:dyDescent="0.25">
      <c r="B22" s="715" t="s">
        <v>50</v>
      </c>
      <c r="C22" s="716"/>
      <c r="D22" s="145" t="s">
        <v>10</v>
      </c>
      <c r="E22" s="145" t="s">
        <v>49</v>
      </c>
      <c r="F22" s="145" t="s">
        <v>51</v>
      </c>
      <c r="G22" s="146" t="s">
        <v>14</v>
      </c>
      <c r="H22" s="146" t="s">
        <v>100</v>
      </c>
      <c r="J22" s="287"/>
      <c r="L22" s="3"/>
      <c r="M22" s="299"/>
      <c r="N22" s="221" t="s">
        <v>238</v>
      </c>
      <c r="O22" s="52"/>
      <c r="P22" s="162">
        <v>4</v>
      </c>
      <c r="Q22" s="52"/>
      <c r="R22" s="52"/>
      <c r="S22" s="75"/>
      <c r="T22" s="75"/>
      <c r="U22" s="75"/>
      <c r="V22" s="75"/>
      <c r="W22" s="162"/>
      <c r="X22" s="162"/>
      <c r="Y22" s="162"/>
    </row>
    <row r="23" spans="1:112" ht="12.75" x14ac:dyDescent="0.2">
      <c r="B23" s="54" t="s">
        <v>246</v>
      </c>
      <c r="C23" s="5">
        <f>IF(C9&lt;=5,C9+0.1)+IF(AND(C9&gt;5,C9&lt;=6),C9+0.15)+IF(C9&gt;6,C9+0.25)</f>
        <v>3.1</v>
      </c>
      <c r="D23" s="5">
        <f>CEILING(((C23*(C10+0.3))/0.063),1)</f>
        <v>163</v>
      </c>
      <c r="E23" s="5" t="s">
        <v>52</v>
      </c>
      <c r="F23" s="252">
        <f>+IF(AND(C14=L11,C15=$O$32,C16=L33),O33)+IF(AND(C14=L11,C15=$O$32,C16=L34),O34)+IF(AND(C14=L11,C15=$O$32,C16=L35),O35)+IF(AND(C14=L11,C15=$Q$32,C16=L33),Q33)+IF(AND(C14=L11,C15=$Q$32,C16=L34),Q34)+IF(AND(C14=L11,C15=$Q$32,C16=L35),Q35)+IF(AND(C14=L11,C15=$S$32,C16=L33),S33)+IF(AND(C14=L11,C15=$S$32,C16=L34),S34)+IF(AND(C14=L11,C15=$S$32,C16=L35),S35)+IF(AND(C14=L11,C15=$U$32,C16=L33),U33)+IF(AND(C14=L11,C15=$U$32,C16=L34),U34)+IF(AND(C14=L11,C15=$U$32,C16=L35),U35)+IF(AND(C14=L13,C15=$O$39,C16=L40),O40)+IF(AND(C14=L13,C15=$O$39,C16=L41),O41)+IF(AND(C14=L13,C15=$O$39,C16=L42),O42)+IF(AND(C14=L13,C15=$Q$39,C16=L40),Q40)+IF(AND(C14=L13,C15=$Q$39,C16=L41),Q41)+IF(AND(C14=L13,C15=$Q$39,C16=L42),Q42)+IF(AND(C14=L13,C15=$S$39,C16=L40),S40)+IF(AND(C14=L13,C15=$S$39,C16=L41),S41)+IF(AND(C14=L13,C15=$S$39,C16=L42),S42)+IF(AND(C14=L13,C15=$U$39,C16=L40),U40)+IF(AND(C14=L13,C15=$U$39,C16=L41),U41)+IF(AND(C14=L13,C15=$U$39,C16=L42),U42)+IF(AND(C14=L12,C15=$O$39,C16=L40),O40)+IF(AND(C14=L12,C15=$O$39,C16=L41),O41)+IF(AND(C14=L12,C15=$O$39,C16=L42),O42)+IF(AND(C14=L12,C15=$Q$39,C16=L40),Q40)+IF(AND(C14=L12,C15=$Q$39,C16=L41),Q41)+IF(AND(C14=L12,C15=$Q$39,C16=L42),Q42)+IF(AND(C14=L12,C15=$S$39,C16=L40),S40)+IF(AND(C14=L12,C15=$S$39,C16=L41),S41)+IF(AND(C14=L12,C15=$S$39,C16=L42),S42)+IF(AND(C14=L12,C15=$U$39,C16=L40),U40)+IF(AND(C14=L12,C15=$U$39,C16=L41),U41)+IF(AND(C14=L12,C15=$U$39,C16=L42),U42)+IF(AND(C14=L14,C15=$O$46,C16=L47),O47)+IF(AND(C14=L14,C15=$Q$46,C16=L47),Q47)+IF(AND(C14=L14,C15=$S$46,C16=L47),S47)+IF(AND(C14=L14,C15=$U$46,C16=L47),U47)</f>
        <v>364</v>
      </c>
      <c r="G23" s="253">
        <f>F23*D23</f>
        <v>59332</v>
      </c>
      <c r="H23" s="154"/>
      <c r="I23" s="86"/>
      <c r="J23" s="287"/>
      <c r="M23" s="52"/>
      <c r="N23" s="162"/>
      <c r="O23" s="52"/>
      <c r="P23" s="52"/>
      <c r="Q23" s="52"/>
      <c r="R23" s="52"/>
      <c r="S23" s="75"/>
      <c r="T23" s="75"/>
      <c r="U23" s="75"/>
      <c r="V23" s="75"/>
      <c r="W23" s="162"/>
      <c r="X23" s="162"/>
      <c r="Y23" s="162"/>
    </row>
    <row r="24" spans="1:112" ht="12.75" x14ac:dyDescent="0.2">
      <c r="A24" s="75"/>
      <c r="B24" s="4" t="s">
        <v>168</v>
      </c>
      <c r="C24" s="5">
        <f>IF(C9&lt;=5,K54)+IF(AND(C9&gt;5,C9&lt;=6),K55)+IF(C9&gt;6,K56)</f>
        <v>75</v>
      </c>
      <c r="D24" s="5">
        <f>(C10+0.1)*2</f>
        <v>6.2</v>
      </c>
      <c r="E24" s="5" t="s">
        <v>52</v>
      </c>
      <c r="F24" s="252">
        <f>+IF(AND(C14=AA53,B24=P53,C24=K54),P54)+IF(AND(C14=AA53,B24=P53,C24=K55),P55)+IF(AND(C14=AA53,B24=P53,C24=K56),P56)+IF(AND(C14=AA53,B24=Q53,C24=K54),Q54)+IF(AND(C14=AA53,B24=Q53,C24=K55),Q55)+IF(AND(C14=AA53,B24=Q53,C24=K56),Q56)+IF(AND(C14=AA53,B24=R53,C24=K54),R54)+IF(AND(C14=AA53,B24=R53,C24=K55),R55)+IF(AND(C14=AA53,B24=R53,C24=K56),R56)+IF(AND(C14=AA54,B24=P53,C24=K54),P54)+IF(AND(C14=AA54,B24=P53,C24=K55),P55)+IF(AND(C14=AA54,B24=P53,C24=K56),P56)+IF(AND(C14=AA54,B24=Q53,C24=K54),Q54)+IF(AND(C14=AA54,B24=Q53,C24=K55),Q55)+IF(AND(C14=AA54,B24=Q53,C24=K56),Q56)+IF(AND(C14=AA54,B24=R53,C24=K54),R54)+IF(AND(C14=AA54,B24=R53,C24=K55),R55)+IF(AND(C14=AA54,B24=R53,C24=K56),R56)+IF(AND(C14=AA56,B24=P53,C24=K54),P54)+IF(AND(C14=AA56,B24=P53,C24=K55),P55)+IF(AND(C14=AA56,B24=P53,C24=K56),P56)+IF(AND(C14=AA56,B24=Q53,C24=K54),Q54)+IF(AND(C14=AA56,B24=Q53,C24=K55),Q55)+IF(AND(C14=AA56,B24=Q53,C24=K56),Q56)+IF(AND(C14=AA56,B24=R53,C24=K54),R54)+IF(AND(C14=AA56,B24=R53,C24=K55),R55)+IF(AND(C14=AA56,B24=R53,C24=K56),R56)+IF(AND(C14=AA55,B24=W53,C24=K54),W54)+IF(AND(C14=AA55,B24=W53,C24=K55),W55)+IF(AND(C14=AA55,B24=W53,C24=K56),W56)+IF(AND(C14=AA55,B24=X53,C24=K54),X54)+IF(AND(C14=AA55,B24=X53,C24=K55),X55)+IF(AND(C14=AA55,B24=X53,C24=K56),X56)+IF(AND(C14=AA55,B24=Y53,C24=K54),Y54)+IF(AND(C14=AA55,B24=Y53,C24=K55),Y55)+IF(AND(C14=AA55,B24=Y53,C24=K56),Y56)</f>
        <v>1014</v>
      </c>
      <c r="G24" s="253">
        <f>F24*D24</f>
        <v>6286.8</v>
      </c>
      <c r="H24" s="155"/>
      <c r="I24" s="105"/>
      <c r="J24" s="288"/>
      <c r="M24" s="52"/>
      <c r="N24" s="162"/>
      <c r="O24" s="162"/>
      <c r="P24" s="52"/>
      <c r="Q24" s="52"/>
      <c r="R24" s="52"/>
      <c r="S24" s="75"/>
      <c r="T24" s="75"/>
      <c r="U24" s="75"/>
      <c r="V24" s="75"/>
      <c r="W24" s="162"/>
      <c r="X24" s="162"/>
      <c r="Y24" s="162"/>
    </row>
    <row r="25" spans="1:112" s="75" customFormat="1" ht="12.75" x14ac:dyDescent="0.2">
      <c r="B25" s="54" t="s">
        <v>169</v>
      </c>
      <c r="C25" s="5">
        <f>C23</f>
        <v>3.1</v>
      </c>
      <c r="D25" s="5">
        <f>C25*1</f>
        <v>3.1</v>
      </c>
      <c r="E25" s="5" t="s">
        <v>52</v>
      </c>
      <c r="F25" s="252">
        <f>IF(AND(C14=S60,C9&lt;=5),O61)+IF(AND(C14=S60,C9&gt;5,C9&lt;=6),O62)+IF(AND(C14=S60,C9&gt;6),O63)+IF(AND(C14=S61,C9&lt;=5),O61)+IF(AND(C14=S61,C9&gt;5,C9&lt;=6),O62)+IF(AND(C14=S61,C9&gt;6),O63)+IF(AND(C14=S63,C9&lt;=5),O61)+IF(AND(C14=S63,C9&gt;5,C9&lt;=6),O62)+IF(AND(C14=S63,C9&gt;6),O63)+IF(AND(C14=S62,C9&lt;=5),Q61)+IF(AND(C14=S62,C9&gt;5,C9&lt;=6),Q62)+IF(AND(C14=S62,C9&gt;6),Q63)</f>
        <v>525</v>
      </c>
      <c r="G25" s="253">
        <f>F25*D25</f>
        <v>1627.5</v>
      </c>
      <c r="H25" s="155"/>
      <c r="I25" s="105"/>
      <c r="J25" s="289"/>
      <c r="K25" s="1"/>
      <c r="L25" s="1"/>
      <c r="M25" s="52"/>
      <c r="N25" s="162"/>
      <c r="O25" s="52"/>
      <c r="P25" s="52"/>
      <c r="Q25" s="52"/>
      <c r="R25" s="52"/>
      <c r="W25" s="162"/>
      <c r="X25" s="162"/>
      <c r="Y25" s="162"/>
      <c r="Z25" s="1"/>
      <c r="AA25" s="162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</row>
    <row r="26" spans="1:112" s="75" customFormat="1" ht="14.25" customHeight="1" x14ac:dyDescent="0.2">
      <c r="B26" s="38" t="s">
        <v>34</v>
      </c>
      <c r="C26" s="53">
        <f>C9+0.3</f>
        <v>3.3</v>
      </c>
      <c r="D26" s="25">
        <f>IF(OR((AND(C9&gt;=2,C9&lt;=4,C10&lt;=6)),(AND(C9&gt;=2,C9&lt;=4,C10&gt;6,C10&lt;=6.5)),(AND(C9&gt;=2,C9&lt;=3,C10&gt;6.5,C10&lt;=7))),4)+IF(OR((AND(C9&gt;4,C9&lt;=6,C10&lt;=7)),(AND(C9&gt;4,C9&lt;=6,C10&lt;=7)),(AND(C9&gt;4,C9&lt;=5.5,C10&gt;7,C10&lt;=8)),(AND(C9&gt;3,C9&lt;=4,C10&gt;6.5,C10&lt;=7)),(AND(C9&gt;2,C9&lt;=4.5,C10&gt;7,C10&lt;=9)),(AND(C9&gt;2,C9&lt;=2.5,C10&gt;9,C10&lt;=10))),6)+IF(OR((AND(C9&gt;2.5,C9&lt;=6,C10&gt;9,C10&lt;=12)),(AND(C9&gt;4.5,C9&lt;=6,C10&gt;8,C10&lt;=9)),(AND(C9&gt;5.5,C9&lt;=6,C10&gt;7,C10&lt;=8)),(AND(C9&gt;6,C9&lt;=8,C10&lt;=8)),(AND(C9&gt;6,C9&lt;=7,C10&gt;8,C10&lt;=10)),(AND(C9&gt;7,C9&lt;=7.5,C10&gt;8,C10&lt;=8.5))),8)+IF(OR((AND(C9&gt;8,C9&lt;=9.5,C10&lt;=11)),(AND(C9&gt;7,C9&lt;=8,C10&gt;8,C10&lt;=10)),(AND(C9&gt;6,C9&lt;=7,C10&gt;10,C10&lt;=11)),(AND(C9&gt;7.5,C9&lt;=8,C10&gt;8,C10&lt;=8.5))),10)+IF(OR((AND(C9&gt;9.5,C9&lt;=12,C10&lt;=10)),(AND(C9&gt;8,C9&lt;=9.5,C10&gt;8.5,C10&lt;=12)),(AND(C9&gt;6,C9&lt;=8,C10&gt;11,C10&lt;=12)),(AND(C9&gt;7,C9&lt;=8,C10&gt;10,C10&lt;=11)),(AND(C9&gt;9.5,C9&lt;=10.5,C10&gt;10,C10&lt;=11.5)),(AND(C9&gt;10.5,C9&lt;=11,C10&gt;10,C10&lt;=11))),12)+IF(OR((AND(C9&gt;11,C9&lt;=11.5,C10&gt;10,C10&lt;=10.5)),(AND(C9&gt;9.5,C9&lt;=10,C10&gt;11.5,C10&lt;=12))),12)+IF(AND(C9&lt;=2,C10&gt;6.5,C10&lt;=8),4)+IF(AND(C9&lt;=2,C10&gt;8),6)+IF(AND(C9&gt;2,C9&lt;=2.5,C10&gt;10),6)</f>
        <v>4</v>
      </c>
      <c r="E26" s="5" t="s">
        <v>53</v>
      </c>
      <c r="F26" s="252">
        <f>IF(D26=L67,O67)+IF(D26=L68,O68)+IF(D26=L69,O69)+IF(D26=L71,O71)+IF(D26=L70,O70)</f>
        <v>962.5</v>
      </c>
      <c r="G26" s="253">
        <f>F26*C26</f>
        <v>3176.25</v>
      </c>
      <c r="H26" s="155"/>
      <c r="J26" s="289"/>
      <c r="K26" s="1"/>
      <c r="L26" s="1"/>
      <c r="M26" s="52"/>
      <c r="N26" s="52"/>
      <c r="O26" s="52"/>
      <c r="P26" s="52"/>
      <c r="Q26" s="52"/>
      <c r="R26" s="52"/>
      <c r="W26" s="162"/>
      <c r="X26" s="162"/>
      <c r="Y26" s="162"/>
      <c r="Z26" s="1"/>
      <c r="AA26" s="162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</row>
    <row r="27" spans="1:112" s="75" customFormat="1" ht="12.75" x14ac:dyDescent="0.2">
      <c r="B27" s="54" t="s">
        <v>36</v>
      </c>
      <c r="C27" s="5">
        <v>1</v>
      </c>
      <c r="D27" s="5">
        <v>1</v>
      </c>
      <c r="E27" s="5" t="s">
        <v>13</v>
      </c>
      <c r="F27" s="252">
        <f>IF(AND(OR(D57=K164,D57=K165,D57=K166,D57=K167,D57=K168,D57=K169,D57=K170,D57=K171,D57=K172,D57=K173,D57=K174,D57=K175,D57=K176,D57=K177),C11&lt;=12),O74)+IF(AND(OR(D57=K164,D57=K165,D57=K166,D57=K167,D57=K168,D57=K169,D57=K170,D57=K171,D57=K172,D57=K173,D57=K174,D57=K175,D57=K176,D57=K177),C11&gt;12,C11&lt;=24),O75)+IF(AND(OR(D57=K164,D57=K165,D57=K166,D57=K167,D57=K168,D57=K169,D57=K170,D57=K171,D57=K172,D57=K173,D57=K174,D57=K175,D57=K176,D57=K177),C11&gt;24,C11&lt;=36),O76)+IF(AND(OR(D57=K164,D57=K165,D57=K166,D57=K167,D57=K168,D57=K169,D57=K170,D57=K171,D57=K172,D57=K173,D57=K174,D57=K175,D57=K176,D57=K177),C11&gt;36, C11&lt;=48),O77)+IF(AND(OR(D57=K164,D57=K165,D57=K166,D57=K167,D57=K168,D57=K169,D57=K170,D57=K171,D57=K172,D57=K173,D57=K174,D57=K175,D57=K176,D57=K177),C11&gt;48),O78)</f>
        <v>2000</v>
      </c>
      <c r="G27" s="253">
        <f>F27*D27</f>
        <v>2000</v>
      </c>
      <c r="H27" s="155"/>
      <c r="J27" s="290"/>
      <c r="K27" s="1"/>
      <c r="L27" s="1"/>
      <c r="M27" s="52"/>
      <c r="N27" s="52"/>
      <c r="O27" s="52"/>
      <c r="P27" s="52"/>
      <c r="Q27" s="52"/>
      <c r="R27" s="52"/>
      <c r="W27" s="162"/>
      <c r="X27" s="162"/>
      <c r="Y27" s="162"/>
      <c r="Z27" s="1"/>
      <c r="AA27" s="162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</row>
    <row r="28" spans="1:112" s="75" customFormat="1" ht="12.75" x14ac:dyDescent="0.2">
      <c r="B28" s="4" t="s">
        <v>71</v>
      </c>
      <c r="C28" s="13">
        <f>IF(AND(C9&gt;=2,C9&lt;=7.85,C10&lt;=3.5),400)+IF(AND(C9&gt;=2,C9&lt;=7.85,C10&gt;3.5,C10&lt;=5.5),450)+IF(AND(C9&gt;=2,C9&lt;=7.85,C10&gt;5.5,C10&lt;=7),525)+IF(AND(C9&gt;=2,C9&lt;=7.85,C10&gt;7,C10&lt;=9),600)+IF(AND(C9&gt;=2,C9&lt;=7.85,C10&gt;9,C10&lt;=10),675)+IF(AND(C9&gt;=2,C9&lt;=7.85,C10&gt;10,C10&lt;=12),750)+IF(AND(C9&gt;7.85,C9&lt;=12,C10&gt;7,C10&lt;=12),750)+IF(AND(C9&gt;7.85,C9&lt;=12,C10&lt;=7),600)</f>
        <v>400</v>
      </c>
      <c r="D28" s="13">
        <v>2</v>
      </c>
      <c r="E28" s="23" t="s">
        <v>13</v>
      </c>
      <c r="F28" s="254">
        <f>IF(AND(OR(D57=K164,D57=K165,D57=K166,D57=K167,D57=K168,D57=K169,D57=K170,D57=K171,D57=K172,D57=K173,D57=K174,D57=K175,D57=K176,D57=K177),C28=400,B28=U82),Q82)+IF(AND(OR(D57=K164,D57=K165,D57=K166,D57=K167,D57=K168,D57=K169,D57=K170,D57=K171,D57=K172,D57=K173,D57=K174,D57=K175,D57=K176,D57=K177),C28=450,B28=U82),Q83)+IF(AND(OR(D57=K164,D57=K165,D57=K166,D57=K167,D57=K168,D57=K169,D57=K170,D57=K171,D57=K172,D57=K173,D57=K174,D57=K175,D57=K176,D57=K177),C28=525,B28=U82),Q84)+IF(AND(OR(D57=K164,D57=K165,D57=K166,D57=K167,D57=K168,D57=K169,D57=K170,D57=K171,D57=K172,D57=K173,D57=K174,D57=K175,D57=K176,D57=K177),C28=600,B28=U82),Q85)+IF(AND(OR(D57=K164,D57=K165,D57=K166,D57=K167,D57=K168,D57=K169,D57=K170,D57=K171,D57=K172,D57=K173,D57=K174,D57=K175,D57=K176,D57=K177),C28=675,B28=U82),Q86)+IF(AND(OR(D57=K164,D57=K165,D57=K166,D57=K167,D57=K168,D57=K169,D57=K170,D57=K171,D57=K172,D57=K173,D57=K174,D57=K175,D57=K176,D57=K177),B28=U83,C28=400),S82)+IF(AND(OR(D57=K164,D57=K165,D57=K166,D57=K167,D57=K168,D57=K169,D57=K170,D57=K171,D57=K172,D57=K173,D57=K174,D57=K175,D57=K176,D57=K177),B28=U83,C28=450),S83)+IF(AND(OR(D57=K164,D57=K165,D57=K166,D57=K167,D57=K168,D57=K169,D57=K170,D57=K171,D57=K172,D57=K173,D57=K174,D57=K175,D57=K176,D57=K177),B28=U83,C28=525),S84)+IF(AND(OR(D57=K164,D57=K165,D57=K166,D57=K167,D57=K168,D57=K169,D57=K170,D57=K171,D57=K172,D57=K173,D57=K174,D57=K175,D57=K176,D57=K177),B28=U83,C28=600),S85)+IF(AND(OR(D57=K164,D57=K165,D57=K166,D57=K167,D57=K168,D57=K169,D57=K170,D57=K171,D57=K172,D57=K173,D57=K174,D57=K175,D57=K176,D57=K177),B28=U83,C28=675),S86)+IF(AND(OR(D57=K164,D57=K165,D57=K166,D57=K167,D57=K168,D57=K169,D57=K170,D57=K171,D57=K172,D57=K173,D57=K174,D57=K175,D57=K176,D57=K177),B28=U83,C28=750),Q87)+IF(AND(OR(D57=K164,D57=K165,D57=K166,D57=K167,D57=K168,D57=K169,D57=K170,D57=K171,D57=K172,D57=K173,D57=K174,D57=K175,D57=K176,D57=K177),B28=U83,C28=750),S87)</f>
        <v>0</v>
      </c>
      <c r="G28" s="255">
        <f>F28*D28</f>
        <v>0</v>
      </c>
      <c r="H28" s="155"/>
      <c r="J28" s="290">
        <f>IF(AND(OR(D57=K164,D57=K165,D57=K166,D57=K167,D57=K168,D57=K169,D57=K170,D57=K171,D57=K172,D57=K173,D57=K174,D57=K175,D57=K176,D57=K177),C28=400,B28=U82),Q82)+IF(AND(OR(D57=K164,D57=K165,D57=K166,D57=K167,D57=K168,D57=K169,D57=K170,D57=K171,D57=K172,D57=K173,D57=K174,D57=K175,D57=K176,D57=K177),C28=450,B28=U82),Q83)+IF(AND(OR(D57=K164,D57=K165,D57=K166,D57=K167,D57=K168,D57=K169,D57=K170,D57=K171,D57=K172,D57=K173,D57=K174,D57=K175,D57=K176,D57=K177),C28=525,B28=U82),Q84)+IF(AND(OR(D57=K164,D57=K165,D57=K166,D57=K167,D57=K168,D57=K169,D57=K170,D57=K171,D57=K172,D57=K173,D57=K174,D57=K175,D57=K176,D57=K177),C28=600,B28=U82),Q85)+IF(AND(OR(D57=K164,D57=K165,D57=K166,D57=K167,D57=K168,D57=K169,D57=K170,D57=K171,D57=K172,D57=K173,D57=K174,D57=K175,D57=K176,D57=K177),C28=675,B28=U82),Q86)+IF(AND(OR(D57=K164,D57=K165,D57=K166,D57=K167,D57=K168,D57=K169,D57=K170,D57=K171,D57=K172,D57=K173,D57=K174,D57=K175,D57=K176,D57=K177),B28=U83,C28=400),S82)+IF(AND(OR(D57=K164,D57=K165,D57=K166,D57=K167,D57=K168,D57=K169,D57=K170,D57=K171,D57=K172,D57=K173,D57=K174,D57=K175,D57=K176,D57=K177),B28=U83,C28=450),S83)+IF(AND(OR(D57=K164,D57=K165,D57=K166,D57=K167,D57=K168,D57=K169,D57=K170,D57=K171,D57=K172,D57=K173,D57=K174,D57=K175,D57=K176,D57=K177),B28=U83,C28=525),S84)+IF(AND(OR(D57=K164,D57=K165,D57=K166,D57=K167,D57=K168,D57=K169,D57=K170,D57=K171,D57=K172,D57=K173,D57=K174,D57=K175,D57=K176,D57=K177),B28=U83,C28=600),S85)+IF(AND(OR(D57=K164,D57=K165,D57=K166,D57=K167,D57=K168,D57=K169,D57=K170,D57=K171,D57=K172,D57=K173,D57=K174,D57=K175,D57=K176,D57=K177),B28=U83,C28=675),S86)+IF(AND(OR(D57=K164,D57=K165,D57=K166,D57=K167,D57=K168,D57=K169,D57=K170,D57=K171,D57=K172,D57=K173,D57=K174,D57=K175,D57=K176,D57=K177),B28=U83,C28=750),Q87)+IF(AND(OR(D57=K164,D57=K165,D57=K166,D57=K167,D57=K168,D57=K169,D57=K170,D57=K171,D57=K172,D57=K173,D57=K174,D57=K175,D57=K176,D57=K177),B28=U83,C28=750),S87)</f>
        <v>0</v>
      </c>
      <c r="K28" s="1"/>
      <c r="L28" s="1"/>
      <c r="M28" s="52"/>
      <c r="N28" s="162"/>
      <c r="P28" s="1"/>
      <c r="Q28" s="52"/>
      <c r="R28" s="52"/>
      <c r="W28" s="162"/>
      <c r="X28" s="162"/>
      <c r="Y28" s="162"/>
      <c r="Z28" s="1"/>
      <c r="AA28" s="162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</row>
    <row r="29" spans="1:112" s="75" customFormat="1" ht="12.75" x14ac:dyDescent="0.2">
      <c r="B29" s="55" t="s">
        <v>37</v>
      </c>
      <c r="C29" s="5">
        <v>1</v>
      </c>
      <c r="D29" s="5">
        <v>1</v>
      </c>
      <c r="E29" s="5" t="s">
        <v>13</v>
      </c>
      <c r="F29" s="252">
        <f>IF(AND(NOT(OR(C57=L167,C57=L168,C57=L169,C57=L171,C57=L172)),C11&lt;=12),O108)+IF(AND(NOT(OR(C57=L167,C57=L168,C57=L169,C57=L171,C57=L172)),C11&gt;12,C11&lt;=24),O109)+IF(AND(C11&gt;24,C11&lt;=36),O110)+IF(AND(NOT(OR(C57=L167,C57=L168,C57=L169,C57=L171,C57=L172)),C11&gt;36,C11&lt;=48),O111)+IF(AND(NOT(OR(C57=L167,C57=L168,C57=L169,C57=L171,C57=L172)),C11&gt;48),O112)</f>
        <v>1500</v>
      </c>
      <c r="G29" s="253">
        <f>F29*D29</f>
        <v>1500</v>
      </c>
      <c r="H29" s="155"/>
      <c r="J29" s="290"/>
      <c r="K29" s="1"/>
      <c r="L29" s="1"/>
      <c r="M29" s="52"/>
      <c r="N29" s="52"/>
      <c r="O29" s="52"/>
      <c r="P29" s="52"/>
      <c r="Q29" s="52"/>
      <c r="R29" s="52"/>
      <c r="W29" s="162"/>
      <c r="X29" s="162"/>
      <c r="Y29" s="162"/>
      <c r="Z29" s="1"/>
      <c r="AA29" s="162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</row>
    <row r="30" spans="1:112" s="75" customFormat="1" ht="12.75" x14ac:dyDescent="0.2">
      <c r="B30" s="4" t="s">
        <v>174</v>
      </c>
      <c r="C30" s="13">
        <f>C9+0.5</f>
        <v>3.5</v>
      </c>
      <c r="D30" s="13">
        <f>C28</f>
        <v>400</v>
      </c>
      <c r="E30" s="23" t="s">
        <v>53</v>
      </c>
      <c r="F30" s="254">
        <f>+IF(AND(C14=N115,B30=N116,D30=L117),N117)+IF(AND(C14=N115,B30=N116,D30=L118),N118)+IF(AND(C14=N115,B30=N116,D30=L119),N119)+IF(AND(C14=N115,B30=N116,D30=L120),N120)+IF(AND(C14=N115,B30=N116,D30=L121),N121)+IF(AND(C14=N115,B30=N116,D30=L122),N122)+IF(AND(C14=N115,B30=O116,D30=L117),O117)+IF(AND(C14=N115,B30=O116,D30=L118),O118)+IF(AND(C14=N115,B30=O116,D30=L119),O119)+IF(AND(C14=N115,B30=O116,D30=L120),O120)+IF(AND(C14=N115,B30=O116,D30=L121),O121)+IF(AND(C14=N115,B30=O116,D30=L122),O122)+IF(AND(C14=P115,B30=P116,D30=L117),P117)+IF(AND(C14=P115,B30=P116,D30=L118),P118)+IF(AND(C14=P115,B30=P116,D30=L119),P119)+IF(AND(C14=P115,B30=P116,D30=L120),P120)+IF(AND(C14=P115,B30=P116,D30=L121),P121)+IF(AND(C14=P115,B30=P116,D30=L122),P122)+IF(AND(C14=P115,B30=Q116,D30=L117),Q117)+IF(AND(C14=P115,B30=Q116,D30=L118),Q118)+IF(AND(C14=P115,B30=Q116,D30=L119),Q119)+IF(AND(C14=P115,B30=Q116,D30=L120),Q120)+IF(AND(C14=P115,B30=Q116,D30=L121),Q121)+IF(AND(C14=P115,B30=Q116,D30=L122),Q122)</f>
        <v>0</v>
      </c>
      <c r="G30" s="255">
        <f>(F30*C30)+(IF(OR(C17=AB62,C17=AB63),100*C11))</f>
        <v>0</v>
      </c>
      <c r="H30" s="155"/>
      <c r="J30" s="290"/>
      <c r="K30" s="1"/>
      <c r="L30" s="1"/>
      <c r="M30" s="52"/>
      <c r="N30" s="52"/>
      <c r="O30" s="52"/>
      <c r="P30" s="52"/>
      <c r="Q30" s="52"/>
      <c r="R30" s="52"/>
      <c r="W30" s="162"/>
      <c r="X30" s="162"/>
      <c r="Y30" s="162"/>
      <c r="Z30" s="1"/>
      <c r="AA30" s="162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</row>
    <row r="31" spans="1:112" s="75" customFormat="1" thickBot="1" x14ac:dyDescent="0.25">
      <c r="B31" s="38" t="s">
        <v>175</v>
      </c>
      <c r="C31" s="5">
        <v>1</v>
      </c>
      <c r="D31" s="5">
        <v>1</v>
      </c>
      <c r="E31" s="5" t="s">
        <v>13</v>
      </c>
      <c r="F31" s="252">
        <f>+IF(C14=M124,M125)+IF(C14=N124,N125)</f>
        <v>0</v>
      </c>
      <c r="G31" s="253">
        <f>F31*D31</f>
        <v>0</v>
      </c>
      <c r="H31" s="155"/>
      <c r="J31" s="290"/>
      <c r="K31" s="1"/>
      <c r="L31" s="1"/>
      <c r="M31" s="1"/>
      <c r="N31" s="722" t="str">
        <f>+L11</f>
        <v>MS</v>
      </c>
      <c r="O31" s="722"/>
      <c r="P31" s="722"/>
      <c r="Q31" s="722"/>
      <c r="R31" s="722"/>
      <c r="S31" s="722"/>
      <c r="T31" s="722"/>
      <c r="U31" s="722"/>
      <c r="W31" s="162"/>
      <c r="X31" s="162"/>
      <c r="Y31" s="162"/>
      <c r="Z31" s="1"/>
      <c r="AA31" s="162" t="s">
        <v>16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</row>
    <row r="32" spans="1:112" s="75" customFormat="1" ht="12.75" x14ac:dyDescent="0.2">
      <c r="A32" s="1"/>
      <c r="B32" s="36" t="s">
        <v>65</v>
      </c>
      <c r="C32" s="13">
        <v>1</v>
      </c>
      <c r="D32" s="13">
        <v>1</v>
      </c>
      <c r="E32" s="23" t="s">
        <v>54</v>
      </c>
      <c r="F32" s="254">
        <v>1800</v>
      </c>
      <c r="G32" s="255">
        <f>F32*D32</f>
        <v>1800</v>
      </c>
      <c r="H32" s="103"/>
      <c r="I32" s="1"/>
      <c r="J32" s="290"/>
      <c r="K32" s="75" t="s">
        <v>254</v>
      </c>
      <c r="L32" s="199" t="s">
        <v>240</v>
      </c>
      <c r="M32" s="200" t="s">
        <v>243</v>
      </c>
      <c r="N32" s="205" t="s">
        <v>166</v>
      </c>
      <c r="O32" s="206" t="str">
        <f>N11</f>
        <v>Corrogated 75mm MS</v>
      </c>
      <c r="P32" s="205" t="s">
        <v>166</v>
      </c>
      <c r="Q32" s="207" t="str">
        <f>N14</f>
        <v>Corrogated 90mm MS</v>
      </c>
      <c r="R32" s="205" t="s">
        <v>166</v>
      </c>
      <c r="S32" s="207" t="str">
        <f>N17</f>
        <v>Corrogated 115mm MS</v>
      </c>
      <c r="T32" s="205" t="s">
        <v>166</v>
      </c>
      <c r="U32" s="207" t="str">
        <f>N20</f>
        <v>Flat 85mm MS</v>
      </c>
      <c r="V32" s="208" t="s">
        <v>91</v>
      </c>
      <c r="W32" s="162"/>
      <c r="X32" s="162"/>
      <c r="Y32" s="162"/>
      <c r="Z32" s="1"/>
      <c r="AA32" s="162" t="s">
        <v>149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</row>
    <row r="33" spans="1:112" ht="12.75" x14ac:dyDescent="0.2">
      <c r="B33" s="38" t="s">
        <v>38</v>
      </c>
      <c r="C33" s="5">
        <v>1</v>
      </c>
      <c r="D33" s="5">
        <v>1</v>
      </c>
      <c r="E33" s="5" t="s">
        <v>54</v>
      </c>
      <c r="F33" s="252">
        <f>IF(C11&lt;=12,O133)+IF(AND(C11&gt;12,C11&lt;=24),O134)+IF(AND(C11&gt;24,C11&lt;=36),O135)+IF(C11&gt;36,O136)</f>
        <v>1500</v>
      </c>
      <c r="G33" s="253">
        <f>D33*F33</f>
        <v>1500</v>
      </c>
      <c r="H33" s="103"/>
      <c r="J33" s="287"/>
      <c r="L33" s="296" t="s">
        <v>220</v>
      </c>
      <c r="M33" s="300">
        <v>290</v>
      </c>
      <c r="N33" s="304">
        <f>+(1.2*0.133*1*7.85)</f>
        <v>1.2528599999999999</v>
      </c>
      <c r="O33" s="210">
        <f>CEILING($M$33*N33,2)</f>
        <v>364</v>
      </c>
      <c r="P33" s="304">
        <f>+(1.2*0.113*1*7.85)</f>
        <v>1.06446</v>
      </c>
      <c r="Q33" s="210">
        <f>CEILING($M$33*P33,2)</f>
        <v>310</v>
      </c>
      <c r="R33" s="306">
        <f>+(1.2*0.133*1*7.85)</f>
        <v>1.2528599999999999</v>
      </c>
      <c r="S33" s="210">
        <f>CEILING($M$33*R33,2)</f>
        <v>364</v>
      </c>
      <c r="T33" s="306">
        <f>+(1.2*0.155*1*7.85)</f>
        <v>1.4601</v>
      </c>
      <c r="U33" s="210">
        <f>CEILING($M$33*T33,2)</f>
        <v>424</v>
      </c>
      <c r="V33" s="211" t="s">
        <v>92</v>
      </c>
      <c r="X33" s="162"/>
      <c r="Y33" s="162"/>
      <c r="Z33" s="75"/>
      <c r="AA33" s="162" t="s">
        <v>18</v>
      </c>
    </row>
    <row r="34" spans="1:112" ht="12.75" x14ac:dyDescent="0.2">
      <c r="A34" s="75"/>
      <c r="B34" s="38" t="s">
        <v>39</v>
      </c>
      <c r="C34" s="5">
        <v>0</v>
      </c>
      <c r="D34" s="5">
        <f>C11</f>
        <v>9</v>
      </c>
      <c r="E34" s="5" t="s">
        <v>55</v>
      </c>
      <c r="F34" s="252">
        <f>IF(C11&lt;=12,O139)+IF(AND(C11&gt;12,C11&lt;=24),O140)+IF(AND(C11&gt;24,C11&lt;=36),O141)+IF(AND(C11&gt;36,C11&lt;=48),O142)+IF(C11&gt;48,O143)</f>
        <v>650</v>
      </c>
      <c r="G34" s="253">
        <f>F34*D34</f>
        <v>5850</v>
      </c>
      <c r="H34" s="155"/>
      <c r="I34" s="75"/>
      <c r="J34" s="287"/>
      <c r="L34" s="296" t="s">
        <v>222</v>
      </c>
      <c r="M34" s="300">
        <v>290</v>
      </c>
      <c r="N34" s="304">
        <f>+(1*0.133*1*7.85)</f>
        <v>1.0440499999999999</v>
      </c>
      <c r="O34" s="210">
        <f>CEILING($M$34*N34,1)</f>
        <v>303</v>
      </c>
      <c r="P34" s="304">
        <f>+(1*0.113*1*7.85)</f>
        <v>0.88705000000000001</v>
      </c>
      <c r="Q34" s="210">
        <f>CEILING($M$34*P34,1)</f>
        <v>258</v>
      </c>
      <c r="R34" s="306">
        <f>+(1*0.133*1*7.85)</f>
        <v>1.0440499999999999</v>
      </c>
      <c r="S34" s="210">
        <f>CEILING($M$34*R34,1)</f>
        <v>303</v>
      </c>
      <c r="T34" s="306">
        <f>+(1*0.155*1*7.85)</f>
        <v>1.21675</v>
      </c>
      <c r="U34" s="210">
        <f>CEILING($M$34*T34,1)</f>
        <v>353</v>
      </c>
      <c r="V34" s="211" t="s">
        <v>92</v>
      </c>
      <c r="X34" s="162"/>
      <c r="Y34" s="162"/>
      <c r="Z34" s="75"/>
      <c r="AA34" s="162" t="s">
        <v>17</v>
      </c>
    </row>
    <row r="35" spans="1:112" s="75" customFormat="1" ht="13.5" thickBot="1" x14ac:dyDescent="0.25">
      <c r="A35" s="1"/>
      <c r="B35" s="36" t="s">
        <v>57</v>
      </c>
      <c r="C35" s="13">
        <v>0</v>
      </c>
      <c r="D35" s="13">
        <f>C11</f>
        <v>9</v>
      </c>
      <c r="E35" s="13" t="s">
        <v>55</v>
      </c>
      <c r="F35" s="254">
        <v>30</v>
      </c>
      <c r="G35" s="256">
        <f>F35*D35</f>
        <v>270</v>
      </c>
      <c r="H35" s="103"/>
      <c r="I35" s="1"/>
      <c r="J35" s="290"/>
      <c r="K35" s="1"/>
      <c r="L35" s="297" t="s">
        <v>225</v>
      </c>
      <c r="M35" s="301">
        <v>290</v>
      </c>
      <c r="N35" s="305">
        <f>+(0.9*0.133*1*7.85)</f>
        <v>0.93964500000000006</v>
      </c>
      <c r="O35" s="213">
        <f>CEILING($M$35*N35,1)</f>
        <v>273</v>
      </c>
      <c r="P35" s="305">
        <f>+(0.9*0.113*1*7.85)</f>
        <v>0.79834499999999997</v>
      </c>
      <c r="Q35" s="213">
        <f>CEILING($M$35*P35,1)</f>
        <v>232</v>
      </c>
      <c r="R35" s="307">
        <f>+(0.9*0.133*1*7.85)</f>
        <v>0.93964500000000006</v>
      </c>
      <c r="S35" s="213">
        <f>CEILING($M$35*R35,1)</f>
        <v>273</v>
      </c>
      <c r="T35" s="307">
        <f>+(0.9*0.155*1*7.85)</f>
        <v>1.095075</v>
      </c>
      <c r="U35" s="213">
        <f>CEILING($M$35*T35,1)</f>
        <v>318</v>
      </c>
      <c r="V35" s="214" t="s">
        <v>92</v>
      </c>
      <c r="W35" s="1"/>
      <c r="X35" s="162"/>
      <c r="Y35" s="162"/>
      <c r="AA35" s="162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</row>
    <row r="36" spans="1:112" ht="13.5" thickBot="1" x14ac:dyDescent="0.25">
      <c r="B36" s="133" t="s">
        <v>40</v>
      </c>
      <c r="C36" s="24"/>
      <c r="D36" s="24"/>
      <c r="E36" s="24"/>
      <c r="F36" s="134"/>
      <c r="G36" s="263">
        <f>SUM(G23:G35)</f>
        <v>83342.55</v>
      </c>
      <c r="H36" s="156"/>
      <c r="J36" s="287"/>
      <c r="M36" s="292"/>
      <c r="O36" s="39"/>
      <c r="S36" s="75"/>
      <c r="T36" s="75"/>
      <c r="U36" s="75"/>
      <c r="V36" s="75"/>
      <c r="X36" s="162"/>
      <c r="Y36" s="162"/>
      <c r="Z36" s="52"/>
      <c r="AA36" s="162" t="s">
        <v>1</v>
      </c>
    </row>
    <row r="37" spans="1:112" ht="13.5" thickBot="1" x14ac:dyDescent="0.25">
      <c r="B37" s="137" t="s">
        <v>70</v>
      </c>
      <c r="C37" s="138"/>
      <c r="D37" s="138"/>
      <c r="E37" s="138"/>
      <c r="F37" s="138"/>
      <c r="G37" s="138"/>
      <c r="H37" s="264">
        <f>CEILING((G36/C11),1)</f>
        <v>9261</v>
      </c>
      <c r="J37" s="287"/>
      <c r="M37" s="292"/>
      <c r="O37" s="39"/>
      <c r="S37" s="75"/>
      <c r="T37" s="75"/>
      <c r="U37" s="75"/>
      <c r="V37" s="75"/>
      <c r="X37" s="162"/>
      <c r="Y37" s="162"/>
      <c r="Z37" s="52"/>
      <c r="AA37" s="162" t="s">
        <v>2</v>
      </c>
    </row>
    <row r="38" spans="1:112" ht="12.75" customHeight="1" x14ac:dyDescent="0.2">
      <c r="B38" s="135" t="s">
        <v>24</v>
      </c>
      <c r="C38" s="173" t="s">
        <v>23</v>
      </c>
      <c r="D38" s="136">
        <f>C9</f>
        <v>3</v>
      </c>
      <c r="E38" s="173">
        <v>0</v>
      </c>
      <c r="F38" s="252">
        <v>650</v>
      </c>
      <c r="G38" s="253">
        <f>IF(OR(C38=AA81,C38=AA82),F38*(E38*D38),0)</f>
        <v>0</v>
      </c>
      <c r="H38" s="154"/>
      <c r="J38" s="287"/>
      <c r="M38" s="292"/>
      <c r="N38" s="722" t="str">
        <f>L12</f>
        <v xml:space="preserve">GI Strips </v>
      </c>
      <c r="O38" s="722"/>
      <c r="P38" s="722"/>
      <c r="Q38" s="722"/>
      <c r="R38" s="722"/>
      <c r="S38" s="722"/>
      <c r="T38" s="722"/>
      <c r="U38" s="722"/>
      <c r="V38" s="75"/>
      <c r="X38" s="162"/>
      <c r="Y38" s="162"/>
      <c r="Z38" s="52"/>
      <c r="AA38" s="162" t="s">
        <v>3</v>
      </c>
    </row>
    <row r="39" spans="1:112" ht="13.5" customHeight="1" x14ac:dyDescent="0.2">
      <c r="B39" s="36" t="s">
        <v>25</v>
      </c>
      <c r="C39" s="57" t="s">
        <v>62</v>
      </c>
      <c r="D39" s="13">
        <f>C9</f>
        <v>3</v>
      </c>
      <c r="E39" s="57">
        <v>4.5</v>
      </c>
      <c r="F39" s="252">
        <v>3000</v>
      </c>
      <c r="G39" s="253">
        <f>IF(OR(C39=AA85,C39=AA86),F39*(D39*E39),0)</f>
        <v>40500</v>
      </c>
      <c r="H39" s="103"/>
      <c r="I39" s="86"/>
      <c r="J39" s="287"/>
      <c r="K39" s="1" t="s">
        <v>255</v>
      </c>
      <c r="L39" s="293" t="s">
        <v>241</v>
      </c>
      <c r="M39" s="302" t="s">
        <v>244</v>
      </c>
      <c r="N39" s="294" t="s">
        <v>166</v>
      </c>
      <c r="O39" s="210" t="str">
        <f>N12</f>
        <v>Corrogated 75mm GI</v>
      </c>
      <c r="P39" s="294" t="s">
        <v>166</v>
      </c>
      <c r="Q39" s="209" t="str">
        <f>N15</f>
        <v>Corrogated 90mm GI</v>
      </c>
      <c r="R39" s="294" t="s">
        <v>166</v>
      </c>
      <c r="S39" s="209" t="str">
        <f>N18</f>
        <v>Corrogated 115mm GI</v>
      </c>
      <c r="T39" s="294" t="s">
        <v>166</v>
      </c>
      <c r="U39" s="209" t="str">
        <f>N21</f>
        <v>Flat 85mm GI</v>
      </c>
      <c r="V39" s="209" t="s">
        <v>91</v>
      </c>
      <c r="X39" s="162"/>
      <c r="Y39" s="162"/>
      <c r="Z39" s="52"/>
    </row>
    <row r="40" spans="1:112" ht="13.5" customHeight="1" x14ac:dyDescent="0.2">
      <c r="B40" s="60" t="s">
        <v>58</v>
      </c>
      <c r="C40" s="57" t="s">
        <v>23</v>
      </c>
      <c r="D40" s="57"/>
      <c r="E40" s="59">
        <f>C11</f>
        <v>9</v>
      </c>
      <c r="F40" s="252">
        <f>+IF(C40=AA89,AB89)+IF(C40=AA90,AB90)+IF(C40=AA91,AB91)</f>
        <v>0</v>
      </c>
      <c r="G40" s="253">
        <f>IF(OR(C40=AA89,C40=AA90),F40*E40,0)</f>
        <v>0</v>
      </c>
      <c r="H40" s="103"/>
      <c r="I40" s="86"/>
      <c r="J40" s="288"/>
      <c r="L40" s="295" t="s">
        <v>221</v>
      </c>
      <c r="M40" s="300">
        <v>275</v>
      </c>
      <c r="N40" s="306">
        <f>+(1.2*0.133*1*7.85)</f>
        <v>1.2528599999999999</v>
      </c>
      <c r="O40" s="210">
        <f>CEILING($M$40*N40,2)</f>
        <v>346</v>
      </c>
      <c r="P40" s="306">
        <f>+(1.2*0.113*1*7.85)</f>
        <v>1.06446</v>
      </c>
      <c r="Q40" s="210">
        <f>CEILING($M$40*P40,2)</f>
        <v>294</v>
      </c>
      <c r="R40" s="306">
        <f>+(1.2*0.133*1*7.85)</f>
        <v>1.2528599999999999</v>
      </c>
      <c r="S40" s="210">
        <f>CEILING($M$40*R40,2)</f>
        <v>346</v>
      </c>
      <c r="T40" s="306">
        <f>+(1.2*0.155*1*7.85)</f>
        <v>1.4601</v>
      </c>
      <c r="U40" s="210">
        <f>CEILING($M$40*T40,2)</f>
        <v>402</v>
      </c>
      <c r="V40" s="209" t="s">
        <v>92</v>
      </c>
      <c r="X40" s="162"/>
      <c r="Y40" s="162"/>
      <c r="Z40" s="52"/>
    </row>
    <row r="41" spans="1:112" ht="12.75" x14ac:dyDescent="0.2">
      <c r="B41" s="60" t="s">
        <v>64</v>
      </c>
      <c r="C41" s="173" t="s">
        <v>31</v>
      </c>
      <c r="D41" s="173" t="s">
        <v>66</v>
      </c>
      <c r="E41" s="59" t="s">
        <v>13</v>
      </c>
      <c r="F41" s="252">
        <f>IF(D41=R94,S94)+IF(D41=R95,S95)+IF(D41=R96,S96)</f>
        <v>40000</v>
      </c>
      <c r="G41" s="253">
        <f>IF(C41=AA87,0,F41)</f>
        <v>40000</v>
      </c>
      <c r="H41" s="97"/>
      <c r="I41" s="86"/>
      <c r="J41" s="288"/>
      <c r="L41" s="295" t="s">
        <v>223</v>
      </c>
      <c r="M41" s="300">
        <v>280</v>
      </c>
      <c r="N41" s="306">
        <f>+(1*0.133*1*7.85)</f>
        <v>1.0440499999999999</v>
      </c>
      <c r="O41" s="210">
        <f>CEILING($M$41*N41,1)</f>
        <v>293</v>
      </c>
      <c r="P41" s="306">
        <f>+(1*0.113*1*7.85)</f>
        <v>0.88705000000000001</v>
      </c>
      <c r="Q41" s="210">
        <f>CEILING($M$41*P41,1)</f>
        <v>249</v>
      </c>
      <c r="R41" s="306">
        <f>+(1*0.133*1*7.85)</f>
        <v>1.0440499999999999</v>
      </c>
      <c r="S41" s="210">
        <f>CEILING($M$41*R41,1)</f>
        <v>293</v>
      </c>
      <c r="T41" s="306">
        <f>+(1*0.155*1*7.85)</f>
        <v>1.21675</v>
      </c>
      <c r="U41" s="210">
        <f>CEILING($M$41*T41,1)</f>
        <v>341</v>
      </c>
      <c r="V41" s="209" t="s">
        <v>92</v>
      </c>
      <c r="X41" s="162"/>
      <c r="Y41" s="162"/>
      <c r="Z41" s="52"/>
    </row>
    <row r="42" spans="1:112" ht="12.75" customHeight="1" x14ac:dyDescent="0.2">
      <c r="B42" s="60" t="s">
        <v>158</v>
      </c>
      <c r="C42" s="173" t="s">
        <v>31</v>
      </c>
      <c r="D42" s="57">
        <v>0</v>
      </c>
      <c r="E42" s="59" t="s">
        <v>179</v>
      </c>
      <c r="F42" s="252">
        <v>450</v>
      </c>
      <c r="G42" s="253">
        <f>+F42*D42</f>
        <v>0</v>
      </c>
      <c r="H42" s="97"/>
      <c r="I42" s="86"/>
      <c r="J42" s="288"/>
      <c r="L42" s="295" t="s">
        <v>226</v>
      </c>
      <c r="M42" s="300">
        <v>285</v>
      </c>
      <c r="N42" s="306">
        <f>+(0.9*0.133*1*7.85)</f>
        <v>0.93964500000000006</v>
      </c>
      <c r="O42" s="210">
        <f>CEILING($M$42*N42,1)</f>
        <v>268</v>
      </c>
      <c r="P42" s="306">
        <f>+(0.9*0.113*1*7.85)</f>
        <v>0.79834499999999997</v>
      </c>
      <c r="Q42" s="210">
        <f>CEILING($M$42*P42,1)</f>
        <v>228</v>
      </c>
      <c r="R42" s="306">
        <f>+(0.9*0.133*1*7.85)</f>
        <v>0.93964500000000006</v>
      </c>
      <c r="S42" s="210">
        <f>CEILING($M$42*R42,1)</f>
        <v>268</v>
      </c>
      <c r="T42" s="306">
        <f>+(0.9*0.155*1*7.85)</f>
        <v>1.095075</v>
      </c>
      <c r="U42" s="210">
        <f>CEILING($M$42*T42,1)</f>
        <v>313</v>
      </c>
      <c r="V42" s="209" t="s">
        <v>92</v>
      </c>
      <c r="X42" s="162"/>
      <c r="Y42" s="162"/>
      <c r="Z42" s="52"/>
    </row>
    <row r="43" spans="1:112" ht="12.75" x14ac:dyDescent="0.2">
      <c r="B43" s="60" t="s">
        <v>126</v>
      </c>
      <c r="C43" s="57"/>
      <c r="D43" s="57">
        <v>0</v>
      </c>
      <c r="E43" s="59">
        <f>C11</f>
        <v>9</v>
      </c>
      <c r="F43" s="15"/>
      <c r="G43" s="160">
        <f>E43*D43</f>
        <v>0</v>
      </c>
      <c r="H43" s="37"/>
      <c r="I43" s="86"/>
      <c r="J43" s="288"/>
      <c r="M43" s="292"/>
      <c r="O43" s="39"/>
      <c r="S43" s="75"/>
      <c r="T43" s="75"/>
      <c r="U43" s="75"/>
      <c r="V43" s="75"/>
      <c r="X43" s="162"/>
      <c r="Y43" s="162"/>
      <c r="Z43" s="52"/>
    </row>
    <row r="44" spans="1:112" ht="15" customHeight="1" x14ac:dyDescent="0.2">
      <c r="B44" s="60" t="s">
        <v>150</v>
      </c>
      <c r="C44" s="171"/>
      <c r="D44" s="171"/>
      <c r="E44" s="59"/>
      <c r="F44" s="172">
        <v>0.04</v>
      </c>
      <c r="G44" s="253">
        <f>(G36+G38+G39+G40+G41+G43)*F44</f>
        <v>6553.7019999999993</v>
      </c>
      <c r="H44" s="169"/>
      <c r="I44" s="86"/>
      <c r="J44" s="288"/>
      <c r="M44" s="292"/>
      <c r="O44" s="39"/>
      <c r="S44" s="75"/>
      <c r="T44" s="75"/>
      <c r="U44" s="75"/>
      <c r="V44" s="75"/>
      <c r="X44" s="162"/>
      <c r="Y44" s="162"/>
      <c r="Z44" s="52"/>
      <c r="DF44" s="75"/>
      <c r="DG44" s="75"/>
      <c r="DH44" s="75"/>
    </row>
    <row r="45" spans="1:112" thickBot="1" x14ac:dyDescent="0.25">
      <c r="B45" s="36" t="s">
        <v>41</v>
      </c>
      <c r="C45" s="15"/>
      <c r="D45" s="3"/>
      <c r="E45" s="3"/>
      <c r="F45" s="27">
        <v>0.02</v>
      </c>
      <c r="G45" s="253">
        <f ca="1">G47*F45</f>
        <v>3786.5833777777775</v>
      </c>
      <c r="H45" s="154"/>
      <c r="I45" s="86"/>
      <c r="J45" s="288"/>
      <c r="M45" s="292"/>
      <c r="N45" s="722" t="str">
        <f>+L14</f>
        <v>Galvalum</v>
      </c>
      <c r="O45" s="722"/>
      <c r="P45" s="722"/>
      <c r="Q45" s="722"/>
      <c r="R45" s="722"/>
      <c r="S45" s="722"/>
      <c r="T45" s="722"/>
      <c r="U45" s="722"/>
      <c r="V45" s="75"/>
      <c r="X45" s="162"/>
      <c r="Y45" s="162"/>
      <c r="Z45" s="52"/>
      <c r="DF45" s="75"/>
      <c r="DG45" s="75"/>
      <c r="DH45" s="75"/>
    </row>
    <row r="46" spans="1:112" ht="13.5" thickBot="1" x14ac:dyDescent="0.25">
      <c r="B46" s="36" t="s">
        <v>69</v>
      </c>
      <c r="C46" s="57" t="s">
        <v>17</v>
      </c>
      <c r="D46" s="3"/>
      <c r="E46" s="3"/>
      <c r="F46" s="27">
        <f>IF(C46=AA31,0)+IF(C46=AA33,M145)+IF(C46=AA34,M146)+IF(C46=AA32,M144)</f>
        <v>0.08</v>
      </c>
      <c r="G46" s="253">
        <f ca="1">G47*F46</f>
        <v>15146.33351111111</v>
      </c>
      <c r="H46" s="103"/>
      <c r="I46" s="86"/>
      <c r="J46" s="288"/>
      <c r="K46" s="1" t="s">
        <v>256</v>
      </c>
      <c r="L46" s="199" t="s">
        <v>242</v>
      </c>
      <c r="M46" s="303" t="s">
        <v>245</v>
      </c>
      <c r="N46" s="201" t="s">
        <v>166</v>
      </c>
      <c r="O46" s="202" t="str">
        <f>N13</f>
        <v>Corrogated 75mm GAL</v>
      </c>
      <c r="P46" s="201" t="s">
        <v>166</v>
      </c>
      <c r="Q46" s="203" t="str">
        <f>N16</f>
        <v>Corrogated 90mm GAL</v>
      </c>
      <c r="R46" s="201" t="s">
        <v>166</v>
      </c>
      <c r="S46" s="203" t="str">
        <f>N19</f>
        <v>Corrogated 115mm GAL</v>
      </c>
      <c r="T46" s="201" t="s">
        <v>166</v>
      </c>
      <c r="U46" s="203" t="str">
        <f>N22</f>
        <v>Flat 85mm GAL</v>
      </c>
      <c r="V46" s="204" t="s">
        <v>91</v>
      </c>
      <c r="W46" s="162"/>
      <c r="X46" s="162"/>
      <c r="Y46" s="162"/>
      <c r="Z46" s="52"/>
      <c r="DF46" s="75"/>
      <c r="DG46" s="75"/>
      <c r="DH46" s="75"/>
    </row>
    <row r="47" spans="1:112" ht="13.5" thickBot="1" x14ac:dyDescent="0.25">
      <c r="B47" s="151" t="s">
        <v>63</v>
      </c>
      <c r="C47" s="152"/>
      <c r="D47" s="152"/>
      <c r="E47" s="152"/>
      <c r="F47" s="153"/>
      <c r="G47" s="264">
        <f ca="1">SUM(G36:G46)</f>
        <v>189329.16888888887</v>
      </c>
      <c r="H47" s="264">
        <f ca="1">CEILING((G47/C11),1)</f>
        <v>21037</v>
      </c>
      <c r="I47" s="86"/>
      <c r="J47" s="288"/>
      <c r="K47" s="188">
        <v>1.2</v>
      </c>
      <c r="L47" s="295" t="s">
        <v>224</v>
      </c>
      <c r="M47" s="300">
        <f>290*2</f>
        <v>580</v>
      </c>
      <c r="N47" s="306">
        <f>+(1.2*0.133*1*7.85)</f>
        <v>1.2528599999999999</v>
      </c>
      <c r="O47" s="210">
        <f>CEILING($M$47*N47,2)</f>
        <v>728</v>
      </c>
      <c r="P47" s="306">
        <f>+(1.2*0.113*1*7.85)</f>
        <v>1.06446</v>
      </c>
      <c r="Q47" s="210">
        <f>CEILING($M$47*P47,2)</f>
        <v>618</v>
      </c>
      <c r="R47" s="306">
        <f>+(1.2*0.133*1*7.85)</f>
        <v>1.2528599999999999</v>
      </c>
      <c r="S47" s="210">
        <f>CEILING($M$47*R47,2)</f>
        <v>728</v>
      </c>
      <c r="T47" s="306">
        <f>+(1.2*0.155*1*7.85)</f>
        <v>1.4601</v>
      </c>
      <c r="U47" s="210">
        <f>CEILING($M$47*T47,2)</f>
        <v>848</v>
      </c>
      <c r="V47" s="211" t="s">
        <v>92</v>
      </c>
      <c r="W47" s="162"/>
      <c r="X47" s="162"/>
      <c r="Y47" s="162"/>
      <c r="DF47" s="75"/>
      <c r="DG47" s="75"/>
      <c r="DH47" s="75"/>
    </row>
    <row r="48" spans="1:112" ht="13.5" thickBot="1" x14ac:dyDescent="0.25">
      <c r="B48" s="36" t="s">
        <v>142</v>
      </c>
      <c r="C48" s="15"/>
      <c r="D48" s="3"/>
      <c r="E48" s="3"/>
      <c r="F48" s="27">
        <v>0.2</v>
      </c>
      <c r="G48" s="253">
        <f ca="1">G51*F48</f>
        <v>75731.66755555557</v>
      </c>
      <c r="H48" s="103"/>
      <c r="I48" s="86"/>
      <c r="J48" s="288"/>
      <c r="K48" s="188">
        <v>1</v>
      </c>
      <c r="W48" s="162"/>
      <c r="X48" s="162"/>
      <c r="Y48" s="162"/>
      <c r="DF48" s="75"/>
      <c r="DG48" s="75"/>
      <c r="DH48" s="75"/>
    </row>
    <row r="49" spans="2:114" ht="13.5" thickBot="1" x14ac:dyDescent="0.25">
      <c r="B49" s="144" t="s">
        <v>63</v>
      </c>
      <c r="C49" s="142"/>
      <c r="D49" s="142"/>
      <c r="E49" s="142"/>
      <c r="F49" s="143"/>
      <c r="G49" s="264">
        <f ca="1">SUM(G47:G48)</f>
        <v>265060.83644444443</v>
      </c>
      <c r="H49" s="264">
        <f ca="1">CEILING((G49/C11),1)</f>
        <v>29452</v>
      </c>
      <c r="I49" s="86"/>
      <c r="J49" s="288"/>
      <c r="K49" s="188">
        <v>0.9</v>
      </c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163"/>
      <c r="X49" s="163"/>
      <c r="Y49" s="163"/>
      <c r="Z49" s="75"/>
      <c r="DF49" s="75"/>
      <c r="DG49" s="75"/>
      <c r="DH49" s="75"/>
    </row>
    <row r="50" spans="2:114" ht="13.5" thickBot="1" x14ac:dyDescent="0.25">
      <c r="B50" s="139" t="s">
        <v>0</v>
      </c>
      <c r="C50" s="95"/>
      <c r="D50" s="95"/>
      <c r="E50" s="95"/>
      <c r="F50" s="95"/>
      <c r="G50" s="104">
        <f>IF(C8=L6,M6)+IF(C8=L7,M7)+IF(C8=L8,M8)</f>
        <v>0.7</v>
      </c>
      <c r="H50" s="103"/>
      <c r="I50" s="86"/>
      <c r="J50" s="288"/>
      <c r="K50" s="188">
        <v>0.8</v>
      </c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163"/>
      <c r="X50" s="163"/>
      <c r="Y50" s="163"/>
      <c r="Z50" s="75"/>
      <c r="DF50" s="75"/>
      <c r="DG50" s="75"/>
      <c r="DH50" s="75"/>
    </row>
    <row r="51" spans="2:114" ht="13.5" thickBot="1" x14ac:dyDescent="0.25">
      <c r="B51" s="140" t="s">
        <v>147</v>
      </c>
      <c r="C51" s="141"/>
      <c r="D51" s="141"/>
      <c r="E51" s="141"/>
      <c r="F51" s="141"/>
      <c r="G51" s="264">
        <f ca="1">G49/G50</f>
        <v>378658.33777777781</v>
      </c>
      <c r="H51" s="264">
        <f ca="1">CEILING((G51/C11),1)</f>
        <v>42074</v>
      </c>
      <c r="I51" s="86"/>
      <c r="J51" s="288"/>
      <c r="K51" s="188">
        <v>0.7</v>
      </c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163"/>
      <c r="X51" s="163"/>
      <c r="Y51" s="163"/>
      <c r="Z51" s="75"/>
      <c r="CG51" s="75"/>
      <c r="CH51" s="75"/>
      <c r="CI51" s="75"/>
      <c r="CJ51" s="75"/>
      <c r="CK51" s="75"/>
      <c r="CL51" s="75"/>
      <c r="CM51" s="75"/>
      <c r="CN51" s="75"/>
      <c r="CO51" s="75"/>
      <c r="CP51" s="75"/>
      <c r="DF51" s="75"/>
      <c r="DG51" s="75"/>
      <c r="DH51" s="75"/>
    </row>
    <row r="52" spans="2:114" thickBot="1" x14ac:dyDescent="0.25">
      <c r="B52" s="280" t="s">
        <v>209</v>
      </c>
      <c r="C52" s="280"/>
      <c r="D52" s="280"/>
      <c r="E52" s="280"/>
      <c r="F52" s="280"/>
      <c r="G52" s="269"/>
      <c r="H52" s="269"/>
      <c r="I52" s="86"/>
      <c r="J52" s="288"/>
      <c r="L52" s="75"/>
      <c r="M52" s="75"/>
      <c r="N52" s="75"/>
      <c r="O52" s="711" t="s">
        <v>247</v>
      </c>
      <c r="P52" s="711"/>
      <c r="Q52" s="711"/>
      <c r="R52" s="711"/>
      <c r="V52" s="711" t="s">
        <v>248</v>
      </c>
      <c r="W52" s="711"/>
      <c r="X52" s="711"/>
      <c r="Y52" s="711"/>
      <c r="Z52" s="711"/>
      <c r="AA52" s="75"/>
      <c r="AB52" s="162"/>
      <c r="CH52" s="75"/>
      <c r="CI52" s="75"/>
      <c r="CJ52" s="75"/>
      <c r="CK52" s="75"/>
      <c r="CL52" s="75"/>
      <c r="CM52" s="75"/>
      <c r="CN52" s="75"/>
      <c r="CO52" s="75"/>
      <c r="CP52" s="75"/>
      <c r="CQ52" s="75"/>
      <c r="CR52" s="75"/>
      <c r="CS52" s="75"/>
      <c r="CT52" s="75"/>
      <c r="CU52" s="75"/>
      <c r="CV52" s="75"/>
      <c r="CW52" s="75"/>
      <c r="CX52" s="75"/>
      <c r="CY52" s="75"/>
      <c r="CZ52" s="75"/>
      <c r="DA52" s="75"/>
      <c r="DB52" s="75"/>
      <c r="DC52" s="75"/>
      <c r="DD52" s="75"/>
      <c r="DE52" s="75"/>
      <c r="DF52" s="75"/>
    </row>
    <row r="53" spans="2:114" ht="25.5" x14ac:dyDescent="0.2">
      <c r="B53" s="280"/>
      <c r="C53" s="280"/>
      <c r="D53" s="280"/>
      <c r="E53" s="280"/>
      <c r="F53" s="280"/>
      <c r="G53" s="269"/>
      <c r="H53" s="269"/>
      <c r="I53" s="86"/>
      <c r="J53" s="288"/>
      <c r="K53" s="1" t="s">
        <v>257</v>
      </c>
      <c r="L53" s="215" t="s">
        <v>250</v>
      </c>
      <c r="M53" s="312" t="s">
        <v>252</v>
      </c>
      <c r="N53" s="312" t="s">
        <v>253</v>
      </c>
      <c r="O53" s="6" t="s">
        <v>90</v>
      </c>
      <c r="P53" s="310" t="s">
        <v>167</v>
      </c>
      <c r="Q53" s="311" t="s">
        <v>251</v>
      </c>
      <c r="R53" s="6" t="s">
        <v>168</v>
      </c>
      <c r="S53" s="215" t="s">
        <v>250</v>
      </c>
      <c r="T53" s="198" t="s">
        <v>249</v>
      </c>
      <c r="U53" s="312" t="s">
        <v>253</v>
      </c>
      <c r="V53" s="6" t="s">
        <v>90</v>
      </c>
      <c r="W53" s="313" t="s">
        <v>167</v>
      </c>
      <c r="X53" s="311" t="s">
        <v>251</v>
      </c>
      <c r="Y53" s="314" t="s">
        <v>168</v>
      </c>
      <c r="Z53" s="3" t="s">
        <v>91</v>
      </c>
      <c r="AA53" s="315" t="s">
        <v>212</v>
      </c>
      <c r="AB53" s="52"/>
      <c r="AC53" s="162"/>
      <c r="CI53" s="75"/>
      <c r="CJ53" s="75"/>
      <c r="CK53" s="75"/>
      <c r="CL53" s="75"/>
      <c r="CM53" s="75"/>
      <c r="CN53" s="75"/>
      <c r="CO53" s="75"/>
      <c r="CP53" s="75"/>
      <c r="CQ53" s="75"/>
      <c r="CR53" s="75"/>
      <c r="CS53" s="75"/>
      <c r="CT53" s="75"/>
      <c r="CU53" s="75"/>
      <c r="CV53" s="75"/>
      <c r="CW53" s="75"/>
      <c r="CX53" s="75"/>
      <c r="CY53" s="75"/>
      <c r="CZ53" s="75"/>
      <c r="DA53" s="75"/>
      <c r="DB53" s="75"/>
      <c r="DC53" s="75"/>
      <c r="DD53" s="75"/>
      <c r="DE53" s="75"/>
      <c r="DF53" s="75"/>
      <c r="DG53" s="75"/>
    </row>
    <row r="54" spans="2:114" ht="13.5" thickBot="1" x14ac:dyDescent="0.25">
      <c r="I54" s="86"/>
      <c r="J54" s="288"/>
      <c r="K54" s="52">
        <v>75</v>
      </c>
      <c r="L54" s="3" t="s">
        <v>93</v>
      </c>
      <c r="M54" s="3">
        <v>3.5</v>
      </c>
      <c r="N54" s="3">
        <f>M54*130%</f>
        <v>4.55</v>
      </c>
      <c r="O54" s="209">
        <v>80</v>
      </c>
      <c r="P54" s="210">
        <f>O54*M54</f>
        <v>280</v>
      </c>
      <c r="Q54" s="210">
        <f>+P54+650</f>
        <v>930</v>
      </c>
      <c r="R54" s="210">
        <f>(N54*O54)+650</f>
        <v>1014</v>
      </c>
      <c r="S54" s="3" t="s">
        <v>93</v>
      </c>
      <c r="T54" s="3">
        <v>3.5</v>
      </c>
      <c r="U54" s="3">
        <f>T54*130%</f>
        <v>4.55</v>
      </c>
      <c r="V54" s="209">
        <v>100</v>
      </c>
      <c r="W54" s="210">
        <f>(O54*M54)*2</f>
        <v>560</v>
      </c>
      <c r="X54" s="210">
        <f>+W54+650</f>
        <v>1210</v>
      </c>
      <c r="Y54" s="210">
        <f>(U54*V54)+650</f>
        <v>1105</v>
      </c>
      <c r="Z54" s="3" t="s">
        <v>92</v>
      </c>
      <c r="AA54" s="315" t="s">
        <v>213</v>
      </c>
      <c r="AB54" s="52"/>
      <c r="AC54" s="162"/>
      <c r="CF54" s="75"/>
      <c r="CG54" s="75"/>
      <c r="CH54" s="75"/>
      <c r="CI54" s="75"/>
      <c r="CJ54" s="75"/>
      <c r="CK54" s="75"/>
      <c r="CL54" s="75"/>
      <c r="CM54" s="75"/>
      <c r="CN54" s="75"/>
      <c r="CO54" s="75"/>
      <c r="CP54" s="75"/>
      <c r="CQ54" s="75"/>
      <c r="CR54" s="75"/>
      <c r="CS54" s="75"/>
      <c r="CT54" s="75"/>
      <c r="CU54" s="75"/>
      <c r="CV54" s="75"/>
      <c r="CW54" s="75"/>
      <c r="CX54" s="75"/>
      <c r="CY54" s="75"/>
      <c r="CZ54" s="75"/>
      <c r="DA54" s="75"/>
      <c r="DB54" s="75"/>
      <c r="DC54" s="75"/>
      <c r="DD54" s="75"/>
      <c r="DE54" s="75"/>
      <c r="DF54" s="75"/>
      <c r="DG54" s="75"/>
      <c r="DH54" s="75"/>
      <c r="DI54" s="75"/>
      <c r="DJ54" s="75"/>
    </row>
    <row r="55" spans="2:114" ht="14.25" x14ac:dyDescent="0.2">
      <c r="B55" s="84" t="s">
        <v>130</v>
      </c>
      <c r="C55" s="78"/>
      <c r="D55" s="76"/>
      <c r="E55" s="76"/>
      <c r="F55" s="76"/>
      <c r="G55" s="76"/>
      <c r="H55" s="77"/>
      <c r="I55" s="86"/>
      <c r="J55" s="288"/>
      <c r="K55" s="52">
        <v>100</v>
      </c>
      <c r="L55" s="3" t="s">
        <v>94</v>
      </c>
      <c r="M55" s="3">
        <v>5.9</v>
      </c>
      <c r="N55" s="3">
        <f>M55*130%</f>
        <v>7.6700000000000008</v>
      </c>
      <c r="O55" s="209">
        <v>80</v>
      </c>
      <c r="P55" s="210">
        <f>O55*M55</f>
        <v>472</v>
      </c>
      <c r="Q55" s="210">
        <f t="shared" ref="Q55:Q56" si="1">+P55+650</f>
        <v>1122</v>
      </c>
      <c r="R55" s="210">
        <f>(N55*O55)+650</f>
        <v>1263.5999999999999</v>
      </c>
      <c r="S55" s="3" t="s">
        <v>94</v>
      </c>
      <c r="T55" s="3">
        <v>5.9</v>
      </c>
      <c r="U55" s="3">
        <f>T55*130%</f>
        <v>7.6700000000000008</v>
      </c>
      <c r="V55" s="209">
        <v>100</v>
      </c>
      <c r="W55" s="210">
        <f>(O55*M55)*2</f>
        <v>944</v>
      </c>
      <c r="X55" s="210">
        <f t="shared" ref="X55:X56" si="2">+W55+650</f>
        <v>1594</v>
      </c>
      <c r="Y55" s="210">
        <f>(U55*V55)+650</f>
        <v>1417</v>
      </c>
      <c r="Z55" s="3" t="s">
        <v>92</v>
      </c>
      <c r="AA55" s="315" t="s">
        <v>214</v>
      </c>
      <c r="AB55" s="52"/>
      <c r="AC55" s="162"/>
      <c r="CF55" s="75"/>
      <c r="CG55" s="75"/>
      <c r="CH55" s="75"/>
      <c r="CI55" s="75"/>
      <c r="CJ55" s="75"/>
      <c r="CK55" s="75"/>
      <c r="CL55" s="75"/>
      <c r="CM55" s="75"/>
      <c r="CN55" s="75"/>
      <c r="CO55" s="75"/>
      <c r="CP55" s="75"/>
      <c r="CQ55" s="75"/>
      <c r="CR55" s="75"/>
      <c r="CS55" s="75"/>
      <c r="CT55" s="75"/>
      <c r="CU55" s="75"/>
      <c r="CV55" s="75"/>
      <c r="CW55" s="75"/>
      <c r="CX55" s="75"/>
      <c r="CY55" s="75"/>
      <c r="CZ55" s="75"/>
      <c r="DA55" s="75"/>
      <c r="DB55" s="75"/>
      <c r="DC55" s="75"/>
      <c r="DD55" s="75"/>
      <c r="DE55" s="75"/>
      <c r="DF55" s="75"/>
      <c r="DG55" s="75"/>
    </row>
    <row r="56" spans="2:114" ht="25.5" x14ac:dyDescent="0.2">
      <c r="B56" s="61"/>
      <c r="C56" s="7" t="s">
        <v>201</v>
      </c>
      <c r="D56" s="186" t="s">
        <v>200</v>
      </c>
      <c r="E56" s="7" t="s">
        <v>198</v>
      </c>
      <c r="F56" s="186" t="s">
        <v>205</v>
      </c>
      <c r="G56" s="7"/>
      <c r="H56" s="58"/>
      <c r="I56" s="86"/>
      <c r="J56" s="288"/>
      <c r="K56" s="52">
        <v>150</v>
      </c>
      <c r="L56" s="3" t="s">
        <v>95</v>
      </c>
      <c r="M56" s="3">
        <v>8.3000000000000007</v>
      </c>
      <c r="N56" s="3">
        <f>M56*130%</f>
        <v>10.790000000000001</v>
      </c>
      <c r="O56" s="209">
        <v>80</v>
      </c>
      <c r="P56" s="210">
        <f>O56*M56</f>
        <v>664</v>
      </c>
      <c r="Q56" s="210">
        <f t="shared" si="1"/>
        <v>1314</v>
      </c>
      <c r="R56" s="210">
        <f>(N56*O56)+650</f>
        <v>1513.2</v>
      </c>
      <c r="S56" s="3" t="s">
        <v>95</v>
      </c>
      <c r="T56" s="3">
        <v>8.3000000000000007</v>
      </c>
      <c r="U56" s="3">
        <f>T56*130%</f>
        <v>10.790000000000001</v>
      </c>
      <c r="V56" s="209">
        <v>100</v>
      </c>
      <c r="W56" s="210">
        <f>(O56*M56)*2</f>
        <v>1328</v>
      </c>
      <c r="X56" s="210">
        <f t="shared" si="2"/>
        <v>1978</v>
      </c>
      <c r="Y56" s="210">
        <f>(U56*V56)+650</f>
        <v>1729</v>
      </c>
      <c r="Z56" s="3" t="s">
        <v>92</v>
      </c>
      <c r="AA56" s="285" t="s">
        <v>215</v>
      </c>
      <c r="AB56" s="52"/>
      <c r="AC56" s="162"/>
      <c r="CF56" s="75"/>
      <c r="CG56" s="75"/>
      <c r="CH56" s="75"/>
      <c r="CI56" s="75"/>
      <c r="CJ56" s="75"/>
      <c r="CK56" s="75"/>
      <c r="CL56" s="75"/>
      <c r="CM56" s="75"/>
      <c r="CN56" s="75"/>
      <c r="CO56" s="75"/>
      <c r="CP56" s="75"/>
      <c r="CQ56" s="75"/>
      <c r="CR56" s="75"/>
      <c r="CS56" s="75"/>
      <c r="CT56" s="75"/>
      <c r="CU56" s="75"/>
      <c r="CV56" s="75"/>
      <c r="CW56" s="75"/>
      <c r="CX56" s="75"/>
      <c r="CY56" s="75"/>
      <c r="CZ56" s="75"/>
      <c r="DA56" s="75"/>
      <c r="DB56" s="75"/>
      <c r="DC56" s="75"/>
      <c r="DD56" s="75"/>
      <c r="DE56" s="75"/>
      <c r="DF56" s="75"/>
      <c r="DG56" s="75"/>
    </row>
    <row r="57" spans="2:114" ht="12.75" x14ac:dyDescent="0.2">
      <c r="B57" s="56" t="s">
        <v>128</v>
      </c>
      <c r="C57" s="73" t="s">
        <v>203</v>
      </c>
      <c r="D57" s="267">
        <f>+IF(AND(C57=L156,F57&lt;550),K164)+IF(AND(C57=L156,F57&gt;550.01,F57&lt;750),K165)+IF(AND(C57=L156,F57&gt;750.01,F57&lt;950),K166)+IF(AND(C57=L156,F57&gt;950.01,F57&lt;1250),K167)+IF(AND(C57=L156,F57&gt;1250.01,F57&lt;1450),K168)+IF(AND(C57=L156,F57&gt;1450.01,F57&lt;2050),K169)+IF(AND(C57=L156,F57&gt;2050.01,F57&lt;3000),K170)+IF(AND(C57=L157,F57&lt;150),K171)+IF(AND(C57=L157,F57&gt;150.01,F57&lt;230),K172)+IF(AND(C57=L157,F57&gt;230.01,F57&lt;325),K173)+IF(AND(C57=L157,F57&gt;325.01,F57&lt;475),K174)+IF(AND(C57=L157,F57&gt;475.01,F57&lt;725),K175)+IF(AND(C57=L157,F57&gt;725.01,F57&lt;1400),K176)+IF(AND(C57=L157,F57&gt;1401.01,F57&lt;2200),K177)+IF(AND(C57=L158,F57&lt;150),K171)+IF(AND(C57=L158,F57&gt;150.01,F57&lt;230),K172)+IF(AND(C57=L158,F57&gt;230.01,F57&lt;325),K173)+IF(AND(C57=L158,F57&gt;325.01,F57&lt;475),K174)+IF(AND(C57=L158,F57&gt;475.01,F57&lt;725),K175)+IF(AND(C57=L158,F57&gt;725.01,F57&lt;1400),K176)+IF(AND(C57=L158,F57&gt;1401.01,F57&lt;2200),K177)</f>
        <v>600</v>
      </c>
      <c r="E57" s="8" t="s">
        <v>127</v>
      </c>
      <c r="F57" s="252">
        <f>+IF(C57=L156,C12*2)+IF(C57=L157,C12)+IF(C57=L158,C12)</f>
        <v>306</v>
      </c>
      <c r="G57" s="252">
        <f>IF(D57=K164,Q164)+IF(D57=K165,Q165)+IF(D57=K166,Q166)+IF(D57=K167,Q167)+IF(D57=K168,Q168)+IF(D57=K169,Q169)+IF(D57=K170,Q170)+IF(D57=K171,Q171)+IF(D57=K172,Q172)+IF(D57=K173,Q173)+IF(D57=K174,Q174)+IF(D57=K175,Q175)+IF(D57=K176,Q176)+IF(D57=K177,Q177)</f>
        <v>6773</v>
      </c>
      <c r="H57" s="252">
        <f>CEILING((G57/C11),1)</f>
        <v>753</v>
      </c>
      <c r="I57" s="86"/>
      <c r="J57" s="288"/>
      <c r="O57" s="41"/>
      <c r="X57" s="162"/>
      <c r="Y57" s="162"/>
      <c r="Z57" s="52"/>
      <c r="CD57" s="75"/>
      <c r="CE57" s="75"/>
      <c r="CF57" s="75"/>
      <c r="CG57" s="75"/>
      <c r="CH57" s="75"/>
      <c r="CI57" s="75"/>
      <c r="CJ57" s="75"/>
      <c r="CK57" s="75"/>
      <c r="CL57" s="75"/>
      <c r="CM57" s="75"/>
      <c r="CN57" s="75"/>
      <c r="CO57" s="75"/>
      <c r="CP57" s="75"/>
      <c r="CQ57" s="75"/>
      <c r="CR57" s="75"/>
      <c r="CS57" s="75"/>
      <c r="CT57" s="75"/>
      <c r="CU57" s="75"/>
      <c r="CV57" s="75"/>
      <c r="CW57" s="75"/>
      <c r="CX57" s="75"/>
      <c r="CY57" s="75"/>
      <c r="CZ57" s="75"/>
      <c r="DA57" s="75"/>
      <c r="DB57" s="75"/>
      <c r="DC57" s="75"/>
      <c r="DD57" s="75"/>
      <c r="DE57" s="75"/>
    </row>
    <row r="58" spans="2:114" ht="12.75" x14ac:dyDescent="0.2">
      <c r="B58" s="36" t="s">
        <v>41</v>
      </c>
      <c r="C58" s="15"/>
      <c r="D58" s="3"/>
      <c r="E58" s="3"/>
      <c r="F58" s="27">
        <v>0.02</v>
      </c>
      <c r="G58" s="252">
        <f ca="1">G60*F58</f>
        <v>150.52000000000001</v>
      </c>
      <c r="H58" s="28"/>
      <c r="I58" s="86"/>
      <c r="J58" s="288"/>
      <c r="O58" s="41"/>
      <c r="X58" s="162"/>
      <c r="Y58" s="162"/>
      <c r="Z58" s="52"/>
      <c r="CD58" s="75"/>
      <c r="CE58" s="75"/>
      <c r="CF58" s="75"/>
      <c r="CG58" s="75"/>
      <c r="CH58" s="75"/>
      <c r="CI58" s="75"/>
      <c r="CJ58" s="75"/>
      <c r="CK58" s="75"/>
      <c r="CL58" s="75"/>
      <c r="CM58" s="75"/>
      <c r="CN58" s="75"/>
      <c r="CO58" s="75"/>
      <c r="CP58" s="75"/>
      <c r="CQ58" s="75"/>
      <c r="CR58" s="75"/>
      <c r="CS58" s="75"/>
      <c r="CT58" s="75"/>
      <c r="CU58" s="75"/>
      <c r="CV58" s="75"/>
      <c r="CW58" s="75"/>
      <c r="CX58" s="75"/>
      <c r="CY58" s="75"/>
      <c r="CZ58" s="75"/>
      <c r="DA58" s="75"/>
      <c r="DB58" s="75"/>
      <c r="DC58" s="75"/>
      <c r="DD58" s="75"/>
      <c r="DE58" s="75"/>
    </row>
    <row r="59" spans="2:114" ht="13.5" thickBot="1" x14ac:dyDescent="0.25">
      <c r="B59" s="36" t="s">
        <v>69</v>
      </c>
      <c r="C59" s="79" t="s">
        <v>17</v>
      </c>
      <c r="D59" s="3"/>
      <c r="E59" s="3"/>
      <c r="F59" s="27">
        <f>IF(C59=AA31,0)+IF(C59=AA33,M145)+IF(C59=AA34,M146)+IF(C59=AA32,M144)</f>
        <v>0.08</v>
      </c>
      <c r="G59" s="252">
        <f ca="1">F59*G60</f>
        <v>602.08000000000004</v>
      </c>
      <c r="H59" s="28"/>
      <c r="I59" s="86"/>
      <c r="J59" s="288"/>
      <c r="O59" s="41"/>
      <c r="X59" s="162"/>
      <c r="Y59" s="162"/>
      <c r="Z59" s="52"/>
      <c r="CD59" s="75"/>
      <c r="CE59" s="75"/>
      <c r="CF59" s="75"/>
      <c r="CG59" s="75"/>
      <c r="CH59" s="75"/>
      <c r="CQ59" s="75"/>
      <c r="CR59" s="75"/>
      <c r="CS59" s="75"/>
      <c r="CT59" s="75"/>
      <c r="CU59" s="75"/>
      <c r="CV59" s="75"/>
      <c r="CW59" s="75"/>
      <c r="CX59" s="75"/>
      <c r="CY59" s="75"/>
      <c r="CZ59" s="75"/>
      <c r="DA59" s="75"/>
      <c r="DB59" s="75"/>
      <c r="DC59" s="75"/>
      <c r="DD59" s="75"/>
      <c r="DE59" s="75"/>
    </row>
    <row r="60" spans="2:114" ht="13.5" customHeight="1" thickBot="1" x14ac:dyDescent="0.25">
      <c r="B60" s="151" t="s">
        <v>63</v>
      </c>
      <c r="C60" s="164"/>
      <c r="D60" s="165"/>
      <c r="E60" s="165"/>
      <c r="F60" s="165"/>
      <c r="G60" s="265">
        <f ca="1">CEILING((SUM(G57:G59)),1)</f>
        <v>7526</v>
      </c>
      <c r="H60" s="265">
        <f ca="1">CEILING((G60/C11),1)</f>
        <v>837</v>
      </c>
      <c r="I60" s="86"/>
      <c r="J60" s="288"/>
      <c r="K60" s="1" t="s">
        <v>258</v>
      </c>
      <c r="L60" s="199" t="s">
        <v>169</v>
      </c>
      <c r="M60" s="201" t="s">
        <v>89</v>
      </c>
      <c r="N60" s="200" t="s">
        <v>261</v>
      </c>
      <c r="O60" s="216" t="s">
        <v>259</v>
      </c>
      <c r="P60" s="200" t="s">
        <v>262</v>
      </c>
      <c r="Q60" s="217" t="s">
        <v>260</v>
      </c>
      <c r="R60" s="204" t="s">
        <v>91</v>
      </c>
      <c r="S60" s="315" t="s">
        <v>212</v>
      </c>
      <c r="W60" s="16"/>
      <c r="X60" s="162"/>
      <c r="Y60" s="162"/>
      <c r="Z60" s="162"/>
      <c r="AB60" s="162"/>
      <c r="CE60" s="75"/>
      <c r="CF60" s="75"/>
      <c r="CG60" s="75"/>
      <c r="CH60" s="75"/>
      <c r="CI60" s="75"/>
    </row>
    <row r="61" spans="2:114" ht="12.75" customHeight="1" x14ac:dyDescent="0.2">
      <c r="B61" s="36" t="s">
        <v>142</v>
      </c>
      <c r="C61" s="3"/>
      <c r="D61" s="3"/>
      <c r="E61" s="3"/>
      <c r="F61" s="27">
        <v>0.2</v>
      </c>
      <c r="G61" s="271">
        <f ca="1">G65*F61</f>
        <v>7526</v>
      </c>
      <c r="H61" s="74"/>
      <c r="J61" s="288"/>
      <c r="L61" s="61" t="s">
        <v>96</v>
      </c>
      <c r="M61" s="3">
        <v>6.3120000000000003</v>
      </c>
      <c r="N61" s="209">
        <v>80</v>
      </c>
      <c r="O61" s="210">
        <f>CEILING(N61*M61,25)</f>
        <v>525</v>
      </c>
      <c r="P61" s="209">
        <v>100</v>
      </c>
      <c r="Q61" s="210">
        <f>P61*M61</f>
        <v>631.20000000000005</v>
      </c>
      <c r="R61" s="103" t="s">
        <v>92</v>
      </c>
      <c r="S61" s="315" t="s">
        <v>213</v>
      </c>
      <c r="T61" s="16"/>
      <c r="U61" s="16"/>
      <c r="W61" s="16"/>
      <c r="X61" s="162"/>
      <c r="Y61" s="162"/>
      <c r="Z61" s="162"/>
      <c r="AB61" s="162"/>
      <c r="CE61" s="75"/>
      <c r="CF61" s="75"/>
      <c r="CG61" s="75"/>
      <c r="CH61" s="75"/>
      <c r="CI61" s="75"/>
      <c r="CJ61" s="75"/>
      <c r="CK61" s="75"/>
      <c r="CL61" s="75"/>
      <c r="CM61" s="75"/>
      <c r="CN61" s="75"/>
      <c r="CO61" s="75"/>
      <c r="CP61" s="75"/>
      <c r="CQ61" s="75"/>
    </row>
    <row r="62" spans="2:114" ht="12.75" customHeight="1" x14ac:dyDescent="0.2">
      <c r="B62" s="36" t="s">
        <v>121</v>
      </c>
      <c r="C62" s="57"/>
      <c r="D62" s="3"/>
      <c r="E62" s="3"/>
      <c r="F62" s="79">
        <v>0</v>
      </c>
      <c r="G62" s="252">
        <f>F62</f>
        <v>0</v>
      </c>
      <c r="H62" s="58"/>
      <c r="J62" s="287"/>
      <c r="L62" s="61" t="s">
        <v>97</v>
      </c>
      <c r="M62" s="3">
        <v>7.2</v>
      </c>
      <c r="N62" s="209">
        <v>80</v>
      </c>
      <c r="O62" s="210">
        <f>CEILING(N62*M62,25)</f>
        <v>600</v>
      </c>
      <c r="P62" s="209">
        <v>100</v>
      </c>
      <c r="Q62" s="210">
        <f>P62*M62</f>
        <v>720</v>
      </c>
      <c r="R62" s="103" t="s">
        <v>92</v>
      </c>
      <c r="S62" s="315" t="s">
        <v>214</v>
      </c>
      <c r="T62" s="16"/>
      <c r="U62" s="16"/>
      <c r="W62" s="16"/>
      <c r="X62" s="162"/>
      <c r="Y62" s="162"/>
      <c r="Z62" s="162"/>
      <c r="AB62" s="162"/>
      <c r="CE62" s="75"/>
      <c r="CF62" s="75"/>
      <c r="CG62" s="75"/>
      <c r="CH62" s="75"/>
      <c r="CI62" s="75"/>
      <c r="CR62" s="75"/>
      <c r="CS62" s="75"/>
      <c r="CT62" s="75"/>
      <c r="CU62" s="75"/>
      <c r="CV62" s="75"/>
      <c r="CW62" s="75"/>
      <c r="CX62" s="75"/>
      <c r="CY62" s="75"/>
      <c r="CZ62" s="75"/>
      <c r="DA62" s="75"/>
      <c r="DB62" s="75"/>
      <c r="DC62" s="75"/>
      <c r="DD62" s="75"/>
      <c r="DE62" s="75"/>
      <c r="DF62" s="75"/>
    </row>
    <row r="63" spans="2:114" ht="13.5" thickBot="1" x14ac:dyDescent="0.25">
      <c r="B63" s="62" t="s">
        <v>144</v>
      </c>
      <c r="C63" s="3"/>
      <c r="D63" s="3"/>
      <c r="E63" s="3"/>
      <c r="F63" s="3"/>
      <c r="G63" s="270">
        <f ca="1">SUM(G60:G62)</f>
        <v>15052</v>
      </c>
      <c r="H63" s="253">
        <f ca="1">CEILING((G63/C11),1)</f>
        <v>1673</v>
      </c>
      <c r="J63" s="287"/>
      <c r="K63" s="75"/>
      <c r="L63" s="218" t="s">
        <v>98</v>
      </c>
      <c r="M63" s="219">
        <v>8.1999999999999993</v>
      </c>
      <c r="N63" s="209">
        <v>80</v>
      </c>
      <c r="O63" s="210">
        <f>CEILING(N63*M63,25)</f>
        <v>675</v>
      </c>
      <c r="P63" s="209">
        <v>100</v>
      </c>
      <c r="Q63" s="210">
        <f>P63*M63</f>
        <v>819.99999999999989</v>
      </c>
      <c r="R63" s="220" t="s">
        <v>92</v>
      </c>
      <c r="S63" s="285" t="s">
        <v>215</v>
      </c>
      <c r="T63" s="197"/>
      <c r="U63" s="197"/>
      <c r="W63" s="197"/>
      <c r="X63" s="162"/>
      <c r="Y63" s="162"/>
      <c r="Z63" s="162"/>
      <c r="AB63" s="162"/>
      <c r="CE63" s="75"/>
      <c r="CF63" s="75"/>
      <c r="CG63" s="75"/>
      <c r="CH63" s="75"/>
      <c r="CI63" s="75"/>
    </row>
    <row r="64" spans="2:114" ht="13.5" thickBot="1" x14ac:dyDescent="0.25">
      <c r="B64" s="147" t="s">
        <v>0</v>
      </c>
      <c r="C64" s="148"/>
      <c r="D64" s="95"/>
      <c r="E64" s="95"/>
      <c r="F64" s="148"/>
      <c r="G64" s="149">
        <f>IF(C8=L6,N6)+IF(C8=L7,N7)+IF(C8=L8,N8)</f>
        <v>0.4</v>
      </c>
      <c r="H64" s="150"/>
      <c r="J64" s="287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162"/>
      <c r="X64" s="163"/>
      <c r="Y64" s="163"/>
      <c r="Z64" s="163"/>
      <c r="CD64" s="75"/>
      <c r="CE64" s="75"/>
      <c r="CF64" s="75"/>
      <c r="CG64" s="75"/>
      <c r="CH64" s="75"/>
    </row>
    <row r="65" spans="2:86" ht="13.5" thickBot="1" x14ac:dyDescent="0.25">
      <c r="B65" s="157" t="s">
        <v>148</v>
      </c>
      <c r="C65" s="157"/>
      <c r="D65" s="157"/>
      <c r="E65" s="157"/>
      <c r="F65" s="157"/>
      <c r="G65" s="264">
        <f ca="1">G63/G64</f>
        <v>37630</v>
      </c>
      <c r="H65" s="264">
        <f ca="1">CEILING((G65/C25),1)</f>
        <v>12139</v>
      </c>
      <c r="J65" s="287"/>
      <c r="K65" s="75"/>
      <c r="L65" s="75"/>
      <c r="M65" s="75"/>
      <c r="N65" s="75"/>
      <c r="O65" s="75"/>
      <c r="P65" s="75">
        <f>IF(AND(C14=S62,C9&lt;=5),Q61)+IF(AND(C14=S62,C9&gt;5,C9&lt;=6),Q62)+IF(AND(C14=S62,C9&gt;6),Q63)</f>
        <v>0</v>
      </c>
      <c r="Q65" s="75"/>
      <c r="R65" s="75"/>
      <c r="S65" s="75"/>
      <c r="T65" s="75"/>
      <c r="U65" s="75"/>
      <c r="V65" s="75"/>
      <c r="W65" s="162"/>
      <c r="X65" s="163"/>
      <c r="Y65" s="163"/>
      <c r="Z65" s="163"/>
      <c r="CD65" s="75"/>
      <c r="CE65" s="75"/>
      <c r="CF65" s="75"/>
      <c r="CG65" s="75"/>
      <c r="CH65" s="75"/>
    </row>
    <row r="66" spans="2:86" ht="12.75" x14ac:dyDescent="0.2">
      <c r="B66" s="272" t="s">
        <v>127</v>
      </c>
      <c r="C66" s="273"/>
      <c r="D66" s="273"/>
      <c r="E66" s="273"/>
      <c r="F66" s="273"/>
      <c r="G66" s="274">
        <f>IF(AND(C57=L156,E57=L154),18000)+IF(AND(C57=L157,E57=L154),34000)+IF(AND(C57=L158,E57=L154),34000)</f>
        <v>18000</v>
      </c>
      <c r="H66" s="275"/>
      <c r="J66" s="287"/>
      <c r="K66" s="75" t="s">
        <v>263</v>
      </c>
      <c r="L66" s="199" t="s">
        <v>35</v>
      </c>
      <c r="M66" s="132"/>
      <c r="N66" s="132"/>
      <c r="O66" s="132"/>
      <c r="P66" s="131"/>
      <c r="Q66" s="75"/>
      <c r="R66" s="75"/>
      <c r="S66" s="75"/>
      <c r="T66" s="75"/>
      <c r="U66" s="75"/>
      <c r="V66" s="75"/>
      <c r="W66" s="162"/>
      <c r="X66" s="163"/>
      <c r="Y66" s="163"/>
      <c r="Z66" s="163"/>
      <c r="CD66" s="75"/>
      <c r="CE66" s="75"/>
      <c r="CF66" s="75"/>
      <c r="CG66" s="75"/>
      <c r="CH66" s="75"/>
    </row>
    <row r="67" spans="2:86" ht="13.5" thickBot="1" x14ac:dyDescent="0.25">
      <c r="B67" s="276" t="s">
        <v>208</v>
      </c>
      <c r="C67" s="277"/>
      <c r="D67" s="277"/>
      <c r="E67" s="277"/>
      <c r="F67" s="277"/>
      <c r="G67" s="278">
        <f>IF(C57=L158,20000,0)</f>
        <v>0</v>
      </c>
      <c r="H67" s="279"/>
      <c r="J67" s="287"/>
      <c r="K67" s="75"/>
      <c r="L67" s="42">
        <v>4</v>
      </c>
      <c r="M67" s="43">
        <v>875</v>
      </c>
      <c r="N67" s="43">
        <f>M67*10%</f>
        <v>87.5</v>
      </c>
      <c r="O67" s="39">
        <f>M67+N67</f>
        <v>962.5</v>
      </c>
      <c r="P67" s="44" t="s">
        <v>75</v>
      </c>
      <c r="Q67" s="75"/>
      <c r="R67" s="75"/>
      <c r="S67" s="75"/>
      <c r="T67" s="75"/>
      <c r="U67" s="75"/>
      <c r="V67" s="75"/>
      <c r="W67" s="162"/>
      <c r="X67" s="163"/>
      <c r="Y67" s="163"/>
      <c r="Z67" s="163"/>
      <c r="CD67" s="75"/>
      <c r="CE67" s="75"/>
      <c r="CF67" s="75"/>
      <c r="CG67" s="75"/>
      <c r="CH67" s="75"/>
    </row>
    <row r="68" spans="2:86" ht="13.5" thickBot="1" x14ac:dyDescent="0.25">
      <c r="B68" s="157" t="s">
        <v>148</v>
      </c>
      <c r="C68" s="157"/>
      <c r="D68" s="157"/>
      <c r="E68" s="157"/>
      <c r="F68" s="157"/>
      <c r="G68" s="264">
        <f ca="1">+SUM(G65:G67)</f>
        <v>55630</v>
      </c>
      <c r="H68" s="264">
        <f ca="1">CEILING((G68/C28),1)</f>
        <v>140</v>
      </c>
      <c r="J68" s="287"/>
      <c r="K68" s="75"/>
      <c r="L68" s="42">
        <v>6</v>
      </c>
      <c r="M68" s="43">
        <v>1200</v>
      </c>
      <c r="N68" s="43">
        <f>M68*10%</f>
        <v>120</v>
      </c>
      <c r="O68" s="39">
        <f>M68+N68</f>
        <v>1320</v>
      </c>
      <c r="P68" s="44" t="s">
        <v>75</v>
      </c>
      <c r="Q68" s="75"/>
      <c r="R68" s="75"/>
      <c r="S68" s="75"/>
      <c r="T68" s="75"/>
      <c r="U68" s="75"/>
      <c r="V68" s="75"/>
      <c r="W68" s="162"/>
      <c r="X68" s="163"/>
      <c r="Y68" s="163"/>
      <c r="Z68" s="163"/>
      <c r="CD68" s="75"/>
      <c r="CE68" s="75"/>
      <c r="CF68" s="75"/>
    </row>
    <row r="69" spans="2:86" ht="12.75" x14ac:dyDescent="0.2">
      <c r="J69" s="287"/>
      <c r="K69" s="75"/>
      <c r="L69" s="125">
        <v>8</v>
      </c>
      <c r="M69" s="16">
        <v>1350</v>
      </c>
      <c r="N69" s="16">
        <f>M69*10%</f>
        <v>135</v>
      </c>
      <c r="O69" s="39">
        <f>M69+N69</f>
        <v>1485</v>
      </c>
      <c r="P69" s="17" t="s">
        <v>75</v>
      </c>
      <c r="Q69" s="75"/>
      <c r="R69" s="75"/>
      <c r="S69" s="75"/>
      <c r="T69" s="75"/>
      <c r="U69" s="75"/>
      <c r="V69" s="75"/>
      <c r="W69" s="162"/>
      <c r="X69" s="163"/>
      <c r="Y69" s="163"/>
      <c r="Z69" s="163"/>
      <c r="CD69" s="75"/>
      <c r="CE69" s="75"/>
      <c r="CF69" s="75"/>
    </row>
    <row r="70" spans="2:86" ht="12.75" x14ac:dyDescent="0.2">
      <c r="J70" s="287"/>
      <c r="K70" s="75"/>
      <c r="L70" s="125">
        <v>10</v>
      </c>
      <c r="M70" s="16">
        <v>2200</v>
      </c>
      <c r="N70" s="16">
        <f>M70*10%</f>
        <v>220</v>
      </c>
      <c r="O70" s="39">
        <f>SUM(M70:N70)</f>
        <v>2420</v>
      </c>
      <c r="P70" s="17" t="s">
        <v>75</v>
      </c>
      <c r="Q70" s="75"/>
      <c r="R70" s="75"/>
      <c r="S70" s="75"/>
      <c r="T70" s="75"/>
      <c r="U70" s="75"/>
      <c r="V70" s="75"/>
      <c r="W70" s="162"/>
      <c r="X70" s="163"/>
      <c r="Y70" s="163"/>
      <c r="Z70" s="163"/>
      <c r="CD70" s="75"/>
      <c r="CE70" s="75"/>
      <c r="CF70" s="75"/>
      <c r="CG70" s="75"/>
      <c r="CH70" s="75"/>
    </row>
    <row r="71" spans="2:86" ht="13.5" thickBot="1" x14ac:dyDescent="0.25">
      <c r="C71" s="1"/>
      <c r="J71" s="287"/>
      <c r="K71" s="75"/>
      <c r="L71" s="19">
        <v>12</v>
      </c>
      <c r="M71" s="18">
        <v>2700</v>
      </c>
      <c r="N71" s="18">
        <f>M71*10%</f>
        <v>270</v>
      </c>
      <c r="O71" s="40">
        <f>SUM(M71:N71)</f>
        <v>2970</v>
      </c>
      <c r="P71" s="34" t="s">
        <v>75</v>
      </c>
      <c r="Q71" s="75"/>
      <c r="R71" s="75"/>
      <c r="S71" s="75"/>
      <c r="T71" s="75"/>
      <c r="U71" s="75"/>
      <c r="V71" s="75"/>
      <c r="W71" s="162"/>
      <c r="X71" s="163"/>
      <c r="Y71" s="163"/>
      <c r="Z71" s="163"/>
      <c r="BR71" s="75"/>
      <c r="BS71" s="75"/>
      <c r="BT71" s="75"/>
      <c r="BU71" s="75"/>
      <c r="BV71" s="75"/>
      <c r="BW71" s="75"/>
      <c r="BX71" s="75"/>
      <c r="BY71" s="75"/>
      <c r="BZ71" s="75"/>
      <c r="CA71" s="75"/>
      <c r="CB71" s="75"/>
      <c r="CC71" s="75"/>
    </row>
    <row r="72" spans="2:86" ht="15" thickBot="1" x14ac:dyDescent="0.25">
      <c r="B72" s="257" t="s">
        <v>131</v>
      </c>
      <c r="C72" s="258" t="s">
        <v>91</v>
      </c>
      <c r="D72" s="259" t="s">
        <v>139</v>
      </c>
      <c r="E72" s="259" t="s">
        <v>31</v>
      </c>
      <c r="F72" s="259" t="s">
        <v>10</v>
      </c>
      <c r="G72" s="259" t="s">
        <v>42</v>
      </c>
      <c r="H72" s="264">
        <f>SUM(G73+G74+G75+G76+G77+G78+G79+G80+G81)</f>
        <v>0</v>
      </c>
      <c r="J72" s="287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162"/>
      <c r="X72" s="163"/>
      <c r="Y72" s="163"/>
      <c r="Z72" s="163"/>
      <c r="BR72" s="75"/>
      <c r="BS72" s="75"/>
      <c r="BT72" s="75"/>
      <c r="BU72" s="75"/>
      <c r="BV72" s="75"/>
      <c r="BW72" s="75"/>
      <c r="BX72" s="75"/>
      <c r="BY72" s="75"/>
      <c r="BZ72" s="75"/>
      <c r="CA72" s="75"/>
      <c r="CB72" s="75"/>
      <c r="CC72" s="75"/>
    </row>
    <row r="73" spans="2:86" ht="15.75" customHeight="1" thickBot="1" x14ac:dyDescent="0.25">
      <c r="B73" s="80" t="s">
        <v>132</v>
      </c>
      <c r="C73" s="6" t="s">
        <v>13</v>
      </c>
      <c r="D73" s="252">
        <v>3200</v>
      </c>
      <c r="E73" s="8" t="s">
        <v>23</v>
      </c>
      <c r="F73" s="57">
        <v>1</v>
      </c>
      <c r="G73" s="252">
        <f>IF(E73=O11,F73*D73,0)</f>
        <v>0</v>
      </c>
      <c r="H73" s="260"/>
      <c r="J73" s="287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162"/>
      <c r="X73" s="163"/>
      <c r="Y73" s="163"/>
      <c r="Z73" s="163"/>
      <c r="BR73" s="75"/>
      <c r="BS73" s="75"/>
      <c r="BT73" s="75"/>
      <c r="BU73" s="75"/>
      <c r="BV73" s="75"/>
      <c r="BW73" s="75"/>
      <c r="BX73" s="75"/>
      <c r="BY73" s="75"/>
      <c r="BZ73" s="75"/>
      <c r="CA73" s="75"/>
      <c r="CB73" s="75"/>
      <c r="CC73" s="75"/>
      <c r="CD73" s="75"/>
      <c r="CE73" s="75"/>
      <c r="CF73" s="75"/>
    </row>
    <row r="74" spans="2:86" ht="15.75" customHeight="1" thickBot="1" x14ac:dyDescent="0.25">
      <c r="B74" s="80" t="s">
        <v>133</v>
      </c>
      <c r="C74" s="6" t="s">
        <v>13</v>
      </c>
      <c r="D74" s="252">
        <v>6500</v>
      </c>
      <c r="E74" s="8" t="s">
        <v>23</v>
      </c>
      <c r="F74" s="57">
        <v>1</v>
      </c>
      <c r="G74" s="252">
        <f>IF(E74=O11,F74*D74,0)</f>
        <v>0</v>
      </c>
      <c r="H74" s="260"/>
      <c r="J74" s="287"/>
      <c r="K74" s="75" t="s">
        <v>264</v>
      </c>
      <c r="L74" s="20" t="s">
        <v>72</v>
      </c>
      <c r="M74" s="45">
        <v>12</v>
      </c>
      <c r="N74" s="45" t="s">
        <v>44</v>
      </c>
      <c r="O74" s="106">
        <v>2000</v>
      </c>
      <c r="P74" s="46" t="s">
        <v>45</v>
      </c>
      <c r="Q74" s="75"/>
      <c r="R74" s="75"/>
      <c r="S74" s="75"/>
      <c r="T74" s="75"/>
      <c r="U74" s="75"/>
      <c r="V74" s="75"/>
      <c r="W74" s="162"/>
      <c r="X74" s="163"/>
      <c r="Y74" s="163"/>
      <c r="Z74" s="163"/>
      <c r="BR74" s="75"/>
      <c r="BS74" s="75"/>
      <c r="BT74" s="75"/>
      <c r="BU74" s="75"/>
      <c r="BV74" s="75"/>
      <c r="BW74" s="75"/>
      <c r="BX74" s="75"/>
      <c r="BY74" s="75"/>
      <c r="BZ74" s="75"/>
      <c r="CA74" s="75"/>
      <c r="CB74" s="75"/>
      <c r="CC74" s="75"/>
    </row>
    <row r="75" spans="2:86" ht="15.75" customHeight="1" x14ac:dyDescent="0.2">
      <c r="B75" s="80" t="s">
        <v>134</v>
      </c>
      <c r="C75" s="6" t="s">
        <v>13</v>
      </c>
      <c r="D75" s="252">
        <v>2500</v>
      </c>
      <c r="E75" s="8" t="s">
        <v>23</v>
      </c>
      <c r="F75" s="57">
        <v>1</v>
      </c>
      <c r="G75" s="252">
        <f>IF(E75=O11,D75*F75,0)</f>
        <v>0</v>
      </c>
      <c r="H75" s="260"/>
      <c r="J75" s="287"/>
      <c r="K75" s="75"/>
      <c r="L75" s="725" t="s">
        <v>73</v>
      </c>
      <c r="M75" s="47">
        <v>24</v>
      </c>
      <c r="N75" s="47" t="s">
        <v>44</v>
      </c>
      <c r="O75" s="111">
        <v>2500</v>
      </c>
      <c r="P75" s="48" t="s">
        <v>45</v>
      </c>
      <c r="Q75" s="75"/>
      <c r="R75" s="75"/>
      <c r="S75" s="75"/>
      <c r="T75" s="75"/>
      <c r="U75" s="75"/>
      <c r="V75" s="75"/>
      <c r="W75" s="162"/>
      <c r="X75" s="163"/>
      <c r="Y75" s="163"/>
      <c r="Z75" s="163"/>
      <c r="BR75" s="75"/>
      <c r="BS75" s="75"/>
      <c r="BT75" s="75"/>
      <c r="BU75" s="75"/>
      <c r="BV75" s="75"/>
      <c r="BW75" s="75"/>
      <c r="BX75" s="75"/>
      <c r="BY75" s="75"/>
      <c r="BZ75" s="75"/>
      <c r="CA75" s="75"/>
      <c r="CB75" s="75"/>
      <c r="CC75" s="75"/>
    </row>
    <row r="76" spans="2:86" ht="12.75" x14ac:dyDescent="0.2">
      <c r="B76" s="80" t="s">
        <v>135</v>
      </c>
      <c r="C76" s="6" t="s">
        <v>13</v>
      </c>
      <c r="D76" s="252">
        <v>4000</v>
      </c>
      <c r="E76" s="8" t="s">
        <v>23</v>
      </c>
      <c r="F76" s="57">
        <v>2</v>
      </c>
      <c r="G76" s="252">
        <f>IF(E76=O11,F76*D76,0)</f>
        <v>0</v>
      </c>
      <c r="H76" s="260"/>
      <c r="J76" s="287"/>
      <c r="K76" s="75"/>
      <c r="L76" s="726"/>
      <c r="M76" s="47">
        <v>36</v>
      </c>
      <c r="N76" s="47" t="s">
        <v>44</v>
      </c>
      <c r="O76" s="111">
        <v>3000</v>
      </c>
      <c r="P76" s="48" t="s">
        <v>45</v>
      </c>
      <c r="Q76" s="75"/>
      <c r="R76" s="75"/>
      <c r="S76" s="75"/>
      <c r="T76" s="75"/>
      <c r="U76" s="75"/>
      <c r="V76" s="75"/>
      <c r="W76" s="162"/>
      <c r="X76" s="163"/>
      <c r="Y76" s="163"/>
      <c r="Z76" s="163"/>
      <c r="BR76" s="75"/>
      <c r="BS76" s="75"/>
      <c r="BT76" s="75"/>
      <c r="BU76" s="75"/>
      <c r="BV76" s="75"/>
      <c r="BW76" s="75"/>
      <c r="BX76" s="75"/>
      <c r="BY76" s="75"/>
      <c r="BZ76" s="75"/>
      <c r="CA76" s="75"/>
      <c r="CB76" s="75"/>
      <c r="CC76" s="75"/>
    </row>
    <row r="77" spans="2:86" ht="12.75" x14ac:dyDescent="0.2">
      <c r="B77" s="80" t="s">
        <v>136</v>
      </c>
      <c r="C77" s="6" t="s">
        <v>13</v>
      </c>
      <c r="D77" s="252">
        <v>8500</v>
      </c>
      <c r="E77" s="8" t="s">
        <v>23</v>
      </c>
      <c r="F77" s="57">
        <v>1</v>
      </c>
      <c r="G77" s="252">
        <f>IF(E77=O11,F77*D77,0)</f>
        <v>0</v>
      </c>
      <c r="H77" s="260"/>
      <c r="J77" s="287"/>
      <c r="K77" s="75"/>
      <c r="L77" s="127"/>
      <c r="M77" s="126">
        <v>45</v>
      </c>
      <c r="N77" s="47" t="s">
        <v>44</v>
      </c>
      <c r="O77" s="111">
        <v>4000</v>
      </c>
      <c r="P77" s="48" t="s">
        <v>45</v>
      </c>
      <c r="Q77" s="75"/>
      <c r="R77" s="75"/>
      <c r="S77" s="75"/>
      <c r="T77" s="75"/>
      <c r="U77" s="75"/>
      <c r="V77" s="75"/>
      <c r="W77" s="162"/>
      <c r="X77" s="163"/>
      <c r="Y77" s="163"/>
      <c r="Z77" s="163"/>
      <c r="BR77" s="75"/>
      <c r="BS77" s="75"/>
      <c r="BT77" s="75"/>
      <c r="BU77" s="75"/>
      <c r="BV77" s="75"/>
      <c r="BW77" s="75"/>
      <c r="BX77" s="75"/>
      <c r="BY77" s="75"/>
      <c r="BZ77" s="75"/>
      <c r="CA77" s="75"/>
      <c r="CB77" s="75"/>
      <c r="CC77" s="75"/>
    </row>
    <row r="78" spans="2:86" ht="15.75" customHeight="1" thickBot="1" x14ac:dyDescent="0.25">
      <c r="B78" s="80" t="s">
        <v>137</v>
      </c>
      <c r="C78" s="6" t="s">
        <v>13</v>
      </c>
      <c r="D78" s="252">
        <v>1750</v>
      </c>
      <c r="E78" s="8" t="s">
        <v>23</v>
      </c>
      <c r="F78" s="57">
        <v>4</v>
      </c>
      <c r="G78" s="252">
        <f>IF(E78=O11,F78*D78,0)</f>
        <v>0</v>
      </c>
      <c r="H78" s="260"/>
      <c r="J78" s="287"/>
      <c r="K78" s="75"/>
      <c r="L78" s="49"/>
      <c r="M78" s="50">
        <v>48</v>
      </c>
      <c r="N78" s="128" t="s">
        <v>44</v>
      </c>
      <c r="O78" s="112">
        <v>6000</v>
      </c>
      <c r="P78" s="51" t="s">
        <v>45</v>
      </c>
      <c r="Q78" s="75"/>
      <c r="R78" s="75"/>
      <c r="S78" s="75"/>
      <c r="T78" s="75"/>
      <c r="U78" s="75"/>
      <c r="V78" s="75"/>
      <c r="W78" s="162"/>
      <c r="X78" s="163"/>
      <c r="Y78" s="163"/>
      <c r="Z78" s="163"/>
      <c r="BR78" s="75"/>
      <c r="BS78" s="75"/>
      <c r="BT78" s="75"/>
      <c r="BU78" s="75"/>
      <c r="BV78" s="75"/>
      <c r="BW78" s="75"/>
      <c r="BX78" s="75"/>
      <c r="BY78" s="75"/>
      <c r="BZ78" s="75"/>
      <c r="CA78" s="75"/>
      <c r="CB78" s="75"/>
      <c r="CC78" s="75"/>
    </row>
    <row r="79" spans="2:86" ht="12.75" x14ac:dyDescent="0.2">
      <c r="B79" s="80" t="s">
        <v>138</v>
      </c>
      <c r="C79" s="6" t="s">
        <v>54</v>
      </c>
      <c r="D79" s="252">
        <v>16000</v>
      </c>
      <c r="E79" s="8" t="s">
        <v>23</v>
      </c>
      <c r="F79" s="57">
        <v>2</v>
      </c>
      <c r="G79" s="252">
        <f>IF(E79=O11,F79*D79,0)</f>
        <v>0</v>
      </c>
      <c r="H79" s="260"/>
      <c r="J79" s="287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162"/>
      <c r="X79" s="163"/>
      <c r="Y79" s="163"/>
      <c r="Z79" s="163"/>
      <c r="BR79" s="75"/>
      <c r="BS79" s="75"/>
      <c r="BT79" s="75"/>
      <c r="BU79" s="75"/>
      <c r="BV79" s="75"/>
      <c r="BW79" s="75"/>
      <c r="BX79" s="75"/>
      <c r="BY79" s="75"/>
      <c r="BZ79" s="75"/>
      <c r="CA79" s="75"/>
      <c r="CB79" s="75"/>
      <c r="CC79" s="75"/>
    </row>
    <row r="80" spans="2:86" ht="13.5" thickBot="1" x14ac:dyDescent="0.25">
      <c r="B80" s="80" t="s">
        <v>143</v>
      </c>
      <c r="C80" s="6" t="s">
        <v>52</v>
      </c>
      <c r="D80" s="252">
        <v>850</v>
      </c>
      <c r="E80" s="8" t="s">
        <v>23</v>
      </c>
      <c r="F80" s="5">
        <f>C9+1</f>
        <v>4</v>
      </c>
      <c r="G80" s="252">
        <f>IF(E80=O11,F80*D80,0)</f>
        <v>0</v>
      </c>
      <c r="H80" s="260"/>
      <c r="J80" s="287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162"/>
      <c r="X80" s="163"/>
      <c r="Y80" s="163"/>
      <c r="Z80" s="163"/>
      <c r="BR80" s="75"/>
      <c r="BS80" s="75"/>
      <c r="BT80" s="75"/>
      <c r="BU80" s="75"/>
      <c r="BV80" s="75"/>
      <c r="BW80" s="75"/>
      <c r="BX80" s="75"/>
      <c r="BY80" s="75"/>
      <c r="BZ80" s="75"/>
      <c r="CA80" s="75"/>
      <c r="CB80" s="75"/>
      <c r="CC80" s="75"/>
    </row>
    <row r="81" spans="2:81" ht="26.25" thickBot="1" x14ac:dyDescent="0.25">
      <c r="B81" s="85" t="s">
        <v>141</v>
      </c>
      <c r="C81" s="81" t="s">
        <v>54</v>
      </c>
      <c r="D81" s="261">
        <f>CEILING((IF(OR(C56=L169,C56=L171,C56=L172),5000/0.6)+IF(NOT(OR(C56=L169,C56=L171,C56=L172)),9000/0.6)),1)</f>
        <v>15000</v>
      </c>
      <c r="E81" s="82" t="s">
        <v>23</v>
      </c>
      <c r="F81" s="83">
        <v>1</v>
      </c>
      <c r="G81" s="261">
        <f>IF(E81=O11,D81,0)</f>
        <v>0</v>
      </c>
      <c r="H81" s="262"/>
      <c r="J81" s="287"/>
      <c r="K81" s="75" t="s">
        <v>265</v>
      </c>
      <c r="L81" s="199" t="s">
        <v>171</v>
      </c>
      <c r="M81" s="316" t="s">
        <v>270</v>
      </c>
      <c r="N81" s="316" t="s">
        <v>76</v>
      </c>
      <c r="O81" s="316" t="s">
        <v>77</v>
      </c>
      <c r="P81" s="316" t="s">
        <v>266</v>
      </c>
      <c r="Q81" s="317" t="s">
        <v>71</v>
      </c>
      <c r="R81" s="316" t="s">
        <v>267</v>
      </c>
      <c r="S81" s="317" t="s">
        <v>170</v>
      </c>
      <c r="T81" s="318" t="s">
        <v>49</v>
      </c>
      <c r="U81" s="75"/>
      <c r="V81" s="75"/>
      <c r="W81" s="162"/>
      <c r="X81" s="163"/>
      <c r="Y81" s="163"/>
      <c r="Z81" s="163"/>
      <c r="AA81" s="162" t="s">
        <v>59</v>
      </c>
      <c r="BR81" s="75"/>
      <c r="BS81" s="75"/>
      <c r="BT81" s="75"/>
      <c r="BU81" s="75"/>
      <c r="BV81" s="75"/>
      <c r="BW81" s="75"/>
      <c r="BX81" s="75"/>
      <c r="BY81" s="75"/>
      <c r="BZ81" s="75"/>
      <c r="CA81" s="75"/>
      <c r="CB81" s="75"/>
      <c r="CC81" s="75"/>
    </row>
    <row r="82" spans="2:81" ht="30.75" thickBot="1" x14ac:dyDescent="0.3">
      <c r="J82" s="287"/>
      <c r="K82" s="75"/>
      <c r="L82" s="227" t="s">
        <v>73</v>
      </c>
      <c r="M82" s="222">
        <v>400</v>
      </c>
      <c r="N82" s="222">
        <v>5</v>
      </c>
      <c r="O82" s="222">
        <v>9</v>
      </c>
      <c r="P82" s="223">
        <v>55</v>
      </c>
      <c r="Q82" s="210">
        <f t="shared" ref="Q82:Q87" si="3">O82*P82</f>
        <v>495</v>
      </c>
      <c r="R82" s="223">
        <v>85</v>
      </c>
      <c r="S82" s="210">
        <f t="shared" ref="S82:S87" si="4">O82*R82</f>
        <v>765</v>
      </c>
      <c r="T82" s="228" t="s">
        <v>79</v>
      </c>
      <c r="U82" s="75" t="s">
        <v>269</v>
      </c>
      <c r="V82" s="75"/>
      <c r="W82" s="162"/>
      <c r="X82" s="163"/>
      <c r="Y82" s="163"/>
      <c r="Z82" s="163"/>
      <c r="AA82" s="162" t="s">
        <v>60</v>
      </c>
      <c r="AW82" s="75"/>
      <c r="AX82" s="75"/>
      <c r="AY82" s="75"/>
      <c r="BO82" s="75"/>
      <c r="BP82" s="75"/>
      <c r="BQ82" s="75"/>
      <c r="BR82" s="75"/>
      <c r="BS82" s="75"/>
      <c r="BT82" s="75"/>
      <c r="BU82" s="75"/>
      <c r="BV82" s="75"/>
      <c r="BW82" s="75"/>
      <c r="BX82" s="75"/>
      <c r="BY82" s="75"/>
      <c r="BZ82" s="75"/>
      <c r="CA82" s="75"/>
      <c r="CB82" s="75"/>
      <c r="CC82" s="75"/>
    </row>
    <row r="83" spans="2:81" ht="13.5" thickBot="1" x14ac:dyDescent="0.25">
      <c r="B83" s="166" t="s">
        <v>140</v>
      </c>
      <c r="C83" s="158"/>
      <c r="D83" s="158"/>
      <c r="E83" s="158"/>
      <c r="F83" s="159"/>
      <c r="G83" s="264">
        <f ca="1">G51+G68+H72</f>
        <v>434288.33777777781</v>
      </c>
      <c r="H83" s="264">
        <f ca="1">CEILING((G83/C11),1)</f>
        <v>48255</v>
      </c>
      <c r="J83" s="287"/>
      <c r="K83" s="75"/>
      <c r="L83" s="229"/>
      <c r="M83" s="222">
        <v>450</v>
      </c>
      <c r="N83" s="222">
        <v>5</v>
      </c>
      <c r="O83" s="222">
        <v>11</v>
      </c>
      <c r="P83" s="223">
        <v>55</v>
      </c>
      <c r="Q83" s="210">
        <f t="shared" si="3"/>
        <v>605</v>
      </c>
      <c r="R83" s="223">
        <v>85</v>
      </c>
      <c r="S83" s="210">
        <f t="shared" si="4"/>
        <v>935</v>
      </c>
      <c r="T83" s="228" t="s">
        <v>79</v>
      </c>
      <c r="U83" s="75" t="s">
        <v>268</v>
      </c>
      <c r="V83" s="75"/>
      <c r="W83" s="163"/>
      <c r="X83" s="163"/>
      <c r="Y83" s="163"/>
      <c r="Z83" s="163"/>
      <c r="AA83" s="162" t="s">
        <v>23</v>
      </c>
      <c r="AW83" s="75"/>
      <c r="AX83" s="75"/>
      <c r="AY83" s="75"/>
      <c r="BO83" s="75"/>
      <c r="BP83" s="75"/>
      <c r="BQ83" s="75"/>
      <c r="BR83" s="75"/>
      <c r="BS83" s="75"/>
      <c r="BT83" s="75"/>
      <c r="BU83" s="75"/>
      <c r="BV83" s="75"/>
      <c r="BW83" s="75"/>
      <c r="BX83" s="75"/>
      <c r="BY83" s="75"/>
      <c r="BZ83" s="75"/>
      <c r="CA83" s="75"/>
      <c r="CB83" s="75"/>
      <c r="CC83" s="75"/>
    </row>
    <row r="84" spans="2:81" ht="12.75" x14ac:dyDescent="0.2">
      <c r="C84" s="1"/>
      <c r="J84" s="287"/>
      <c r="K84" s="75"/>
      <c r="L84" s="229"/>
      <c r="M84" s="222">
        <v>525</v>
      </c>
      <c r="N84" s="222">
        <v>6</v>
      </c>
      <c r="O84" s="222">
        <v>17</v>
      </c>
      <c r="P84" s="223">
        <v>55</v>
      </c>
      <c r="Q84" s="210">
        <f t="shared" si="3"/>
        <v>935</v>
      </c>
      <c r="R84" s="223">
        <v>85</v>
      </c>
      <c r="S84" s="210">
        <f t="shared" si="4"/>
        <v>1445</v>
      </c>
      <c r="T84" s="228" t="s">
        <v>79</v>
      </c>
      <c r="U84" s="163"/>
      <c r="V84" s="163"/>
      <c r="Y84" s="163"/>
      <c r="Z84" s="163"/>
      <c r="AW84" s="75"/>
      <c r="AX84" s="75"/>
      <c r="AY84" s="75"/>
      <c r="AZ84" s="75"/>
      <c r="BA84" s="75"/>
      <c r="BB84" s="75"/>
      <c r="BC84" s="75"/>
      <c r="BD84" s="75"/>
      <c r="BE84" s="75"/>
      <c r="BG84" s="75"/>
      <c r="BH84" s="75"/>
      <c r="BI84" s="75"/>
      <c r="BJ84" s="75"/>
      <c r="BK84" s="75"/>
      <c r="BL84" s="75"/>
      <c r="BM84" s="75"/>
      <c r="BN84" s="75"/>
      <c r="BO84" s="75"/>
      <c r="BP84" s="75"/>
      <c r="BQ84" s="75"/>
      <c r="BR84" s="75"/>
      <c r="BS84" s="75"/>
      <c r="BT84" s="75"/>
      <c r="BU84" s="75"/>
      <c r="BV84" s="75"/>
      <c r="BW84" s="75"/>
      <c r="BX84" s="75"/>
      <c r="BY84" s="75"/>
      <c r="BZ84" s="75"/>
      <c r="CA84" s="75"/>
      <c r="CB84" s="75"/>
      <c r="CC84" s="75"/>
    </row>
    <row r="85" spans="2:81" ht="12.75" x14ac:dyDescent="0.2">
      <c r="B85" s="3" t="s">
        <v>185</v>
      </c>
      <c r="C85" s="246" t="s">
        <v>186</v>
      </c>
      <c r="D85" s="247" t="s">
        <v>188</v>
      </c>
      <c r="E85" s="248">
        <f>+IF(D85=S125,T125)+IF(D85=S126,T126)+IF(D85=S127,T127)+IF(D85=S128,T128)+IF(D85=S129,T129)</f>
        <v>0.1</v>
      </c>
      <c r="F85" s="3">
        <v>1</v>
      </c>
      <c r="G85" s="252">
        <f ca="1">+E85*G83</f>
        <v>43428.833777777785</v>
      </c>
      <c r="H85" s="3"/>
      <c r="J85" s="287"/>
      <c r="K85" s="75"/>
      <c r="L85" s="229"/>
      <c r="M85" s="222">
        <v>600</v>
      </c>
      <c r="N85" s="222">
        <v>8</v>
      </c>
      <c r="O85" s="222">
        <v>29</v>
      </c>
      <c r="P85" s="223">
        <v>55</v>
      </c>
      <c r="Q85" s="210">
        <f t="shared" si="3"/>
        <v>1595</v>
      </c>
      <c r="R85" s="223">
        <v>85</v>
      </c>
      <c r="S85" s="210">
        <f t="shared" si="4"/>
        <v>2465</v>
      </c>
      <c r="T85" s="228" t="s">
        <v>79</v>
      </c>
      <c r="U85" s="163"/>
      <c r="V85" s="163"/>
      <c r="Y85" s="163"/>
      <c r="Z85" s="163"/>
      <c r="AA85" s="162" t="s">
        <v>61</v>
      </c>
      <c r="AW85" s="75"/>
      <c r="AX85" s="75"/>
      <c r="AY85" s="75"/>
      <c r="AZ85" s="75"/>
      <c r="BA85" s="75"/>
      <c r="BB85" s="75"/>
      <c r="BC85" s="75"/>
      <c r="BD85" s="75"/>
      <c r="BE85" s="75"/>
      <c r="BF85" s="75"/>
      <c r="BG85" s="75"/>
      <c r="BH85" s="75"/>
      <c r="BI85" s="75"/>
      <c r="BJ85" s="75"/>
      <c r="BK85" s="75"/>
      <c r="BL85" s="75"/>
      <c r="BM85" s="75"/>
      <c r="BN85" s="75"/>
      <c r="BO85" s="75"/>
      <c r="BP85" s="75"/>
      <c r="BQ85" s="75"/>
    </row>
    <row r="86" spans="2:81" ht="13.5" thickBot="1" x14ac:dyDescent="0.25">
      <c r="J86" s="287"/>
      <c r="K86" s="75"/>
      <c r="L86" s="229"/>
      <c r="M86" s="222">
        <v>675</v>
      </c>
      <c r="N86" s="222">
        <v>8</v>
      </c>
      <c r="O86" s="222">
        <v>35</v>
      </c>
      <c r="P86" s="223">
        <v>55</v>
      </c>
      <c r="Q86" s="210">
        <f t="shared" si="3"/>
        <v>1925</v>
      </c>
      <c r="R86" s="223">
        <v>85</v>
      </c>
      <c r="S86" s="210">
        <f t="shared" si="4"/>
        <v>2975</v>
      </c>
      <c r="T86" s="228" t="s">
        <v>79</v>
      </c>
      <c r="U86" s="163"/>
      <c r="V86" s="163"/>
      <c r="Y86" s="163"/>
      <c r="Z86" s="163"/>
      <c r="AA86" s="162" t="s">
        <v>62</v>
      </c>
      <c r="AW86" s="75"/>
      <c r="AX86" s="75"/>
      <c r="AY86" s="75"/>
      <c r="AZ86" s="75"/>
      <c r="BA86" s="75"/>
      <c r="BB86" s="75"/>
      <c r="BC86" s="75"/>
      <c r="BD86" s="75"/>
      <c r="BE86" s="75"/>
      <c r="BF86" s="75"/>
      <c r="BG86" s="75"/>
      <c r="BH86" s="75"/>
      <c r="BI86" s="75"/>
      <c r="BJ86" s="75"/>
      <c r="BK86" s="75"/>
      <c r="BL86" s="75"/>
      <c r="BM86" s="75"/>
      <c r="BN86" s="75"/>
      <c r="BO86" s="75"/>
      <c r="BP86" s="75"/>
      <c r="BQ86" s="75"/>
    </row>
    <row r="87" spans="2:81" ht="13.5" thickBot="1" x14ac:dyDescent="0.25">
      <c r="B87" s="166" t="s">
        <v>191</v>
      </c>
      <c r="C87" s="158"/>
      <c r="D87" s="158"/>
      <c r="E87" s="158"/>
      <c r="F87" s="159"/>
      <c r="G87" s="264">
        <f ca="1">SUM(G83:G86)</f>
        <v>477717.1715555556</v>
      </c>
      <c r="H87" s="264">
        <f ca="1">CEILING((G87/C11),1)</f>
        <v>53080</v>
      </c>
      <c r="J87" s="287"/>
      <c r="K87" s="188"/>
      <c r="L87" s="230"/>
      <c r="M87" s="231">
        <v>750</v>
      </c>
      <c r="N87" s="231">
        <v>8</v>
      </c>
      <c r="O87" s="231">
        <v>45</v>
      </c>
      <c r="P87" s="231">
        <v>55</v>
      </c>
      <c r="Q87" s="213">
        <f t="shared" si="3"/>
        <v>2475</v>
      </c>
      <c r="R87" s="223">
        <v>85</v>
      </c>
      <c r="S87" s="210">
        <f t="shared" si="4"/>
        <v>3825</v>
      </c>
      <c r="T87" s="232" t="s">
        <v>79</v>
      </c>
      <c r="U87" s="163"/>
      <c r="V87" s="163"/>
      <c r="Y87" s="163"/>
      <c r="Z87" s="163"/>
      <c r="AA87" s="162" t="s">
        <v>23</v>
      </c>
      <c r="AW87" s="75"/>
      <c r="AX87" s="75"/>
      <c r="AY87" s="75"/>
      <c r="AZ87" s="75"/>
      <c r="BA87" s="75"/>
      <c r="BB87" s="75"/>
      <c r="BC87" s="75"/>
      <c r="BD87" s="75"/>
      <c r="BE87" s="75"/>
      <c r="BF87" s="75"/>
      <c r="BG87" s="75"/>
      <c r="BH87" s="75"/>
      <c r="BI87" s="75"/>
      <c r="BJ87" s="75"/>
      <c r="BK87" s="75"/>
      <c r="BL87" s="75"/>
      <c r="BM87" s="75"/>
      <c r="BN87" s="75"/>
      <c r="BO87" s="75"/>
      <c r="BP87" s="75"/>
      <c r="BQ87" s="75"/>
      <c r="BR87" s="75"/>
      <c r="BS87" s="75"/>
      <c r="BT87" s="75"/>
      <c r="BU87" s="75"/>
      <c r="BV87" s="75"/>
      <c r="BW87" s="75"/>
      <c r="BX87" s="75"/>
      <c r="BY87" s="75"/>
      <c r="BZ87" s="75"/>
      <c r="CA87" s="75"/>
      <c r="CB87" s="75"/>
      <c r="CC87" s="75"/>
    </row>
    <row r="88" spans="2:81" ht="12.75" x14ac:dyDescent="0.2">
      <c r="C88" s="1"/>
      <c r="J88" s="287"/>
      <c r="U88" s="162"/>
      <c r="V88" s="162"/>
      <c r="X88" s="162"/>
      <c r="Y88" s="162"/>
      <c r="Z88" s="162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W88" s="75"/>
      <c r="AX88" s="75"/>
      <c r="AY88" s="75"/>
      <c r="AZ88" s="75"/>
      <c r="BA88" s="75"/>
      <c r="BB88" s="75"/>
      <c r="BC88" s="75"/>
      <c r="BD88" s="75"/>
      <c r="BE88" s="75"/>
      <c r="BF88" s="75"/>
      <c r="BG88" s="75"/>
      <c r="BH88" s="75"/>
      <c r="BI88" s="75"/>
      <c r="BJ88" s="75"/>
      <c r="BK88" s="75"/>
      <c r="BL88" s="75"/>
      <c r="BM88" s="75"/>
      <c r="BN88" s="75"/>
      <c r="BO88" s="75"/>
      <c r="BP88" s="75"/>
      <c r="BQ88" s="75"/>
    </row>
    <row r="89" spans="2:81" ht="12.75" x14ac:dyDescent="0.2">
      <c r="C89" s="1"/>
      <c r="J89" s="287"/>
      <c r="U89" s="162"/>
      <c r="V89" s="162"/>
      <c r="W89" s="162"/>
      <c r="X89" s="162"/>
      <c r="Y89" s="162"/>
      <c r="Z89" s="162"/>
      <c r="AA89" s="162" t="s">
        <v>180</v>
      </c>
      <c r="AB89" s="75">
        <v>550</v>
      </c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W89" s="75"/>
      <c r="AX89" s="75"/>
      <c r="AY89" s="75"/>
      <c r="AZ89" s="75"/>
      <c r="BA89" s="75"/>
      <c r="BB89" s="75"/>
      <c r="BC89" s="75"/>
      <c r="BD89" s="75"/>
      <c r="BE89" s="75"/>
      <c r="BF89" s="75"/>
      <c r="BG89" s="75"/>
      <c r="BH89" s="75"/>
      <c r="BI89" s="75"/>
      <c r="BJ89" s="75"/>
      <c r="BK89" s="75"/>
      <c r="BL89" s="75"/>
      <c r="BM89" s="75"/>
      <c r="BN89" s="75"/>
      <c r="BO89" s="75"/>
      <c r="BP89" s="75"/>
      <c r="BQ89" s="75"/>
    </row>
    <row r="90" spans="2:81" ht="12.75" x14ac:dyDescent="0.2">
      <c r="C90" s="1"/>
      <c r="J90" s="287"/>
      <c r="Q90" s="197"/>
      <c r="R90" s="197"/>
      <c r="S90" s="197"/>
      <c r="T90" s="197"/>
      <c r="U90" s="240"/>
      <c r="V90" s="240"/>
      <c r="W90" s="163"/>
      <c r="X90" s="163"/>
      <c r="Y90" s="163"/>
      <c r="Z90" s="163"/>
      <c r="AA90" s="162" t="s">
        <v>181</v>
      </c>
      <c r="AB90" s="75">
        <v>850</v>
      </c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</row>
    <row r="91" spans="2:81" ht="12.75" customHeight="1" x14ac:dyDescent="0.2">
      <c r="C91" s="1"/>
      <c r="J91" s="287"/>
      <c r="Q91" s="43"/>
      <c r="R91" s="43"/>
      <c r="S91" s="43"/>
      <c r="T91" s="43"/>
      <c r="U91" s="241"/>
      <c r="V91" s="241"/>
      <c r="W91" s="162"/>
      <c r="X91" s="162"/>
      <c r="Y91" s="162"/>
      <c r="Z91" s="162"/>
      <c r="AA91" s="162" t="s">
        <v>23</v>
      </c>
      <c r="AB91" s="75">
        <v>0</v>
      </c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Z91" s="75"/>
      <c r="BA91" s="75"/>
      <c r="BB91" s="75"/>
      <c r="BC91" s="75"/>
      <c r="BD91" s="75"/>
      <c r="BE91" s="75"/>
      <c r="BF91" s="75"/>
      <c r="BG91" s="75"/>
      <c r="BH91" s="75"/>
      <c r="BI91" s="75"/>
      <c r="BJ91" s="75"/>
      <c r="BK91" s="75"/>
      <c r="BL91" s="75"/>
      <c r="BM91" s="75"/>
      <c r="BN91" s="75"/>
    </row>
    <row r="92" spans="2:81" ht="12.75" x14ac:dyDescent="0.2">
      <c r="C92" s="1"/>
      <c r="J92" s="287"/>
      <c r="Q92" s="43"/>
      <c r="R92" s="43"/>
      <c r="S92" s="43"/>
      <c r="T92" s="43"/>
      <c r="U92" s="43"/>
      <c r="V92" s="43"/>
      <c r="W92" s="162"/>
      <c r="X92" s="162"/>
      <c r="Y92" s="162"/>
      <c r="Z92" s="162"/>
      <c r="AA92" s="163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W92" s="75"/>
      <c r="AX92" s="75"/>
      <c r="AY92" s="75"/>
      <c r="BF92" s="75"/>
      <c r="BO92" s="75"/>
      <c r="BP92" s="75"/>
      <c r="BQ92" s="75"/>
    </row>
    <row r="93" spans="2:81" ht="12.75" x14ac:dyDescent="0.2">
      <c r="C93" s="1"/>
      <c r="J93" s="287"/>
      <c r="Q93" s="16"/>
      <c r="R93" s="723" t="s">
        <v>178</v>
      </c>
      <c r="S93" s="724"/>
      <c r="T93" s="16"/>
      <c r="U93" s="16"/>
      <c r="V93" s="16"/>
      <c r="W93" s="162"/>
      <c r="X93" s="162"/>
      <c r="Y93" s="162"/>
      <c r="Z93" s="162"/>
      <c r="AA93" s="163" t="s">
        <v>31</v>
      </c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</row>
    <row r="94" spans="2:81" ht="12.75" x14ac:dyDescent="0.2">
      <c r="C94" s="1"/>
      <c r="J94" s="287"/>
      <c r="Q94" s="16"/>
      <c r="R94" s="244" t="s">
        <v>66</v>
      </c>
      <c r="S94" s="244">
        <v>40000</v>
      </c>
      <c r="T94" s="16"/>
      <c r="U94" s="16"/>
      <c r="V94" s="16"/>
      <c r="W94" s="162"/>
      <c r="X94" s="162"/>
      <c r="Y94" s="162"/>
      <c r="Z94" s="162"/>
      <c r="AA94" s="163" t="s">
        <v>23</v>
      </c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Z94" s="75"/>
      <c r="BA94" s="75"/>
      <c r="BB94" s="75"/>
      <c r="BC94" s="75"/>
      <c r="BD94" s="75"/>
      <c r="BE94" s="75"/>
      <c r="BG94" s="75"/>
      <c r="BH94" s="75"/>
      <c r="BI94" s="75"/>
      <c r="BJ94" s="75"/>
      <c r="BK94" s="75"/>
      <c r="BL94" s="75"/>
      <c r="BM94" s="75"/>
      <c r="BN94" s="75"/>
    </row>
    <row r="95" spans="2:81" ht="12.75" x14ac:dyDescent="0.2">
      <c r="C95" s="1"/>
      <c r="J95" s="287"/>
      <c r="K95" s="86"/>
      <c r="Q95" s="16"/>
      <c r="R95" s="244" t="s">
        <v>68</v>
      </c>
      <c r="S95" s="244">
        <v>45000</v>
      </c>
      <c r="T95" s="16"/>
      <c r="U95" s="16"/>
      <c r="V95" s="16"/>
      <c r="W95" s="162"/>
      <c r="X95" s="162"/>
      <c r="Y95" s="162"/>
      <c r="Z95" s="162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BF95" s="75"/>
    </row>
    <row r="96" spans="2:81" ht="12.75" customHeight="1" x14ac:dyDescent="0.2">
      <c r="C96" s="1"/>
      <c r="J96" s="287"/>
      <c r="K96" s="105"/>
      <c r="R96" s="221" t="s">
        <v>67</v>
      </c>
      <c r="S96" s="244">
        <v>50000</v>
      </c>
      <c r="W96" s="162"/>
      <c r="X96" s="162"/>
      <c r="Y96" s="162"/>
      <c r="Z96" s="162"/>
      <c r="AR96" s="75"/>
      <c r="AS96" s="75"/>
      <c r="AT96" s="75"/>
      <c r="AU96" s="75"/>
      <c r="AV96" s="75"/>
    </row>
    <row r="97" spans="3:48" ht="12.75" x14ac:dyDescent="0.2">
      <c r="C97" s="1"/>
      <c r="J97" s="287"/>
      <c r="K97" s="105"/>
      <c r="W97" s="162"/>
      <c r="X97" s="162"/>
      <c r="Y97" s="162"/>
      <c r="Z97" s="162"/>
      <c r="AR97" s="75"/>
      <c r="AS97" s="75"/>
      <c r="AT97" s="75"/>
      <c r="AU97" s="75"/>
      <c r="AV97" s="75"/>
    </row>
    <row r="98" spans="3:48" ht="15.75" customHeight="1" x14ac:dyDescent="0.2">
      <c r="C98" s="1"/>
      <c r="J98" s="287"/>
      <c r="K98" s="75"/>
      <c r="W98" s="162"/>
      <c r="X98" s="162"/>
      <c r="Y98" s="162"/>
      <c r="Z98" s="162"/>
      <c r="AR98" s="75"/>
      <c r="AS98" s="75"/>
      <c r="AT98" s="75"/>
      <c r="AU98" s="75"/>
      <c r="AV98" s="75"/>
    </row>
    <row r="99" spans="3:48" ht="15.75" customHeight="1" x14ac:dyDescent="0.2">
      <c r="C99" s="1"/>
      <c r="J99" s="287"/>
      <c r="K99" s="75"/>
      <c r="U99" s="162"/>
      <c r="V99" s="162"/>
      <c r="W99" s="162"/>
      <c r="X99" s="162"/>
      <c r="Y99" s="162"/>
      <c r="Z99" s="162"/>
      <c r="AA99" s="162" t="s">
        <v>4</v>
      </c>
      <c r="AR99" s="75"/>
      <c r="AS99" s="75"/>
      <c r="AT99" s="75"/>
      <c r="AU99" s="75"/>
      <c r="AV99" s="75"/>
    </row>
    <row r="100" spans="3:48" ht="15.75" customHeight="1" x14ac:dyDescent="0.2">
      <c r="C100" s="1"/>
      <c r="J100" s="287"/>
      <c r="K100" s="75"/>
      <c r="Q100" s="170"/>
      <c r="R100" s="170"/>
      <c r="S100" s="170"/>
      <c r="T100" s="170"/>
      <c r="U100" s="241"/>
      <c r="V100" s="241"/>
      <c r="W100" s="162"/>
      <c r="X100" s="162"/>
      <c r="Y100" s="162"/>
      <c r="Z100" s="162"/>
      <c r="AR100" s="75"/>
      <c r="AS100" s="75"/>
      <c r="AT100" s="75"/>
      <c r="AU100" s="75"/>
      <c r="AV100" s="75"/>
    </row>
    <row r="101" spans="3:48" ht="15.75" customHeight="1" x14ac:dyDescent="0.2">
      <c r="J101" s="287"/>
      <c r="K101" s="75"/>
      <c r="Q101" s="170"/>
      <c r="R101" s="170"/>
      <c r="S101" s="170"/>
      <c r="T101" s="170"/>
      <c r="U101" s="241"/>
      <c r="V101" s="241"/>
      <c r="W101" s="162"/>
      <c r="X101" s="162"/>
      <c r="Y101" s="162"/>
      <c r="Z101" s="162"/>
      <c r="AR101" s="75"/>
      <c r="AS101" s="75"/>
      <c r="AT101" s="75"/>
      <c r="AU101" s="75"/>
      <c r="AV101" s="75"/>
    </row>
    <row r="102" spans="3:48" ht="15.75" customHeight="1" x14ac:dyDescent="0.2">
      <c r="J102" s="287"/>
      <c r="K102" s="75"/>
      <c r="Q102" s="47"/>
      <c r="R102" s="47"/>
      <c r="S102" s="47"/>
      <c r="T102" s="47"/>
      <c r="U102" s="241"/>
      <c r="V102" s="241"/>
      <c r="W102" s="162"/>
      <c r="X102" s="162"/>
      <c r="Y102" s="162"/>
      <c r="Z102" s="162"/>
    </row>
    <row r="103" spans="3:48" ht="15.75" customHeight="1" x14ac:dyDescent="0.2">
      <c r="J103" s="287"/>
      <c r="K103" s="75"/>
      <c r="Q103" s="241"/>
      <c r="R103" s="241"/>
      <c r="S103" s="241"/>
      <c r="T103" s="241"/>
      <c r="U103" s="241"/>
      <c r="V103" s="241"/>
      <c r="W103" s="162"/>
      <c r="X103" s="162"/>
      <c r="Y103" s="162"/>
      <c r="Z103" s="162"/>
    </row>
    <row r="104" spans="3:48" ht="15.75" customHeight="1" x14ac:dyDescent="0.2">
      <c r="J104" s="287"/>
      <c r="Q104" s="241"/>
      <c r="R104" s="241"/>
      <c r="S104" s="241"/>
      <c r="T104" s="241"/>
      <c r="U104" s="241"/>
      <c r="V104" s="241"/>
      <c r="W104" s="162"/>
      <c r="X104" s="162"/>
      <c r="Y104" s="162"/>
      <c r="Z104" s="162"/>
      <c r="AA104" s="162" t="s">
        <v>19</v>
      </c>
      <c r="AS104" s="75"/>
      <c r="AT104" s="75"/>
      <c r="AU104" s="75"/>
      <c r="AV104" s="75"/>
    </row>
    <row r="105" spans="3:48" ht="15.75" customHeight="1" x14ac:dyDescent="0.2">
      <c r="J105" s="287"/>
      <c r="Q105" s="241"/>
      <c r="R105" s="241"/>
      <c r="S105" s="241"/>
      <c r="T105" s="241"/>
      <c r="U105" s="241"/>
      <c r="V105" s="241"/>
      <c r="W105" s="162"/>
      <c r="X105" s="162"/>
      <c r="Y105" s="162"/>
      <c r="Z105" s="162"/>
      <c r="AA105" s="163" t="s">
        <v>20</v>
      </c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</row>
    <row r="106" spans="3:48" ht="15.75" customHeight="1" thickBot="1" x14ac:dyDescent="0.25">
      <c r="J106" s="287"/>
      <c r="K106" s="75"/>
      <c r="Q106" s="162"/>
      <c r="R106" s="162"/>
      <c r="S106" s="162"/>
      <c r="T106" s="241"/>
      <c r="U106" s="241"/>
      <c r="V106" s="241"/>
      <c r="W106" s="241"/>
      <c r="X106" s="241"/>
      <c r="Y106" s="241"/>
      <c r="Z106" s="241"/>
      <c r="AA106" s="163" t="s">
        <v>31</v>
      </c>
      <c r="AB106" s="75"/>
      <c r="AC106" s="75"/>
      <c r="AD106" s="75"/>
      <c r="AE106" s="75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</row>
    <row r="107" spans="3:48" ht="15.75" customHeight="1" thickBot="1" x14ac:dyDescent="0.25">
      <c r="J107" s="287"/>
      <c r="L107" s="20" t="s">
        <v>37</v>
      </c>
      <c r="M107" s="29" t="s">
        <v>74</v>
      </c>
      <c r="N107" s="29"/>
      <c r="O107" s="29"/>
      <c r="P107" s="33"/>
      <c r="Q107" s="162">
        <f>+IF(AND(C14=P115,B30=Q116,D30=L117),Q117)+IF(AND(C14=P115,B30=Q116,D30=L118),Q118)+IF(AND(C14=P115,B30=Q116,D30=L119),Q119)+IF(AND(C14=P115,B30=Q116,D30=L120),Q120)+IF(AND(C14=P115,B30=Q116,D30=L121),Q121)+IF(AND(C14=P115,B30=Q116,D30=L122),Q122)</f>
        <v>0</v>
      </c>
      <c r="R107" s="162"/>
      <c r="S107" s="162"/>
      <c r="T107" s="241"/>
      <c r="U107" s="241"/>
      <c r="V107" s="241"/>
      <c r="W107" s="241"/>
      <c r="X107" s="241"/>
      <c r="Y107" s="241"/>
      <c r="Z107" s="241"/>
      <c r="AA107" s="163" t="s">
        <v>29</v>
      </c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  <c r="AP107" s="75"/>
      <c r="AQ107" s="75"/>
    </row>
    <row r="108" spans="3:48" ht="15.75" customHeight="1" x14ac:dyDescent="0.25">
      <c r="J108" s="287"/>
      <c r="L108" s="195" t="s">
        <v>73</v>
      </c>
      <c r="M108" s="31">
        <v>12</v>
      </c>
      <c r="N108" s="31" t="s">
        <v>44</v>
      </c>
      <c r="O108" s="39">
        <v>1500</v>
      </c>
      <c r="P108" s="32" t="s">
        <v>45</v>
      </c>
      <c r="Q108" s="162"/>
      <c r="R108" s="162"/>
      <c r="S108" s="162"/>
      <c r="T108" s="241"/>
      <c r="U108" s="241"/>
      <c r="V108" s="241"/>
      <c r="W108" s="241"/>
      <c r="X108" s="241"/>
      <c r="Y108" s="241"/>
      <c r="Z108" s="241"/>
      <c r="AA108" s="163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75"/>
      <c r="AO108" s="75"/>
      <c r="AP108" s="75"/>
      <c r="AQ108" s="75"/>
    </row>
    <row r="109" spans="3:48" ht="15.75" customHeight="1" x14ac:dyDescent="0.25">
      <c r="J109" s="287"/>
      <c r="L109" s="195"/>
      <c r="M109" s="31">
        <v>24</v>
      </c>
      <c r="N109" s="31" t="s">
        <v>44</v>
      </c>
      <c r="O109" s="39">
        <v>2000</v>
      </c>
      <c r="P109" s="32" t="s">
        <v>45</v>
      </c>
      <c r="Q109" s="162"/>
      <c r="R109" s="162"/>
      <c r="S109" s="162"/>
      <c r="T109" s="243"/>
      <c r="U109" s="243"/>
      <c r="V109" s="243"/>
      <c r="W109" s="162"/>
      <c r="X109" s="242"/>
      <c r="Y109" s="242"/>
      <c r="Z109" s="162"/>
      <c r="AA109" s="163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  <c r="AP109" s="75"/>
      <c r="AQ109" s="75"/>
    </row>
    <row r="110" spans="3:48" ht="15.75" customHeight="1" x14ac:dyDescent="0.2">
      <c r="J110" s="287"/>
      <c r="L110" s="35"/>
      <c r="M110" s="31">
        <v>36</v>
      </c>
      <c r="N110" s="31" t="s">
        <v>44</v>
      </c>
      <c r="O110" s="39">
        <v>2500</v>
      </c>
      <c r="P110" s="32" t="s">
        <v>45</v>
      </c>
      <c r="Q110" s="162"/>
      <c r="R110" s="162"/>
      <c r="S110" s="162"/>
      <c r="T110" s="243"/>
      <c r="U110" s="243"/>
      <c r="V110" s="243"/>
      <c r="W110" s="162"/>
      <c r="X110" s="242"/>
      <c r="Y110" s="242"/>
      <c r="Z110" s="162"/>
      <c r="AA110" s="163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75"/>
    </row>
    <row r="111" spans="3:48" ht="15.75" customHeight="1" x14ac:dyDescent="0.2">
      <c r="J111" s="287"/>
      <c r="K111" s="86"/>
      <c r="L111" s="30"/>
      <c r="M111" s="129" t="s">
        <v>46</v>
      </c>
      <c r="N111" s="31" t="s">
        <v>44</v>
      </c>
      <c r="O111" s="39">
        <v>3500</v>
      </c>
      <c r="P111" s="32" t="s">
        <v>45</v>
      </c>
      <c r="Q111" s="162"/>
      <c r="R111" s="162"/>
      <c r="S111" s="162"/>
      <c r="T111" s="243"/>
      <c r="U111" s="243"/>
      <c r="V111" s="111"/>
      <c r="W111" s="162"/>
      <c r="X111" s="242"/>
      <c r="Y111" s="242"/>
      <c r="Z111" s="162"/>
      <c r="AA111" s="163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  <c r="AP111" s="75"/>
      <c r="AQ111" s="75"/>
      <c r="AR111" s="75"/>
    </row>
    <row r="112" spans="3:48" ht="15.75" customHeight="1" thickBot="1" x14ac:dyDescent="0.25">
      <c r="J112" s="287"/>
      <c r="K112" s="86"/>
      <c r="L112" s="21"/>
      <c r="M112" s="123" t="s">
        <v>101</v>
      </c>
      <c r="N112" s="112" t="s">
        <v>44</v>
      </c>
      <c r="O112" s="40">
        <v>6000</v>
      </c>
      <c r="P112" s="120" t="s">
        <v>13</v>
      </c>
      <c r="Q112" s="162"/>
      <c r="R112" s="162"/>
      <c r="AA112" s="163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  <c r="AP112" s="75"/>
      <c r="AQ112" s="75"/>
      <c r="AR112" s="75"/>
    </row>
    <row r="113" spans="10:44" ht="15.75" customHeight="1" x14ac:dyDescent="0.2">
      <c r="J113" s="287"/>
      <c r="K113" s="86"/>
      <c r="AA113" s="162" t="s">
        <v>21</v>
      </c>
      <c r="AR113" s="75"/>
    </row>
    <row r="114" spans="10:44" ht="15.75" customHeight="1" thickBot="1" x14ac:dyDescent="0.25">
      <c r="J114" s="287"/>
      <c r="K114" s="86"/>
      <c r="L114" s="52"/>
      <c r="M114" s="52"/>
      <c r="AR114" s="75"/>
    </row>
    <row r="115" spans="10:44" ht="15.75" customHeight="1" x14ac:dyDescent="0.2">
      <c r="J115" s="287"/>
      <c r="K115" s="86"/>
      <c r="L115" s="199" t="s">
        <v>172</v>
      </c>
      <c r="M115" s="224"/>
      <c r="N115" s="720" t="s">
        <v>162</v>
      </c>
      <c r="O115" s="720"/>
      <c r="P115" s="720" t="s">
        <v>163</v>
      </c>
      <c r="Q115" s="720"/>
      <c r="R115" s="226"/>
      <c r="AA115" s="163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  <c r="AP115" s="75"/>
      <c r="AQ115" s="75"/>
      <c r="AR115" s="75"/>
    </row>
    <row r="116" spans="10:44" ht="15.75" customHeight="1" x14ac:dyDescent="0.2">
      <c r="J116" s="287"/>
      <c r="K116" s="86"/>
      <c r="L116" s="61"/>
      <c r="M116" s="3"/>
      <c r="N116" s="236" t="s">
        <v>173</v>
      </c>
      <c r="O116" s="236" t="s">
        <v>174</v>
      </c>
      <c r="P116" s="236" t="s">
        <v>173</v>
      </c>
      <c r="Q116" s="236" t="s">
        <v>174</v>
      </c>
      <c r="R116" s="228"/>
      <c r="AA116" s="162" t="s">
        <v>22</v>
      </c>
      <c r="AR116" s="75"/>
    </row>
    <row r="117" spans="10:44" ht="15.75" customHeight="1" x14ac:dyDescent="0.2">
      <c r="J117" s="287"/>
      <c r="K117" s="86"/>
      <c r="L117" s="233">
        <v>400</v>
      </c>
      <c r="M117" s="222">
        <v>8</v>
      </c>
      <c r="N117" s="210">
        <f>M117*275</f>
        <v>2200</v>
      </c>
      <c r="O117" s="209">
        <f>+N117*0.9</f>
        <v>1980</v>
      </c>
      <c r="P117" s="209">
        <f>+N117*2</f>
        <v>4400</v>
      </c>
      <c r="Q117" s="209">
        <f t="shared" ref="Q117:Q122" si="5">+O117*2</f>
        <v>3960</v>
      </c>
      <c r="R117" s="103" t="s">
        <v>92</v>
      </c>
      <c r="T117" s="31"/>
      <c r="U117" s="31"/>
      <c r="V117" s="31"/>
      <c r="Z117" s="52"/>
      <c r="AA117" s="162" t="s">
        <v>23</v>
      </c>
      <c r="AR117" s="75"/>
    </row>
    <row r="118" spans="10:44" ht="15.75" customHeight="1" x14ac:dyDescent="0.2">
      <c r="J118" s="287"/>
      <c r="K118" s="86"/>
      <c r="L118" s="233">
        <v>450</v>
      </c>
      <c r="M118" s="222">
        <v>10</v>
      </c>
      <c r="N118" s="210">
        <f t="shared" ref="N118:N122" si="6">M118*275</f>
        <v>2750</v>
      </c>
      <c r="O118" s="209">
        <f t="shared" ref="O118:O122" si="7">+N118*0.9</f>
        <v>2475</v>
      </c>
      <c r="P118" s="209">
        <f t="shared" ref="P118:P122" si="8">+N118*2</f>
        <v>5500</v>
      </c>
      <c r="Q118" s="209">
        <f t="shared" si="5"/>
        <v>4950</v>
      </c>
      <c r="R118" s="103" t="s">
        <v>92</v>
      </c>
      <c r="T118" s="31"/>
      <c r="U118" s="31"/>
      <c r="V118" s="31"/>
      <c r="Z118" s="52"/>
      <c r="AR118" s="75"/>
    </row>
    <row r="119" spans="10:44" ht="15.75" customHeight="1" x14ac:dyDescent="0.2">
      <c r="J119" s="287"/>
      <c r="K119" s="86"/>
      <c r="L119" s="233">
        <v>525</v>
      </c>
      <c r="M119" s="222">
        <v>12</v>
      </c>
      <c r="N119" s="210">
        <f>M119*275</f>
        <v>3300</v>
      </c>
      <c r="O119" s="209">
        <f>+N119*0.9</f>
        <v>2970</v>
      </c>
      <c r="P119" s="209">
        <f t="shared" si="8"/>
        <v>6600</v>
      </c>
      <c r="Q119" s="209">
        <f t="shared" si="5"/>
        <v>5940</v>
      </c>
      <c r="R119" s="103" t="s">
        <v>92</v>
      </c>
      <c r="T119" s="31"/>
      <c r="U119" s="31"/>
      <c r="V119" s="31"/>
    </row>
    <row r="120" spans="10:44" ht="15.75" customHeight="1" x14ac:dyDescent="0.2">
      <c r="J120" s="287"/>
      <c r="K120" s="86"/>
      <c r="L120" s="233">
        <v>600</v>
      </c>
      <c r="M120" s="222">
        <v>16</v>
      </c>
      <c r="N120" s="210">
        <f>M120*275</f>
        <v>4400</v>
      </c>
      <c r="O120" s="209">
        <f t="shared" si="7"/>
        <v>3960</v>
      </c>
      <c r="P120" s="209">
        <f t="shared" si="8"/>
        <v>8800</v>
      </c>
      <c r="Q120" s="209">
        <f t="shared" si="5"/>
        <v>7920</v>
      </c>
      <c r="R120" s="103" t="s">
        <v>92</v>
      </c>
      <c r="T120" s="117"/>
      <c r="U120" s="117"/>
      <c r="V120" s="117"/>
      <c r="Z120" s="9" t="s">
        <v>12</v>
      </c>
    </row>
    <row r="121" spans="10:44" ht="15.75" customHeight="1" x14ac:dyDescent="0.2">
      <c r="J121" s="287"/>
      <c r="K121" s="86"/>
      <c r="L121" s="233">
        <v>675</v>
      </c>
      <c r="M121" s="222">
        <v>18</v>
      </c>
      <c r="N121" s="210">
        <f t="shared" si="6"/>
        <v>4950</v>
      </c>
      <c r="O121" s="209">
        <f t="shared" si="7"/>
        <v>4455</v>
      </c>
      <c r="P121" s="209">
        <f t="shared" si="8"/>
        <v>9900</v>
      </c>
      <c r="Q121" s="209">
        <f t="shared" si="5"/>
        <v>8910</v>
      </c>
      <c r="R121" s="103" t="s">
        <v>92</v>
      </c>
      <c r="Z121" s="9" t="s">
        <v>13</v>
      </c>
      <c r="AR121" s="75"/>
    </row>
    <row r="122" spans="10:44" ht="15.75" customHeight="1" thickBot="1" x14ac:dyDescent="0.25">
      <c r="J122" s="287"/>
      <c r="K122" s="86"/>
      <c r="L122" s="234">
        <v>750</v>
      </c>
      <c r="M122" s="187">
        <v>20</v>
      </c>
      <c r="N122" s="213">
        <f t="shared" si="6"/>
        <v>5500</v>
      </c>
      <c r="O122" s="212">
        <f t="shared" si="7"/>
        <v>4950</v>
      </c>
      <c r="P122" s="212">
        <f t="shared" si="8"/>
        <v>11000</v>
      </c>
      <c r="Q122" s="212">
        <f t="shared" si="5"/>
        <v>9900</v>
      </c>
      <c r="R122" s="235" t="s">
        <v>92</v>
      </c>
      <c r="Z122" s="9"/>
    </row>
    <row r="123" spans="10:44" ht="15.75" customHeight="1" thickBot="1" x14ac:dyDescent="0.25">
      <c r="J123" s="287"/>
      <c r="K123" s="86"/>
      <c r="O123" s="39"/>
      <c r="Z123" s="9"/>
      <c r="AC123" s="1" t="s">
        <v>161</v>
      </c>
    </row>
    <row r="124" spans="10:44" ht="15.75" customHeight="1" x14ac:dyDescent="0.2">
      <c r="J124" s="287"/>
      <c r="K124" s="86"/>
      <c r="L124" s="199" t="s">
        <v>176</v>
      </c>
      <c r="M124" s="237" t="s">
        <v>162</v>
      </c>
      <c r="N124" s="238" t="s">
        <v>163</v>
      </c>
      <c r="P124" s="245" t="s">
        <v>182</v>
      </c>
      <c r="Q124" s="3"/>
      <c r="S124" s="245" t="s">
        <v>185</v>
      </c>
      <c r="T124" s="3"/>
      <c r="Z124" s="9"/>
      <c r="AB124" s="192" t="s">
        <v>159</v>
      </c>
      <c r="AC124" s="192"/>
      <c r="AD124" s="189" t="s">
        <v>160</v>
      </c>
    </row>
    <row r="125" spans="10:44" ht="15.75" customHeight="1" thickBot="1" x14ac:dyDescent="0.25">
      <c r="J125" s="287"/>
      <c r="K125" s="86"/>
      <c r="L125" s="239" t="s">
        <v>177</v>
      </c>
      <c r="M125" s="187">
        <v>6500</v>
      </c>
      <c r="N125" s="235">
        <f>+M125*2</f>
        <v>13000</v>
      </c>
      <c r="P125" s="244" t="s">
        <v>23</v>
      </c>
      <c r="Q125" s="3">
        <v>0</v>
      </c>
      <c r="S125" s="3" t="s">
        <v>187</v>
      </c>
      <c r="T125" s="3">
        <v>0.05</v>
      </c>
      <c r="Z125" s="9"/>
      <c r="AB125" s="3">
        <v>2.0099999999999998</v>
      </c>
      <c r="AC125" s="190">
        <v>3.01</v>
      </c>
      <c r="AD125" s="191">
        <v>9</v>
      </c>
    </row>
    <row r="126" spans="10:44" ht="15.75" customHeight="1" x14ac:dyDescent="0.2">
      <c r="J126" s="287"/>
      <c r="K126" s="86"/>
      <c r="P126" s="3" t="s">
        <v>183</v>
      </c>
      <c r="Q126" s="3">
        <v>18500</v>
      </c>
      <c r="S126" s="3" t="s">
        <v>188</v>
      </c>
      <c r="T126" s="3">
        <v>0.1</v>
      </c>
      <c r="Z126" s="9"/>
      <c r="AB126" s="3">
        <v>3.01</v>
      </c>
      <c r="AC126" s="190">
        <v>4.01</v>
      </c>
      <c r="AD126" s="191">
        <v>14</v>
      </c>
    </row>
    <row r="127" spans="10:44" ht="15.75" customHeight="1" x14ac:dyDescent="0.2">
      <c r="J127" s="287"/>
      <c r="K127" s="86"/>
      <c r="P127" s="3" t="s">
        <v>184</v>
      </c>
      <c r="Q127" s="3">
        <v>30500</v>
      </c>
      <c r="S127" s="3" t="s">
        <v>189</v>
      </c>
      <c r="T127" s="3">
        <v>0.15</v>
      </c>
      <c r="Z127" s="9"/>
      <c r="AB127" s="3">
        <v>4.01</v>
      </c>
      <c r="AC127" s="190">
        <v>5.01</v>
      </c>
      <c r="AD127" s="191">
        <v>18</v>
      </c>
    </row>
    <row r="128" spans="10:44" ht="15.75" customHeight="1" x14ac:dyDescent="0.2">
      <c r="J128" s="287"/>
      <c r="K128" s="86"/>
      <c r="S128" s="3" t="s">
        <v>190</v>
      </c>
      <c r="T128" s="3">
        <v>0.2</v>
      </c>
      <c r="W128" s="52"/>
      <c r="X128" s="52"/>
      <c r="Y128" s="52"/>
      <c r="Z128" s="52"/>
      <c r="AB128" s="3">
        <v>5.01</v>
      </c>
      <c r="AC128" s="190">
        <v>6.01</v>
      </c>
      <c r="AD128" s="191">
        <v>23</v>
      </c>
    </row>
    <row r="129" spans="10:30" ht="15.75" customHeight="1" x14ac:dyDescent="0.2">
      <c r="J129" s="287"/>
      <c r="K129" s="86"/>
      <c r="S129" s="244" t="s">
        <v>23</v>
      </c>
      <c r="T129" s="3">
        <v>0</v>
      </c>
      <c r="W129" s="52"/>
      <c r="X129" s="52"/>
      <c r="Y129" s="52"/>
      <c r="Z129" s="52"/>
      <c r="AB129" s="3">
        <v>6.01</v>
      </c>
      <c r="AC129" s="190">
        <v>7.01</v>
      </c>
      <c r="AD129" s="191">
        <v>28</v>
      </c>
    </row>
    <row r="130" spans="10:30" ht="15.75" customHeight="1" x14ac:dyDescent="0.2">
      <c r="J130" s="287">
        <f>+IF(AND(C57=L159,F57&lt;150),K171)+IF(AND(C57=L159,F57&gt;150.01,F57&lt;230),K172)+IF(AND(C57=L159,F57&gt;230.01,F57&lt;325),K173)+IF(AND(C57=L159,F57&gt;325.01,F57&lt;475),K174)+IF(AND(C57=L159,F57&gt;475.01,F57&lt;725),K175)+IF(AND(C57=L159,F57&gt;725.01,F57&lt;1400),K176)+IF(AND(C57=L159,F57&gt;1401.01,F57&lt;2200),K177)</f>
        <v>0</v>
      </c>
      <c r="K130" s="86"/>
      <c r="W130" s="52"/>
      <c r="X130" s="52"/>
      <c r="Y130" s="52"/>
      <c r="Z130" s="52"/>
      <c r="AB130" s="3">
        <v>7.01</v>
      </c>
      <c r="AC130" s="190">
        <v>8.01</v>
      </c>
      <c r="AD130" s="191">
        <v>32</v>
      </c>
    </row>
    <row r="131" spans="10:30" ht="15.75" customHeight="1" thickBot="1" x14ac:dyDescent="0.25">
      <c r="J131" s="287"/>
      <c r="K131" s="86"/>
      <c r="W131" s="52"/>
      <c r="X131" s="52"/>
      <c r="Y131" s="52"/>
      <c r="Z131" s="52"/>
      <c r="AB131" s="3">
        <v>8.01</v>
      </c>
      <c r="AC131" s="190">
        <v>9.01</v>
      </c>
      <c r="AD131" s="191">
        <v>37</v>
      </c>
    </row>
    <row r="132" spans="10:30" ht="15.75" customHeight="1" thickBot="1" x14ac:dyDescent="0.25">
      <c r="J132" s="287"/>
      <c r="K132" s="86"/>
      <c r="L132" s="20" t="s">
        <v>43</v>
      </c>
      <c r="M132" s="106" t="s">
        <v>74</v>
      </c>
      <c r="N132" s="106"/>
      <c r="O132" s="106"/>
      <c r="P132" s="107"/>
      <c r="Q132" s="111"/>
      <c r="R132" s="111"/>
      <c r="S132" s="111"/>
      <c r="T132" s="111"/>
      <c r="U132" s="111"/>
      <c r="V132" s="111"/>
      <c r="W132" s="52"/>
      <c r="X132" s="52"/>
      <c r="Y132" s="52"/>
      <c r="Z132" s="52"/>
      <c r="AB132" s="3">
        <v>9.01</v>
      </c>
      <c r="AC132" s="190">
        <v>10.01</v>
      </c>
      <c r="AD132" s="191">
        <v>42</v>
      </c>
    </row>
    <row r="133" spans="10:30" ht="15.75" customHeight="1" x14ac:dyDescent="0.2">
      <c r="J133" s="287"/>
      <c r="L133" s="110"/>
      <c r="M133" s="111">
        <v>12</v>
      </c>
      <c r="N133" s="111" t="s">
        <v>44</v>
      </c>
      <c r="O133" s="111">
        <f>1000+500</f>
        <v>1500</v>
      </c>
      <c r="P133" s="115" t="s">
        <v>45</v>
      </c>
      <c r="Q133" s="111"/>
      <c r="R133" s="111"/>
      <c r="S133" s="111"/>
      <c r="T133" s="111"/>
      <c r="U133" s="111"/>
      <c r="V133" s="111"/>
      <c r="W133" s="52"/>
      <c r="X133" s="52"/>
      <c r="Y133" s="52"/>
      <c r="Z133" s="52"/>
      <c r="AB133" s="3">
        <v>10.01</v>
      </c>
      <c r="AC133" s="190">
        <v>11.01</v>
      </c>
      <c r="AD133" s="191">
        <v>46</v>
      </c>
    </row>
    <row r="134" spans="10:30" ht="15.75" customHeight="1" x14ac:dyDescent="0.2">
      <c r="J134" s="287"/>
      <c r="L134" s="110"/>
      <c r="M134" s="111">
        <v>24</v>
      </c>
      <c r="N134" s="111" t="s">
        <v>44</v>
      </c>
      <c r="O134" s="111">
        <f>2000+500</f>
        <v>2500</v>
      </c>
      <c r="P134" s="115" t="s">
        <v>45</v>
      </c>
      <c r="Q134" s="111"/>
      <c r="R134" s="111"/>
      <c r="S134" s="111"/>
      <c r="T134" s="111"/>
      <c r="U134" s="111"/>
      <c r="V134" s="111"/>
      <c r="W134" s="52"/>
      <c r="X134" s="52"/>
      <c r="Y134" s="52"/>
      <c r="Z134" s="52"/>
      <c r="AB134" s="3">
        <v>11.01</v>
      </c>
      <c r="AC134" s="190">
        <v>12.01</v>
      </c>
      <c r="AD134" s="191">
        <v>51</v>
      </c>
    </row>
    <row r="135" spans="10:30" ht="15.75" customHeight="1" x14ac:dyDescent="0.2">
      <c r="J135" s="287"/>
      <c r="L135" s="116"/>
      <c r="M135" s="111">
        <v>36</v>
      </c>
      <c r="N135" s="117" t="s">
        <v>44</v>
      </c>
      <c r="O135" s="117">
        <f>3000+500</f>
        <v>3500</v>
      </c>
      <c r="P135" s="118" t="s">
        <v>45</v>
      </c>
      <c r="Q135" s="117"/>
      <c r="R135" s="117"/>
      <c r="S135" s="117"/>
      <c r="T135" s="117"/>
      <c r="U135" s="117"/>
      <c r="V135" s="117"/>
      <c r="W135" s="52"/>
      <c r="X135" s="52"/>
      <c r="Y135" s="52"/>
      <c r="Z135" s="52"/>
      <c r="AB135" s="3">
        <v>12.01</v>
      </c>
      <c r="AC135" s="190">
        <v>13.01</v>
      </c>
      <c r="AD135" s="191">
        <v>56</v>
      </c>
    </row>
    <row r="136" spans="10:30" ht="15.75" customHeight="1" thickBot="1" x14ac:dyDescent="0.25">
      <c r="J136" s="287"/>
      <c r="L136" s="119"/>
      <c r="M136" s="122" t="s">
        <v>46</v>
      </c>
      <c r="N136" s="113" t="s">
        <v>44</v>
      </c>
      <c r="O136" s="113">
        <f>3500+500</f>
        <v>4000</v>
      </c>
      <c r="P136" s="120" t="s">
        <v>45</v>
      </c>
      <c r="Q136" s="117"/>
      <c r="R136" s="117"/>
      <c r="S136" s="117"/>
      <c r="T136" s="117"/>
      <c r="U136" s="117"/>
      <c r="V136" s="117"/>
      <c r="W136" s="52"/>
      <c r="X136" s="52"/>
      <c r="Y136" s="52"/>
      <c r="Z136" s="52"/>
    </row>
    <row r="137" spans="10:30" ht="15.75" customHeight="1" thickBot="1" x14ac:dyDescent="0.25">
      <c r="J137" s="287"/>
      <c r="R137" s="52"/>
      <c r="S137" s="52"/>
      <c r="T137" s="52"/>
      <c r="U137" s="52"/>
      <c r="V137" s="52"/>
      <c r="W137" s="52"/>
      <c r="X137" s="52"/>
      <c r="Y137" s="52"/>
      <c r="Z137" s="52"/>
      <c r="AA137" s="1"/>
    </row>
    <row r="138" spans="10:30" ht="15.75" customHeight="1" thickBot="1" x14ac:dyDescent="0.25">
      <c r="J138" s="287"/>
      <c r="L138" s="20" t="s">
        <v>48</v>
      </c>
      <c r="M138" s="106" t="s">
        <v>74</v>
      </c>
      <c r="N138" s="106"/>
      <c r="O138" s="106"/>
      <c r="P138" s="106"/>
      <c r="Q138" s="106"/>
      <c r="R138" s="52"/>
      <c r="S138" s="52"/>
      <c r="T138" s="52"/>
      <c r="U138" s="52"/>
      <c r="V138" s="52"/>
      <c r="W138" s="52"/>
      <c r="X138" s="111"/>
      <c r="Y138" s="111"/>
      <c r="Z138" s="52"/>
      <c r="AA138" s="1"/>
    </row>
    <row r="139" spans="10:30" ht="15.75" customHeight="1" x14ac:dyDescent="0.2">
      <c r="J139" s="287"/>
      <c r="L139" s="116"/>
      <c r="M139" s="111">
        <v>12</v>
      </c>
      <c r="N139" s="111" t="s">
        <v>44</v>
      </c>
      <c r="O139" s="111">
        <f>500+150</f>
        <v>650</v>
      </c>
      <c r="P139" s="111" t="s">
        <v>47</v>
      </c>
      <c r="Q139" s="115" t="s">
        <v>80</v>
      </c>
      <c r="R139" s="52"/>
      <c r="S139" s="52"/>
      <c r="T139" s="52"/>
      <c r="U139" s="52"/>
      <c r="V139" s="52"/>
      <c r="W139" s="52"/>
      <c r="X139" s="111"/>
      <c r="Y139" s="111"/>
      <c r="Z139" s="52"/>
      <c r="AA139" s="1"/>
    </row>
    <row r="140" spans="10:30" ht="15.75" customHeight="1" x14ac:dyDescent="0.2">
      <c r="J140" s="287"/>
      <c r="L140" s="116"/>
      <c r="M140" s="111">
        <v>24</v>
      </c>
      <c r="N140" s="111" t="s">
        <v>44</v>
      </c>
      <c r="O140" s="111">
        <f>450+150</f>
        <v>600</v>
      </c>
      <c r="P140" s="111" t="s">
        <v>47</v>
      </c>
      <c r="Q140" s="115" t="s">
        <v>81</v>
      </c>
      <c r="R140" s="52"/>
      <c r="S140" s="52"/>
      <c r="T140" s="52"/>
      <c r="U140" s="52"/>
      <c r="V140" s="52"/>
      <c r="W140" s="52"/>
      <c r="X140" s="111"/>
      <c r="Y140" s="111"/>
      <c r="Z140" s="52"/>
      <c r="AA140" s="1"/>
    </row>
    <row r="141" spans="10:30" ht="15.75" customHeight="1" x14ac:dyDescent="0.2">
      <c r="J141" s="287"/>
      <c r="L141" s="110"/>
      <c r="M141" s="111">
        <v>36</v>
      </c>
      <c r="N141" s="111" t="s">
        <v>44</v>
      </c>
      <c r="O141" s="111">
        <f>400+150</f>
        <v>550</v>
      </c>
      <c r="P141" s="111" t="s">
        <v>47</v>
      </c>
      <c r="Q141" s="115" t="s">
        <v>82</v>
      </c>
      <c r="R141" s="52"/>
      <c r="S141" s="52"/>
      <c r="T141" s="52"/>
      <c r="U141" s="52"/>
      <c r="V141" s="52"/>
      <c r="W141" s="52"/>
      <c r="X141" s="111"/>
      <c r="Y141" s="111"/>
      <c r="Z141" s="52"/>
      <c r="AA141" s="1"/>
    </row>
    <row r="142" spans="10:30" ht="15.75" customHeight="1" x14ac:dyDescent="0.2">
      <c r="J142" s="287"/>
      <c r="L142" s="110"/>
      <c r="M142" s="121" t="s">
        <v>46</v>
      </c>
      <c r="N142" s="111" t="s">
        <v>44</v>
      </c>
      <c r="O142" s="111">
        <f>400+150</f>
        <v>550</v>
      </c>
      <c r="P142" s="111" t="s">
        <v>47</v>
      </c>
      <c r="Q142" s="115" t="s">
        <v>102</v>
      </c>
      <c r="R142" s="52"/>
      <c r="S142" s="52"/>
      <c r="T142" s="52"/>
      <c r="U142" s="52"/>
      <c r="V142" s="52"/>
      <c r="W142" s="52"/>
      <c r="X142" s="111"/>
      <c r="Y142" s="111"/>
      <c r="Z142" s="52"/>
    </row>
    <row r="143" spans="10:30" ht="15.75" customHeight="1" thickBot="1" x14ac:dyDescent="0.25">
      <c r="J143" s="287"/>
      <c r="L143" s="119"/>
      <c r="M143" s="123" t="s">
        <v>101</v>
      </c>
      <c r="N143" s="113" t="s">
        <v>44</v>
      </c>
      <c r="O143" s="113">
        <f>500+150</f>
        <v>650</v>
      </c>
      <c r="P143" s="112" t="s">
        <v>47</v>
      </c>
      <c r="Q143" s="109" t="s">
        <v>103</v>
      </c>
      <c r="R143" s="52"/>
      <c r="S143" s="52"/>
      <c r="T143" s="52"/>
      <c r="U143" s="52"/>
      <c r="V143" s="52"/>
      <c r="W143" s="52"/>
      <c r="X143" s="111"/>
      <c r="Y143" s="111"/>
      <c r="Z143" s="52"/>
    </row>
    <row r="144" spans="10:30" ht="15.75" customHeight="1" thickBot="1" x14ac:dyDescent="0.25">
      <c r="J144" s="287"/>
      <c r="L144" s="20" t="s">
        <v>83</v>
      </c>
      <c r="M144" s="124">
        <v>0.03</v>
      </c>
      <c r="N144" s="106" t="s">
        <v>84</v>
      </c>
      <c r="O144" s="106" t="s">
        <v>85</v>
      </c>
      <c r="P144" s="106"/>
      <c r="Q144" s="106"/>
      <c r="R144" s="52"/>
      <c r="S144" s="52"/>
      <c r="T144" s="52"/>
      <c r="U144" s="52"/>
      <c r="V144" s="52"/>
      <c r="W144" s="52"/>
      <c r="X144" s="111"/>
      <c r="Y144" s="111"/>
      <c r="Z144" s="52"/>
    </row>
    <row r="145" spans="10:27" ht="15.75" customHeight="1" x14ac:dyDescent="0.2">
      <c r="J145" s="287"/>
      <c r="L145" s="110"/>
      <c r="M145" s="114">
        <v>0.05</v>
      </c>
      <c r="N145" s="111" t="s">
        <v>86</v>
      </c>
      <c r="O145" s="111" t="s">
        <v>87</v>
      </c>
      <c r="P145" s="111"/>
      <c r="Q145" s="111"/>
      <c r="R145" s="52"/>
      <c r="S145" s="52"/>
      <c r="T145" s="52"/>
      <c r="U145" s="52"/>
      <c r="V145" s="52"/>
      <c r="W145" s="52"/>
      <c r="X145" s="111"/>
      <c r="Y145" s="111"/>
      <c r="Z145" s="52"/>
    </row>
    <row r="146" spans="10:27" ht="15.75" customHeight="1" x14ac:dyDescent="0.2">
      <c r="J146" s="287"/>
      <c r="L146" s="110"/>
      <c r="M146" s="114">
        <v>0.08</v>
      </c>
      <c r="N146" s="111" t="s">
        <v>86</v>
      </c>
      <c r="O146" s="193" t="s">
        <v>88</v>
      </c>
      <c r="P146" s="193"/>
      <c r="Q146" s="193"/>
      <c r="R146" s="52"/>
      <c r="S146" s="52"/>
      <c r="T146" s="52"/>
      <c r="U146" s="52"/>
      <c r="V146" s="52"/>
      <c r="W146" s="52"/>
      <c r="X146" s="193"/>
      <c r="Y146" s="193"/>
      <c r="Z146" s="52"/>
    </row>
    <row r="147" spans="10:27" ht="15.75" customHeight="1" x14ac:dyDescent="0.2">
      <c r="J147" s="287"/>
      <c r="L147" s="110"/>
      <c r="M147" s="111"/>
      <c r="N147" s="111"/>
      <c r="O147" s="193"/>
      <c r="P147" s="193"/>
      <c r="Q147" s="193"/>
      <c r="R147" s="52"/>
      <c r="S147" s="52"/>
      <c r="T147" s="52"/>
      <c r="U147" s="52"/>
      <c r="V147" s="52"/>
      <c r="W147" s="52"/>
      <c r="X147" s="193"/>
      <c r="Y147" s="193"/>
      <c r="Z147" s="52"/>
    </row>
    <row r="148" spans="10:27" ht="15.75" customHeight="1" thickBot="1" x14ac:dyDescent="0.25">
      <c r="J148" s="287"/>
      <c r="L148" s="108"/>
      <c r="M148" s="112"/>
      <c r="N148" s="112"/>
      <c r="O148" s="194"/>
      <c r="P148" s="194"/>
      <c r="Q148" s="194"/>
      <c r="R148" s="52"/>
      <c r="S148" s="52"/>
      <c r="T148" s="52"/>
      <c r="U148" s="52"/>
      <c r="V148" s="52"/>
      <c r="W148" s="52"/>
      <c r="X148" s="193"/>
      <c r="Y148" s="193"/>
      <c r="Z148" s="52"/>
    </row>
    <row r="149" spans="10:27" ht="15.75" customHeight="1" x14ac:dyDescent="0.2">
      <c r="J149" s="287"/>
      <c r="R149" s="52"/>
      <c r="S149" s="52"/>
      <c r="T149" s="52"/>
      <c r="U149" s="52"/>
      <c r="V149" s="52"/>
      <c r="W149" s="52"/>
      <c r="Z149" s="52"/>
    </row>
    <row r="150" spans="10:27" ht="15.75" customHeight="1" x14ac:dyDescent="0.2">
      <c r="J150" s="287"/>
      <c r="Z150" s="52"/>
    </row>
    <row r="151" spans="10:27" ht="15.75" customHeight="1" x14ac:dyDescent="0.2">
      <c r="J151" s="287"/>
      <c r="L151" s="130" t="s">
        <v>146</v>
      </c>
      <c r="Z151" s="52"/>
      <c r="AA151" s="162" t="s">
        <v>21</v>
      </c>
    </row>
    <row r="152" spans="10:27" ht="15.75" customHeight="1" x14ac:dyDescent="0.2">
      <c r="J152" s="287"/>
      <c r="P152" s="1">
        <f>(N164+O164)*26%</f>
        <v>1885</v>
      </c>
      <c r="Z152" s="52"/>
      <c r="AA152" s="162" t="s">
        <v>22</v>
      </c>
    </row>
    <row r="153" spans="10:27" ht="15.75" customHeight="1" x14ac:dyDescent="0.2">
      <c r="J153" s="287"/>
      <c r="L153" s="1" t="s">
        <v>199</v>
      </c>
      <c r="Z153" s="52"/>
      <c r="AA153" s="162" t="s">
        <v>23</v>
      </c>
    </row>
    <row r="154" spans="10:27" ht="15.75" customHeight="1" x14ac:dyDescent="0.2">
      <c r="J154" s="287"/>
      <c r="L154" s="1" t="s">
        <v>127</v>
      </c>
      <c r="Z154" s="52"/>
    </row>
    <row r="155" spans="10:27" ht="15.75" customHeight="1" x14ac:dyDescent="0.2">
      <c r="J155" s="287"/>
      <c r="Z155" s="52"/>
    </row>
    <row r="156" spans="10:27" ht="15.75" customHeight="1" x14ac:dyDescent="0.2">
      <c r="J156" s="287"/>
      <c r="L156" s="1" t="s">
        <v>203</v>
      </c>
      <c r="Z156" s="52"/>
    </row>
    <row r="157" spans="10:27" ht="15.75" customHeight="1" x14ac:dyDescent="0.2">
      <c r="J157" s="287"/>
      <c r="L157" s="1" t="s">
        <v>204</v>
      </c>
      <c r="Z157" s="52"/>
      <c r="AA157" s="162" t="s">
        <v>26</v>
      </c>
    </row>
    <row r="158" spans="10:27" ht="15.75" customHeight="1" x14ac:dyDescent="0.2">
      <c r="J158" s="287"/>
      <c r="L158" s="1" t="s">
        <v>202</v>
      </c>
      <c r="Z158" s="52"/>
      <c r="AA158" s="162" t="s">
        <v>27</v>
      </c>
    </row>
    <row r="159" spans="10:27" ht="15.75" customHeight="1" x14ac:dyDescent="0.2">
      <c r="J159" s="287"/>
      <c r="L159" s="1" t="s">
        <v>23</v>
      </c>
      <c r="Z159" s="52"/>
      <c r="AA159" s="162" t="s">
        <v>23</v>
      </c>
    </row>
    <row r="160" spans="10:27" ht="15.75" customHeight="1" x14ac:dyDescent="0.2">
      <c r="J160" s="287"/>
      <c r="Z160" s="52"/>
    </row>
    <row r="161" spans="10:27" ht="15.75" customHeight="1" x14ac:dyDescent="0.2">
      <c r="J161" s="287"/>
      <c r="R161" s="1" t="b">
        <f>IF(AND(C57=L156,E57=L153,F57&gt;550.01,F57&lt;750),L165)</f>
        <v>0</v>
      </c>
      <c r="Z161" s="52"/>
    </row>
    <row r="162" spans="10:27" ht="15.75" customHeight="1" thickBot="1" x14ac:dyDescent="0.25">
      <c r="J162" s="287"/>
      <c r="Z162" s="52"/>
    </row>
    <row r="163" spans="10:27" ht="15.75" customHeight="1" thickBot="1" x14ac:dyDescent="0.25">
      <c r="J163" s="287"/>
      <c r="K163" s="284" t="s">
        <v>207</v>
      </c>
      <c r="L163" s="268" t="s">
        <v>111</v>
      </c>
      <c r="M163" s="177"/>
      <c r="N163" s="178" t="s">
        <v>116</v>
      </c>
      <c r="O163" s="178" t="s">
        <v>33</v>
      </c>
      <c r="P163" s="178" t="s">
        <v>117</v>
      </c>
      <c r="Q163" s="178" t="s">
        <v>118</v>
      </c>
      <c r="R163" s="281" t="s">
        <v>0</v>
      </c>
      <c r="Y163" s="196"/>
      <c r="Z163" s="196"/>
    </row>
    <row r="164" spans="10:27" ht="15.75" customHeight="1" x14ac:dyDescent="0.2">
      <c r="J164" s="287"/>
      <c r="K164" s="285">
        <v>600</v>
      </c>
      <c r="L164" s="174" t="s">
        <v>112</v>
      </c>
      <c r="M164" s="179">
        <v>100</v>
      </c>
      <c r="N164" s="179">
        <f t="shared" ref="N164:N169" si="9">M164*C$19</f>
        <v>6500</v>
      </c>
      <c r="O164" s="179">
        <v>750</v>
      </c>
      <c r="P164" s="179">
        <v>1522.5</v>
      </c>
      <c r="Q164" s="180">
        <v>6773</v>
      </c>
      <c r="R164" s="179">
        <v>0.4</v>
      </c>
      <c r="S164" s="1">
        <v>0</v>
      </c>
      <c r="T164" s="1">
        <v>550</v>
      </c>
      <c r="Y164" s="179"/>
      <c r="Z164" s="179"/>
    </row>
    <row r="165" spans="10:27" ht="15.75" customHeight="1" x14ac:dyDescent="0.2">
      <c r="J165" s="287"/>
      <c r="K165" s="285">
        <v>800</v>
      </c>
      <c r="L165" s="174" t="s">
        <v>113</v>
      </c>
      <c r="M165" s="179">
        <v>140</v>
      </c>
      <c r="N165" s="179">
        <f t="shared" si="9"/>
        <v>9100</v>
      </c>
      <c r="O165" s="179">
        <v>1000</v>
      </c>
      <c r="P165" s="179">
        <v>2117</v>
      </c>
      <c r="Q165" s="180">
        <v>9417</v>
      </c>
      <c r="R165" s="179">
        <v>0.4</v>
      </c>
      <c r="S165" s="1">
        <v>550.01</v>
      </c>
      <c r="T165" s="1">
        <v>750</v>
      </c>
      <c r="Y165" s="179"/>
      <c r="Z165" s="179"/>
    </row>
    <row r="166" spans="10:27" ht="15.75" customHeight="1" x14ac:dyDescent="0.2">
      <c r="J166" s="287"/>
      <c r="K166" s="285">
        <v>1000</v>
      </c>
      <c r="L166" s="174" t="s">
        <v>114</v>
      </c>
      <c r="M166" s="179">
        <v>160</v>
      </c>
      <c r="N166" s="179">
        <f t="shared" si="9"/>
        <v>10400</v>
      </c>
      <c r="O166" s="179">
        <v>1000</v>
      </c>
      <c r="P166" s="179">
        <v>2378</v>
      </c>
      <c r="Q166" s="180">
        <v>10578</v>
      </c>
      <c r="R166" s="179">
        <v>0.4</v>
      </c>
      <c r="S166" s="1">
        <v>750.01</v>
      </c>
      <c r="T166" s="1">
        <v>950</v>
      </c>
      <c r="Y166" s="179"/>
      <c r="Z166" s="179"/>
    </row>
    <row r="167" spans="10:27" ht="15.75" customHeight="1" x14ac:dyDescent="0.2">
      <c r="J167" s="287"/>
      <c r="K167" s="285">
        <v>1300</v>
      </c>
      <c r="L167" s="174" t="s">
        <v>115</v>
      </c>
      <c r="M167" s="179">
        <v>227.5</v>
      </c>
      <c r="N167" s="179">
        <f t="shared" si="9"/>
        <v>14787.5</v>
      </c>
      <c r="O167" s="179">
        <v>1200</v>
      </c>
      <c r="P167" s="179">
        <v>3316.8749999999995</v>
      </c>
      <c r="Q167" s="180">
        <v>14755</v>
      </c>
      <c r="R167" s="179">
        <v>0.4</v>
      </c>
      <c r="S167" s="179">
        <v>950.01</v>
      </c>
      <c r="T167" s="179">
        <v>1250</v>
      </c>
      <c r="U167" s="179"/>
      <c r="V167" s="179"/>
      <c r="W167" s="179"/>
      <c r="Y167" s="179"/>
      <c r="Z167" s="179"/>
    </row>
    <row r="168" spans="10:27" ht="15.75" customHeight="1" x14ac:dyDescent="0.2">
      <c r="J168" s="287"/>
      <c r="K168" s="285">
        <v>1500</v>
      </c>
      <c r="L168" s="174" t="s">
        <v>119</v>
      </c>
      <c r="M168" s="179">
        <v>277.5</v>
      </c>
      <c r="N168" s="179">
        <f t="shared" si="9"/>
        <v>18037.5</v>
      </c>
      <c r="O168" s="179">
        <v>1500</v>
      </c>
      <c r="P168" s="179">
        <v>4056.3749999999995</v>
      </c>
      <c r="Q168" s="180">
        <v>18044</v>
      </c>
      <c r="R168" s="179">
        <v>0.4</v>
      </c>
      <c r="S168" s="179">
        <v>1250.0999999999999</v>
      </c>
      <c r="T168" s="179">
        <v>1450</v>
      </c>
      <c r="U168" s="179"/>
      <c r="V168" s="179"/>
      <c r="W168" s="179"/>
      <c r="Y168" s="179"/>
      <c r="Z168" s="179"/>
    </row>
    <row r="169" spans="10:27" ht="15.75" customHeight="1" x14ac:dyDescent="0.2">
      <c r="J169" s="287"/>
      <c r="K169" s="285">
        <v>2000</v>
      </c>
      <c r="L169" s="174" t="s">
        <v>153</v>
      </c>
      <c r="M169" s="179">
        <v>1114</v>
      </c>
      <c r="N169" s="179">
        <f t="shared" si="9"/>
        <v>72410</v>
      </c>
      <c r="O169" s="179">
        <v>4000</v>
      </c>
      <c r="P169" s="179">
        <v>15697.699999999999</v>
      </c>
      <c r="Q169" s="180">
        <v>73828</v>
      </c>
      <c r="R169" s="179">
        <v>0.8</v>
      </c>
      <c r="S169" s="179">
        <v>1450.1</v>
      </c>
      <c r="T169" s="179">
        <v>2000</v>
      </c>
      <c r="U169" s="179"/>
      <c r="V169" s="179"/>
      <c r="W169" s="179"/>
      <c r="Y169" s="179"/>
      <c r="Z169" s="179"/>
    </row>
    <row r="170" spans="10:27" ht="15.75" customHeight="1" x14ac:dyDescent="0.2">
      <c r="J170" s="287"/>
      <c r="K170" s="285">
        <v>3000</v>
      </c>
      <c r="L170" s="174" t="s">
        <v>206</v>
      </c>
      <c r="M170" s="179"/>
      <c r="N170" s="179"/>
      <c r="O170" s="179"/>
      <c r="P170" s="179"/>
      <c r="Q170" s="180">
        <v>115000</v>
      </c>
      <c r="R170" s="179">
        <v>0.8</v>
      </c>
      <c r="S170" s="179">
        <v>2000.01</v>
      </c>
      <c r="T170" s="179">
        <v>3000</v>
      </c>
      <c r="U170" s="179"/>
      <c r="V170" s="179"/>
      <c r="W170" s="179"/>
      <c r="Y170" s="179"/>
      <c r="Z170" s="179"/>
    </row>
    <row r="171" spans="10:27" ht="15.75" customHeight="1" x14ac:dyDescent="0.2">
      <c r="J171" s="287"/>
      <c r="K171" s="285">
        <v>170</v>
      </c>
      <c r="L171" s="174" t="s">
        <v>104</v>
      </c>
      <c r="M171" s="179">
        <f>23047+4904</f>
        <v>27951</v>
      </c>
      <c r="N171" s="179"/>
      <c r="O171" s="179">
        <v>1868.65</v>
      </c>
      <c r="P171" s="179"/>
      <c r="Q171" s="180">
        <v>28563.65</v>
      </c>
      <c r="R171" s="179">
        <v>0.8</v>
      </c>
      <c r="S171" s="179">
        <v>0</v>
      </c>
      <c r="T171" s="179">
        <v>150</v>
      </c>
      <c r="U171" s="174"/>
      <c r="V171" s="174"/>
      <c r="W171" s="174"/>
      <c r="Y171" s="179"/>
      <c r="Z171" s="179"/>
    </row>
    <row r="172" spans="10:27" ht="15.75" customHeight="1" x14ac:dyDescent="0.2">
      <c r="J172" s="287"/>
      <c r="K172" s="285">
        <v>250</v>
      </c>
      <c r="L172" s="174" t="s">
        <v>105</v>
      </c>
      <c r="M172" s="179">
        <f>24280+4904</f>
        <v>29184</v>
      </c>
      <c r="N172" s="179"/>
      <c r="O172" s="179">
        <v>1951.0400000000002</v>
      </c>
      <c r="P172" s="174"/>
      <c r="Q172" s="180">
        <v>29823.040000000001</v>
      </c>
      <c r="R172" s="179">
        <v>0.8</v>
      </c>
      <c r="S172" s="174">
        <v>150.01</v>
      </c>
      <c r="T172" s="174">
        <v>230</v>
      </c>
      <c r="U172" s="174"/>
      <c r="V172" s="174"/>
      <c r="W172" s="174"/>
      <c r="Y172" s="179"/>
      <c r="Z172" s="179"/>
      <c r="AA172" s="162">
        <f>+IF(AND(C9&gt;AB125,C9&lt;=AC125,C42=O11),AD125)+IF(AND(C9&gt;AB126,C9&lt;=AC126,C42=O11),AD126)+IF(AND(C9&gt;AB127,C9&lt;=AC127,C42=O11),AD127)+IF(AND(C9&gt;AB128,C9&lt;=AC128,C42=O11),AD128)+IF(AND(C9&gt;AB129,C9&lt;=AC129,C42=O11),AD129)+IF(AND(C9&gt;AB130,C9&lt;=AC130,C42=O11),AD130)+IF(AND(C9&gt;AB131,C9&lt;=AC131,C42=O11),AD131)+IF(AND(C9&gt;AB132,C9&lt;=AC132,C42=O11),AD132)+IF(AND(C9&gt;AB133,C9&lt;=AC133,C42=O11),AD133)+IF(AND(C9&gt;AB134,C9&lt;=AC134,C42=O11),AD134)+IF(AND(C9&gt;AB135,C9&lt;=AC135,C42=O11),AD135)</f>
        <v>9</v>
      </c>
    </row>
    <row r="173" spans="10:27" ht="15.75" customHeight="1" x14ac:dyDescent="0.2">
      <c r="J173" s="287"/>
      <c r="K173" s="285">
        <v>350</v>
      </c>
      <c r="L173" s="174" t="s">
        <v>106</v>
      </c>
      <c r="M173" s="179">
        <f>28694+4904</f>
        <v>33598</v>
      </c>
      <c r="N173" s="179"/>
      <c r="O173" s="179">
        <v>2246.1600000000003</v>
      </c>
      <c r="P173" s="174"/>
      <c r="Q173" s="180">
        <v>34334.160000000003</v>
      </c>
      <c r="R173" s="179">
        <v>0.8</v>
      </c>
      <c r="S173" s="174">
        <v>230.01</v>
      </c>
      <c r="T173" s="174">
        <v>325</v>
      </c>
      <c r="U173" s="174"/>
      <c r="V173" s="174"/>
      <c r="W173" s="174"/>
      <c r="Y173" s="179"/>
      <c r="Z173" s="179"/>
    </row>
    <row r="174" spans="10:27" ht="15.75" customHeight="1" x14ac:dyDescent="0.2">
      <c r="J174" s="287"/>
      <c r="K174" s="285">
        <v>500</v>
      </c>
      <c r="L174" s="174" t="s">
        <v>109</v>
      </c>
      <c r="M174" s="179">
        <f>37523+4904</f>
        <v>42427</v>
      </c>
      <c r="N174" s="179"/>
      <c r="O174" s="179">
        <v>2836.4</v>
      </c>
      <c r="P174" s="174"/>
      <c r="Q174" s="180">
        <v>43356.4</v>
      </c>
      <c r="R174" s="179">
        <v>0.8</v>
      </c>
      <c r="S174" s="174">
        <v>325.01</v>
      </c>
      <c r="T174" s="174">
        <v>475</v>
      </c>
      <c r="U174" s="174"/>
      <c r="V174" s="174"/>
      <c r="W174" s="174"/>
      <c r="Y174" s="179"/>
      <c r="Z174" s="179"/>
    </row>
    <row r="175" spans="10:27" ht="15.75" customHeight="1" x14ac:dyDescent="0.2">
      <c r="J175" s="287"/>
      <c r="K175" s="285">
        <v>750</v>
      </c>
      <c r="L175" s="174" t="s">
        <v>110</v>
      </c>
      <c r="M175" s="179">
        <f>40221+4904</f>
        <v>45125</v>
      </c>
      <c r="N175" s="179"/>
      <c r="O175" s="179">
        <v>3016.7900000000004</v>
      </c>
      <c r="P175" s="174"/>
      <c r="Q175" s="180">
        <v>46113.79</v>
      </c>
      <c r="R175" s="179">
        <v>0.8</v>
      </c>
      <c r="S175" s="174">
        <v>475.01</v>
      </c>
      <c r="T175" s="174">
        <v>725</v>
      </c>
      <c r="V175" s="162"/>
    </row>
    <row r="176" spans="10:27" ht="15.75" customHeight="1" x14ac:dyDescent="0.2">
      <c r="J176" s="287"/>
      <c r="K176" s="285">
        <v>15001</v>
      </c>
      <c r="L176" s="174" t="s">
        <v>151</v>
      </c>
      <c r="M176" s="174">
        <f>42015+4038+15606</f>
        <v>61659</v>
      </c>
      <c r="N176" s="174"/>
      <c r="O176" s="174"/>
      <c r="P176" s="174"/>
      <c r="Q176" s="175">
        <f>M176</f>
        <v>61659</v>
      </c>
      <c r="R176" s="174">
        <v>0.8</v>
      </c>
      <c r="S176" s="174">
        <v>725.01</v>
      </c>
      <c r="T176" s="174">
        <v>1400</v>
      </c>
      <c r="V176" s="162"/>
    </row>
    <row r="177" spans="10:28" ht="15.75" customHeight="1" x14ac:dyDescent="0.2">
      <c r="J177" s="287"/>
      <c r="K177" s="285">
        <v>22001</v>
      </c>
      <c r="L177" s="176" t="s">
        <v>152</v>
      </c>
      <c r="M177" s="176">
        <f>43040+4038+15606</f>
        <v>62684</v>
      </c>
      <c r="N177" s="174"/>
      <c r="O177" s="174"/>
      <c r="P177" s="174"/>
      <c r="Q177" s="175">
        <f>M177</f>
        <v>62684</v>
      </c>
      <c r="R177" s="174">
        <v>0.8</v>
      </c>
      <c r="S177" s="174">
        <v>1401</v>
      </c>
      <c r="T177" s="174">
        <v>2200</v>
      </c>
      <c r="V177" s="162"/>
    </row>
    <row r="178" spans="10:28" ht="15.75" customHeight="1" x14ac:dyDescent="0.2">
      <c r="J178" s="287"/>
      <c r="K178" s="285"/>
      <c r="L178" s="174" t="s">
        <v>108</v>
      </c>
      <c r="M178" s="179">
        <v>8500</v>
      </c>
      <c r="N178" s="174"/>
      <c r="O178" s="174"/>
      <c r="P178" s="174"/>
      <c r="Q178" s="175"/>
      <c r="R178" s="174"/>
      <c r="S178" s="174"/>
      <c r="T178" s="174"/>
      <c r="V178" s="162"/>
    </row>
    <row r="179" spans="10:28" ht="15.75" customHeight="1" x14ac:dyDescent="0.2">
      <c r="J179" s="287"/>
      <c r="K179" s="285"/>
      <c r="L179" s="174" t="s">
        <v>107</v>
      </c>
      <c r="M179" s="179">
        <v>6500</v>
      </c>
      <c r="N179" s="174"/>
      <c r="O179" s="174"/>
      <c r="P179" s="174"/>
      <c r="Q179" s="175"/>
      <c r="R179" s="174"/>
      <c r="S179" s="174"/>
      <c r="T179" s="174"/>
      <c r="V179" s="162"/>
    </row>
    <row r="180" spans="10:28" ht="15.75" customHeight="1" x14ac:dyDescent="0.2">
      <c r="J180" s="287"/>
      <c r="K180" s="285"/>
      <c r="L180" s="174" t="s">
        <v>23</v>
      </c>
      <c r="M180" s="174"/>
      <c r="N180" s="174"/>
      <c r="O180" s="174"/>
      <c r="P180" s="174"/>
      <c r="Q180" s="175"/>
      <c r="R180" s="174"/>
      <c r="S180" s="174"/>
      <c r="T180" s="174"/>
      <c r="V180" s="162"/>
    </row>
    <row r="181" spans="10:28" ht="15.75" customHeight="1" x14ac:dyDescent="0.2">
      <c r="J181" s="287"/>
      <c r="K181" s="285"/>
      <c r="L181" s="174" t="s">
        <v>154</v>
      </c>
      <c r="M181" s="174">
        <f>35125+4370</f>
        <v>39495</v>
      </c>
      <c r="N181" s="174"/>
      <c r="O181" s="174"/>
      <c r="P181" s="174"/>
      <c r="Q181" s="175"/>
      <c r="R181" s="174"/>
      <c r="S181" s="174"/>
      <c r="T181" s="174"/>
      <c r="V181" s="162"/>
    </row>
    <row r="182" spans="10:28" ht="15.75" customHeight="1" x14ac:dyDescent="0.2">
      <c r="J182" s="287"/>
      <c r="K182" s="285"/>
      <c r="L182" s="174" t="s">
        <v>155</v>
      </c>
      <c r="M182" s="174">
        <f>57874+4402</f>
        <v>62276</v>
      </c>
      <c r="N182" s="174"/>
      <c r="O182" s="174"/>
      <c r="P182" s="174"/>
      <c r="Q182" s="175"/>
      <c r="R182" s="174"/>
      <c r="S182" s="174"/>
      <c r="T182" s="174"/>
      <c r="V182" s="162"/>
    </row>
    <row r="183" spans="10:28" ht="15.75" customHeight="1" x14ac:dyDescent="0.2">
      <c r="J183" s="287"/>
      <c r="K183" s="285"/>
      <c r="L183" s="174" t="s">
        <v>156</v>
      </c>
      <c r="M183" s="174">
        <f>76475+9318</f>
        <v>85793</v>
      </c>
      <c r="N183" s="174"/>
      <c r="O183" s="174"/>
      <c r="P183" s="174"/>
      <c r="Q183" s="175"/>
      <c r="R183" s="174"/>
      <c r="S183" s="174"/>
      <c r="T183" s="174"/>
      <c r="V183" s="162"/>
    </row>
    <row r="184" spans="10:28" ht="15.75" customHeight="1" thickBot="1" x14ac:dyDescent="0.25">
      <c r="J184" s="287"/>
      <c r="K184" s="285"/>
      <c r="L184" s="181" t="s">
        <v>23</v>
      </c>
      <c r="M184" s="181"/>
      <c r="N184" s="181"/>
      <c r="O184" s="181"/>
      <c r="P184" s="181"/>
      <c r="Q184" s="182"/>
      <c r="R184" s="174"/>
      <c r="S184" s="174"/>
      <c r="T184" s="174"/>
      <c r="V184" s="162"/>
    </row>
    <row r="185" spans="10:28" ht="15.75" customHeight="1" thickBot="1" x14ac:dyDescent="0.25">
      <c r="J185" s="287"/>
      <c r="K185" s="285"/>
      <c r="L185" s="266" t="s">
        <v>157</v>
      </c>
      <c r="M185" s="183">
        <v>22874</v>
      </c>
      <c r="N185" s="184"/>
      <c r="O185" s="183">
        <v>1601.18</v>
      </c>
      <c r="P185" s="184"/>
      <c r="Q185" s="185">
        <v>24475.18</v>
      </c>
      <c r="R185" s="179"/>
      <c r="S185" s="179"/>
      <c r="T185" s="179"/>
      <c r="Z185" s="162"/>
    </row>
    <row r="186" spans="10:28" ht="15.75" customHeight="1" x14ac:dyDescent="0.2">
      <c r="J186" s="287"/>
    </row>
    <row r="187" spans="10:28" ht="15.75" customHeight="1" x14ac:dyDescent="0.2">
      <c r="J187" s="287"/>
    </row>
    <row r="188" spans="10:28" ht="15.75" customHeight="1" x14ac:dyDescent="0.2">
      <c r="J188" s="287"/>
      <c r="AA188" s="52"/>
      <c r="AB188" s="162"/>
    </row>
    <row r="189" spans="10:28" ht="15.75" customHeight="1" x14ac:dyDescent="0.2">
      <c r="J189" s="287"/>
      <c r="AA189" s="52"/>
      <c r="AB189" s="162"/>
    </row>
    <row r="190" spans="10:28" ht="15.75" customHeight="1" x14ac:dyDescent="0.2">
      <c r="J190" s="287"/>
      <c r="AA190" s="52"/>
      <c r="AB190" s="162"/>
    </row>
    <row r="191" spans="10:28" ht="15.75" customHeight="1" x14ac:dyDescent="0.2">
      <c r="J191" s="287"/>
      <c r="AA191" s="52"/>
      <c r="AB191" s="162"/>
    </row>
    <row r="192" spans="10:28" ht="15.75" customHeight="1" x14ac:dyDescent="0.2">
      <c r="J192" s="287"/>
      <c r="AA192" s="52"/>
      <c r="AB192" s="162"/>
    </row>
    <row r="193" spans="10:28" ht="15.75" customHeight="1" x14ac:dyDescent="0.2">
      <c r="J193" s="287"/>
      <c r="AA193" s="1"/>
      <c r="AB193" s="162"/>
    </row>
    <row r="194" spans="10:28" ht="15.75" customHeight="1" x14ac:dyDescent="0.2">
      <c r="J194" s="287"/>
      <c r="AA194" s="1"/>
      <c r="AB194" s="162"/>
    </row>
    <row r="195" spans="10:28" ht="15.75" customHeight="1" x14ac:dyDescent="0.2">
      <c r="J195" s="287"/>
      <c r="AA195" s="1"/>
      <c r="AB195" s="162"/>
    </row>
    <row r="196" spans="10:28" ht="15.75" customHeight="1" x14ac:dyDescent="0.2">
      <c r="J196" s="287"/>
      <c r="AA196" s="1"/>
      <c r="AB196" s="162"/>
    </row>
    <row r="197" spans="10:28" ht="15.75" customHeight="1" x14ac:dyDescent="0.2">
      <c r="AA197" s="1"/>
      <c r="AB197" s="162"/>
    </row>
    <row r="198" spans="10:28" ht="15.75" customHeight="1" x14ac:dyDescent="0.2">
      <c r="AA198" s="1"/>
      <c r="AB198" s="162"/>
    </row>
    <row r="199" spans="10:28" ht="15.75" customHeight="1" x14ac:dyDescent="0.2">
      <c r="AA199" s="1"/>
      <c r="AB199" s="162"/>
    </row>
    <row r="200" spans="10:28" ht="15.75" customHeight="1" x14ac:dyDescent="0.2">
      <c r="AA200" s="1"/>
    </row>
    <row r="201" spans="10:28" ht="15.75" customHeight="1" x14ac:dyDescent="0.2">
      <c r="AA201" s="1"/>
    </row>
    <row r="202" spans="10:28" ht="15.75" customHeight="1" x14ac:dyDescent="0.2">
      <c r="AA202" s="1"/>
    </row>
    <row r="203" spans="10:28" ht="15.75" customHeight="1" x14ac:dyDescent="0.2">
      <c r="AA203" s="1"/>
    </row>
    <row r="204" spans="10:28" ht="15.75" customHeight="1" x14ac:dyDescent="0.2">
      <c r="AA204" s="1"/>
    </row>
    <row r="205" spans="10:28" ht="15.75" customHeight="1" x14ac:dyDescent="0.2">
      <c r="AA205" s="1"/>
    </row>
    <row r="206" spans="10:28" ht="15.75" customHeight="1" x14ac:dyDescent="0.2">
      <c r="AA206" s="1"/>
    </row>
    <row r="207" spans="10:28" ht="15.75" customHeight="1" x14ac:dyDescent="0.2">
      <c r="AA207" s="1"/>
    </row>
    <row r="208" spans="10:28" ht="15.75" customHeight="1" x14ac:dyDescent="0.2">
      <c r="AA208" s="1"/>
    </row>
    <row r="209" spans="27:27" ht="15.75" customHeight="1" x14ac:dyDescent="0.2">
      <c r="AA209" s="1"/>
    </row>
    <row r="210" spans="27:27" ht="15.75" customHeight="1" x14ac:dyDescent="0.2">
      <c r="AA210" s="1"/>
    </row>
  </sheetData>
  <sheetProtection formatCells="0" formatColumns="0" formatRows="0" insertColumns="0" insertRows="0" insertHyperlinks="0" deleteColumns="0" deleteRows="0" sort="0" autoFilter="0" pivotTables="0"/>
  <mergeCells count="14">
    <mergeCell ref="N115:O115"/>
    <mergeCell ref="P115:Q115"/>
    <mergeCell ref="N38:U38"/>
    <mergeCell ref="N45:U45"/>
    <mergeCell ref="O52:R52"/>
    <mergeCell ref="V52:Z52"/>
    <mergeCell ref="L75:L76"/>
    <mergeCell ref="R93:S93"/>
    <mergeCell ref="B2:C2"/>
    <mergeCell ref="B3:C3"/>
    <mergeCell ref="D4:H4"/>
    <mergeCell ref="L4:N4"/>
    <mergeCell ref="B22:C22"/>
    <mergeCell ref="N31:U31"/>
  </mergeCells>
  <conditionalFormatting sqref="D26">
    <cfRule type="expression" dxfId="3" priority="1" stopIfTrue="1">
      <formula>$D$26=0</formula>
    </cfRule>
  </conditionalFormatting>
  <dataValidations count="32">
    <dataValidation type="list" allowBlank="1" showInputMessage="1" showErrorMessage="1" sqref="B24">
      <formula1>$P$53:$R$53</formula1>
    </dataValidation>
    <dataValidation type="list" allowBlank="1" showErrorMessage="1" errorTitle="Too Long" error="The height of the shutter is too long_x000a_" sqref="C14">
      <formula1>$L$11:$L$14</formula1>
    </dataValidation>
    <dataValidation type="list" allowBlank="1" showInputMessage="1" showErrorMessage="1" sqref="C8">
      <formula1>$L$6:$L$8</formula1>
    </dataValidation>
    <dataValidation allowBlank="1" showErrorMessage="1" errorTitle="Too Long" error="The height of the shutter is too long_x000a_" sqref="C10"/>
    <dataValidation allowBlank="1" showErrorMessage="1" errorTitle="Too Long" error="The length of the shutter is too long_x000a_" sqref="C9"/>
    <dataValidation type="list" allowBlank="1" showErrorMessage="1" errorTitle="Too Long" error="The height of the shutter is too long_x000a_" sqref="C15">
      <formula1>$N$11:$N$22</formula1>
    </dataValidation>
    <dataValidation type="list" allowBlank="1" showInputMessage="1" showErrorMessage="1" sqref="C16">
      <formula1>$M$11:$M$17</formula1>
    </dataValidation>
    <dataValidation type="list" allowBlank="1" showInputMessage="1" showErrorMessage="1" sqref="E73:E81">
      <formula1>$O$11:$O$14</formula1>
    </dataValidation>
    <dataValidation type="list" allowBlank="1" showInputMessage="1" showErrorMessage="1" sqref="C57">
      <formula1>$L$156:$L$159</formula1>
    </dataValidation>
    <dataValidation type="list" allowBlank="1" showInputMessage="1" showErrorMessage="1" sqref="E57">
      <formula1>$L$153:$L$154</formula1>
    </dataValidation>
    <dataValidation type="list" allowBlank="1" showInputMessage="1" showErrorMessage="1" sqref="B30">
      <formula1>$N$116:$O$116</formula1>
    </dataValidation>
    <dataValidation allowBlank="1" showInputMessage="1" showErrorMessage="1" promptTitle="Pipe Thickness" prompt="Pipe Thickness" sqref="D26"/>
    <dataValidation allowBlank="1" showErrorMessage="1" promptTitle="Height" prompt="Enter the Height _x000a_" sqref="F24 F27:F28"/>
    <dataValidation allowBlank="1" showInputMessage="1" showErrorMessage="1" promptTitle="Unit" prompt="In MM_x000a_" sqref="C24"/>
    <dataValidation allowBlank="1" showErrorMessage="1" promptTitle="Pipe Thickness" prompt="Pipe Thickness" sqref="E26"/>
    <dataValidation type="list" allowBlank="1" showInputMessage="1" showErrorMessage="1" sqref="C38">
      <formula1>$AA$81:$AA$83</formula1>
    </dataValidation>
    <dataValidation type="list" allowBlank="1" showInputMessage="1" showErrorMessage="1" sqref="C39">
      <formula1>$AA$85:$AA$87</formula1>
    </dataValidation>
    <dataValidation type="list" allowBlank="1" showInputMessage="1" showErrorMessage="1" sqref="C40">
      <formula1>$AA$89:$AA$91</formula1>
    </dataValidation>
    <dataValidation allowBlank="1" showInputMessage="1" showErrorMessage="1" promptTitle="Enter Value" prompt="Enter The height" sqref="E38"/>
    <dataValidation allowBlank="1" showInputMessage="1" showErrorMessage="1" promptTitle="Enter Value" prompt="Enter height_x000a_" sqref="E39"/>
    <dataValidation type="list" allowBlank="1" showInputMessage="1" showErrorMessage="1" sqref="C41:C42">
      <formula1>$AA$93:$AA$94</formula1>
    </dataValidation>
    <dataValidation type="list" allowBlank="1" showInputMessage="1" showErrorMessage="1" sqref="D41">
      <formula1>$R$94:$R$96</formula1>
    </dataValidation>
    <dataValidation allowBlank="1" showErrorMessage="1" sqref="C44:D44"/>
    <dataValidation allowBlank="1" showInputMessage="1" showErrorMessage="1" promptTitle="Enter Value" prompt="Enter Reason for increase in rates per No" sqref="C43"/>
    <dataValidation allowBlank="1" showInputMessage="1" showErrorMessage="1" promptTitle="Enter Rates per Sqm" prompt="Enter rates per Sqm_x000a_" sqref="D43"/>
    <dataValidation allowBlank="1" showInputMessage="1" showErrorMessage="1" promptTitle="Enter Rates per Sqm" prompt="Enter rates per No_x000a_" sqref="F46"/>
    <dataValidation type="list" allowBlank="1" showInputMessage="1" showErrorMessage="1" sqref="C59 C46">
      <formula1>$AA$31:$AA$34</formula1>
    </dataValidation>
    <dataValidation allowBlank="1" showErrorMessage="1" promptTitle="Enter Reason" prompt="Enter Reason for increase in rates per No" sqref="C61"/>
    <dataValidation allowBlank="1" showInputMessage="1" showErrorMessage="1" promptTitle="Enter Rates per No." prompt="Enter rates per No_x000a_" sqref="F62"/>
    <dataValidation allowBlank="1" showInputMessage="1" showErrorMessage="1" promptTitle="Enter Reason" prompt="Enter Reason for increase in rates per No" sqref="C62"/>
    <dataValidation type="list" allowBlank="1" showInputMessage="1" showErrorMessage="1" sqref="D85">
      <formula1>$S$125:$S$129</formula1>
    </dataValidation>
    <dataValidation type="list" allowBlank="1" showInputMessage="1" showErrorMessage="1" sqref="B28">
      <formula1>$U$82:$U$83</formula1>
    </dataValidation>
  </dataValidations>
  <pageMargins left="0.96" right="0.15" top="0.16" bottom="0.16" header="0.16" footer="0.18"/>
  <pageSetup scale="65" orientation="landscape" verticalDpi="300" r:id="rId1"/>
  <headerFooter alignWithMargins="0"/>
  <colBreaks count="2" manualBreakCount="2">
    <brk id="11" max="80" man="1"/>
    <brk id="26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DK229"/>
  <sheetViews>
    <sheetView zoomScale="90" zoomScaleNormal="90" workbookViewId="0"/>
  </sheetViews>
  <sheetFormatPr defaultRowHeight="15.75" customHeight="1" x14ac:dyDescent="0.2"/>
  <cols>
    <col min="1" max="1" width="3.140625" style="1" customWidth="1"/>
    <col min="2" max="2" width="32.5703125" style="1" bestFit="1" customWidth="1"/>
    <col min="3" max="3" width="37.5703125" style="2" bestFit="1" customWidth="1"/>
    <col min="4" max="4" width="26.140625" style="1" bestFit="1" customWidth="1"/>
    <col min="5" max="5" width="19.7109375" style="1" bestFit="1" customWidth="1"/>
    <col min="6" max="6" width="17.28515625" style="1" bestFit="1" customWidth="1"/>
    <col min="7" max="7" width="19.42578125" style="1" bestFit="1" customWidth="1"/>
    <col min="8" max="8" width="20.7109375" style="1" bestFit="1" customWidth="1"/>
    <col min="9" max="9" width="10.85546875" style="1" customWidth="1"/>
    <col min="10" max="10" width="14.140625" style="1" bestFit="1" customWidth="1"/>
    <col min="11" max="11" width="11.85546875" style="1" customWidth="1"/>
    <col min="12" max="12" width="10.85546875" style="1" customWidth="1"/>
    <col min="13" max="13" width="24.28515625" style="1" customWidth="1"/>
    <col min="14" max="14" width="16.85546875" style="1" bestFit="1" customWidth="1"/>
    <col min="15" max="19" width="22.7109375" style="1" customWidth="1"/>
    <col min="20" max="20" width="18.5703125" style="1" customWidth="1"/>
    <col min="21" max="21" width="17.140625" style="1" customWidth="1"/>
    <col min="22" max="23" width="22.7109375" style="1" customWidth="1"/>
    <col min="24" max="26" width="17.7109375" style="1" customWidth="1"/>
    <col min="27" max="27" width="15.42578125" style="1" customWidth="1"/>
    <col min="28" max="28" width="23" style="162" customWidth="1"/>
    <col min="29" max="29" width="6.7109375" style="1" bestFit="1" customWidth="1"/>
    <col min="30" max="30" width="6.5703125" style="1" customWidth="1"/>
    <col min="31" max="31" width="9" style="1" customWidth="1"/>
    <col min="32" max="16384" width="9.140625" style="1"/>
  </cols>
  <sheetData>
    <row r="1" spans="2:82" s="12" customFormat="1" ht="12.75" x14ac:dyDescent="0.2">
      <c r="B1" s="10" t="s">
        <v>32</v>
      </c>
      <c r="C1" s="14"/>
      <c r="J1" s="291"/>
      <c r="K1" s="321"/>
      <c r="M1" s="292"/>
      <c r="N1" s="52"/>
      <c r="O1" s="52"/>
      <c r="P1" s="52"/>
      <c r="Q1" s="52"/>
      <c r="R1" s="52"/>
      <c r="S1" s="52"/>
      <c r="T1" s="52"/>
      <c r="U1" s="52"/>
      <c r="V1" s="52"/>
      <c r="W1" s="52"/>
      <c r="AB1" s="161"/>
    </row>
    <row r="2" spans="2:82" s="12" customFormat="1" ht="13.5" thickBot="1" x14ac:dyDescent="0.25">
      <c r="B2" s="712" t="s">
        <v>210</v>
      </c>
      <c r="C2" s="712"/>
      <c r="J2" s="286"/>
      <c r="K2" s="322"/>
      <c r="M2" s="1"/>
      <c r="N2" s="52"/>
      <c r="O2" s="52"/>
      <c r="P2" s="52"/>
      <c r="Q2" s="52"/>
      <c r="R2" s="52"/>
      <c r="S2" s="52"/>
      <c r="T2" s="52"/>
      <c r="U2" s="52"/>
      <c r="V2" s="52"/>
      <c r="W2" s="52"/>
      <c r="AB2" s="161"/>
    </row>
    <row r="3" spans="2:82" thickBot="1" x14ac:dyDescent="0.25">
      <c r="B3" s="737" t="s">
        <v>211</v>
      </c>
      <c r="C3" s="738"/>
      <c r="J3" s="322"/>
      <c r="K3" s="739" t="s">
        <v>282</v>
      </c>
      <c r="L3" s="740"/>
      <c r="M3" s="740"/>
      <c r="N3" s="740"/>
      <c r="O3" s="740"/>
      <c r="P3" s="740"/>
      <c r="Q3" s="740"/>
      <c r="R3" s="740"/>
      <c r="S3" s="740"/>
      <c r="T3" s="740"/>
      <c r="U3" s="740"/>
      <c r="V3" s="740"/>
      <c r="W3" s="740"/>
      <c r="X3" s="740"/>
      <c r="Y3" s="740"/>
      <c r="Z3" s="740"/>
      <c r="AA3" s="740"/>
      <c r="AB3" s="740"/>
      <c r="AC3" s="740"/>
      <c r="AD3" s="740"/>
      <c r="AE3" s="741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</row>
    <row r="4" spans="2:82" ht="12.75" x14ac:dyDescent="0.2">
      <c r="B4" s="377" t="s">
        <v>7</v>
      </c>
      <c r="C4" s="378">
        <f ca="1">TODAY()</f>
        <v>43890</v>
      </c>
      <c r="J4" s="16"/>
      <c r="K4" s="354"/>
      <c r="L4" s="353"/>
      <c r="M4" s="353"/>
      <c r="N4" s="353"/>
      <c r="O4" s="353"/>
      <c r="P4" s="353"/>
      <c r="Q4" s="353"/>
      <c r="R4" s="353"/>
      <c r="S4" s="353"/>
      <c r="T4" s="353"/>
      <c r="U4" s="353"/>
      <c r="V4" s="353"/>
      <c r="W4" s="353"/>
      <c r="X4" s="353"/>
      <c r="Y4" s="353"/>
      <c r="Z4" s="353"/>
      <c r="AA4" s="353"/>
      <c r="AB4" s="353"/>
      <c r="AC4" s="353"/>
      <c r="AD4" s="353"/>
      <c r="AE4" s="355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</row>
    <row r="5" spans="2:82" ht="12.75" x14ac:dyDescent="0.2">
      <c r="B5" s="61" t="s">
        <v>99</v>
      </c>
      <c r="C5" s="379"/>
      <c r="J5" s="16"/>
      <c r="K5" s="356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  <c r="Z5" s="352"/>
      <c r="AA5" s="352"/>
      <c r="AB5" s="352"/>
      <c r="AC5" s="352"/>
      <c r="AD5" s="352"/>
      <c r="AE5" s="357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</row>
    <row r="6" spans="2:82" ht="12.75" x14ac:dyDescent="0.2">
      <c r="B6" s="61" t="s">
        <v>5</v>
      </c>
      <c r="C6" s="379"/>
      <c r="J6" s="16"/>
      <c r="K6" s="323"/>
      <c r="L6" s="322" t="s">
        <v>216</v>
      </c>
      <c r="M6" s="721" t="s">
        <v>193</v>
      </c>
      <c r="N6" s="721"/>
      <c r="O6" s="721"/>
      <c r="P6" s="324"/>
      <c r="Q6" s="324"/>
      <c r="R6" s="324"/>
      <c r="S6" s="324"/>
      <c r="T6" s="324"/>
      <c r="U6" s="324"/>
      <c r="V6" s="324"/>
      <c r="W6" s="324"/>
      <c r="X6" s="322"/>
      <c r="Y6" s="322"/>
      <c r="Z6" s="322"/>
      <c r="AA6" s="322"/>
      <c r="AB6" s="325"/>
      <c r="AC6" s="322"/>
      <c r="AD6" s="322"/>
      <c r="AE6" s="326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</row>
    <row r="7" spans="2:82" ht="12.75" x14ac:dyDescent="0.2">
      <c r="B7" s="61" t="s">
        <v>6</v>
      </c>
      <c r="C7" s="380"/>
      <c r="J7" s="16"/>
      <c r="K7" s="323"/>
      <c r="L7" s="322"/>
      <c r="M7" s="3"/>
      <c r="N7" s="6" t="s">
        <v>197</v>
      </c>
      <c r="O7" s="734" t="s">
        <v>300</v>
      </c>
      <c r="P7" s="735"/>
      <c r="Q7" s="736"/>
      <c r="R7" s="324"/>
      <c r="S7" s="324"/>
      <c r="T7" s="324"/>
      <c r="U7" s="324"/>
      <c r="V7" s="324"/>
      <c r="W7" s="324"/>
      <c r="X7" s="322"/>
      <c r="Y7" s="322"/>
      <c r="Z7" s="322"/>
      <c r="AA7" s="322"/>
      <c r="AB7" s="325"/>
      <c r="AC7" s="322"/>
      <c r="AD7" s="322"/>
      <c r="AE7" s="326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</row>
    <row r="8" spans="2:82" ht="26.25" thickBot="1" x14ac:dyDescent="0.25">
      <c r="B8" s="61" t="s">
        <v>192</v>
      </c>
      <c r="C8" s="380" t="s">
        <v>194</v>
      </c>
      <c r="J8" s="16"/>
      <c r="K8" s="323"/>
      <c r="L8" s="322"/>
      <c r="M8" s="3"/>
      <c r="N8" s="6"/>
      <c r="O8" s="6" t="s">
        <v>203</v>
      </c>
      <c r="P8" s="6" t="s">
        <v>204</v>
      </c>
      <c r="Q8" s="311" t="s">
        <v>202</v>
      </c>
      <c r="R8" s="311" t="s">
        <v>23</v>
      </c>
      <c r="S8" s="359"/>
      <c r="T8" s="324"/>
      <c r="U8" s="324"/>
      <c r="V8" s="324"/>
      <c r="W8" s="324"/>
      <c r="X8" s="322"/>
      <c r="Y8" s="322"/>
      <c r="Z8" s="322"/>
      <c r="AA8" s="322"/>
      <c r="AB8" s="325"/>
      <c r="AC8" s="322"/>
      <c r="AD8" s="322"/>
      <c r="AE8" s="326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</row>
    <row r="9" spans="2:82" ht="13.5" thickBot="1" x14ac:dyDescent="0.25">
      <c r="B9" s="61" t="s">
        <v>8</v>
      </c>
      <c r="C9" s="381">
        <v>3</v>
      </c>
      <c r="D9" s="742" t="s">
        <v>129</v>
      </c>
      <c r="E9" s="743"/>
      <c r="F9" s="743"/>
      <c r="G9" s="743"/>
      <c r="H9" s="744"/>
      <c r="J9" s="16"/>
      <c r="K9" s="323"/>
      <c r="L9" s="322"/>
      <c r="M9" s="3" t="s">
        <v>194</v>
      </c>
      <c r="N9" s="249">
        <v>0.8</v>
      </c>
      <c r="O9" s="251">
        <v>0.4</v>
      </c>
      <c r="P9" s="251">
        <v>0.8</v>
      </c>
      <c r="Q9" s="251">
        <v>0.81</v>
      </c>
      <c r="R9" s="251">
        <v>1</v>
      </c>
      <c r="S9" s="324"/>
      <c r="T9" s="324"/>
      <c r="U9" s="16"/>
      <c r="V9" s="324"/>
      <c r="W9" s="324"/>
      <c r="X9" s="322"/>
      <c r="Y9" s="322"/>
      <c r="Z9" s="322"/>
      <c r="AA9" s="322"/>
      <c r="AB9" s="325"/>
      <c r="AC9" s="322"/>
      <c r="AD9" s="322"/>
      <c r="AE9" s="326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</row>
    <row r="10" spans="2:82" ht="12.75" x14ac:dyDescent="0.2">
      <c r="B10" s="61" t="s">
        <v>11</v>
      </c>
      <c r="C10" s="381">
        <v>3</v>
      </c>
      <c r="D10" s="375"/>
      <c r="E10" s="371" t="s">
        <v>123</v>
      </c>
      <c r="F10" s="371" t="s">
        <v>122</v>
      </c>
      <c r="G10" s="371" t="s">
        <v>124</v>
      </c>
      <c r="H10" s="371" t="s">
        <v>125</v>
      </c>
      <c r="J10" s="16"/>
      <c r="K10" s="323"/>
      <c r="L10" s="322"/>
      <c r="M10" s="3" t="s">
        <v>195</v>
      </c>
      <c r="N10" s="249">
        <v>0.8</v>
      </c>
      <c r="O10" s="251">
        <v>0.5</v>
      </c>
      <c r="P10" s="251">
        <v>0.82</v>
      </c>
      <c r="Q10" s="251">
        <v>0.84</v>
      </c>
      <c r="R10" s="251">
        <v>1</v>
      </c>
      <c r="S10" s="324"/>
      <c r="T10" s="324"/>
      <c r="U10" s="16"/>
      <c r="V10" s="324"/>
      <c r="W10" s="324"/>
      <c r="X10" s="322"/>
      <c r="Y10" s="322"/>
      <c r="Z10" s="322"/>
      <c r="AA10" s="322"/>
      <c r="AB10" s="325"/>
      <c r="AC10" s="322"/>
      <c r="AD10" s="322"/>
      <c r="AE10" s="326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</row>
    <row r="11" spans="2:82" ht="12.75" x14ac:dyDescent="0.2">
      <c r="B11" s="61" t="s">
        <v>9</v>
      </c>
      <c r="C11" s="382">
        <f>C9*C10</f>
        <v>9</v>
      </c>
      <c r="D11" s="364" t="s">
        <v>128</v>
      </c>
      <c r="E11" s="67">
        <f ca="1">G49</f>
        <v>56264.464285714283</v>
      </c>
      <c r="F11" s="67">
        <f>G57</f>
        <v>6773</v>
      </c>
      <c r="G11" s="67">
        <f t="shared" ref="G11:G15" ca="1" si="0">SUM(E11:F11)</f>
        <v>63037.464285714283</v>
      </c>
      <c r="H11" s="67">
        <f ca="1">CEILING((G11/C11),1)</f>
        <v>7005</v>
      </c>
      <c r="J11" s="16"/>
      <c r="K11" s="323"/>
      <c r="L11" s="322"/>
      <c r="M11" s="250" t="s">
        <v>196</v>
      </c>
      <c r="N11" s="249">
        <v>0.8</v>
      </c>
      <c r="O11" s="251">
        <v>0.55000000000000004</v>
      </c>
      <c r="P11" s="251">
        <v>0.83</v>
      </c>
      <c r="Q11" s="251">
        <v>0.9</v>
      </c>
      <c r="R11" s="251">
        <v>1</v>
      </c>
      <c r="S11" s="324"/>
      <c r="T11" s="324"/>
      <c r="U11" s="16"/>
      <c r="V11" s="324"/>
      <c r="W11" s="324"/>
      <c r="X11" s="322"/>
      <c r="Y11" s="322"/>
      <c r="Z11" s="322"/>
      <c r="AA11" s="322"/>
      <c r="AB11" s="325"/>
      <c r="AC11" s="322"/>
      <c r="AD11" s="322"/>
      <c r="AE11" s="326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</row>
    <row r="12" spans="2:82" ht="12.75" x14ac:dyDescent="0.2">
      <c r="B12" s="61" t="s">
        <v>28</v>
      </c>
      <c r="C12" s="382">
        <f>C11*17</f>
        <v>153</v>
      </c>
      <c r="D12" s="365" t="s">
        <v>41</v>
      </c>
      <c r="E12" s="67">
        <f ca="1">G48</f>
        <v>1731.2142857142856</v>
      </c>
      <c r="F12" s="67">
        <f ca="1">G58</f>
        <v>752.6</v>
      </c>
      <c r="G12" s="67">
        <f t="shared" ca="1" si="0"/>
        <v>2483.8142857142857</v>
      </c>
      <c r="H12" s="67">
        <f ca="1">CEILING((G12/C11),1)</f>
        <v>276</v>
      </c>
      <c r="J12" s="16"/>
      <c r="K12" s="323"/>
      <c r="L12" s="322"/>
      <c r="M12" s="16"/>
      <c r="N12" s="324"/>
      <c r="O12" s="324"/>
      <c r="P12" s="324"/>
      <c r="Q12" s="324"/>
      <c r="R12" s="324"/>
      <c r="S12" s="324"/>
      <c r="T12" s="324"/>
      <c r="U12" s="324"/>
      <c r="V12" s="324"/>
      <c r="W12" s="324"/>
      <c r="X12" s="322"/>
      <c r="Y12" s="322"/>
      <c r="Z12" s="322"/>
      <c r="AA12" s="322"/>
      <c r="AB12" s="325"/>
      <c r="AC12" s="322"/>
      <c r="AD12" s="322"/>
      <c r="AE12" s="326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</row>
    <row r="13" spans="2:82" ht="12.75" x14ac:dyDescent="0.2">
      <c r="B13" s="61" t="s">
        <v>10</v>
      </c>
      <c r="C13" s="383">
        <v>1</v>
      </c>
      <c r="D13" s="365" t="s">
        <v>120</v>
      </c>
      <c r="E13" s="67">
        <f ca="1">G50</f>
        <v>12984.107142857141</v>
      </c>
      <c r="F13" s="67">
        <f ca="1">G60</f>
        <v>7526</v>
      </c>
      <c r="G13" s="67">
        <f t="shared" ca="1" si="0"/>
        <v>20510.107142857141</v>
      </c>
      <c r="H13" s="67">
        <f ca="1">CEILING((G13/C11),1)</f>
        <v>2279</v>
      </c>
      <c r="J13" s="16"/>
      <c r="K13" s="323"/>
      <c r="L13" s="322"/>
      <c r="M13" s="308" t="s">
        <v>218</v>
      </c>
      <c r="N13" s="309" t="s">
        <v>219</v>
      </c>
      <c r="O13" s="309" t="s">
        <v>239</v>
      </c>
      <c r="P13" s="324"/>
      <c r="Q13" s="324"/>
      <c r="R13" s="324"/>
      <c r="S13" s="324"/>
      <c r="T13" s="324"/>
      <c r="U13" s="324"/>
      <c r="V13" s="324"/>
      <c r="W13" s="324"/>
      <c r="X13" s="322"/>
      <c r="Y13" s="322"/>
      <c r="Z13" s="322"/>
      <c r="AA13" s="322"/>
      <c r="AB13" s="325"/>
      <c r="AC13" s="322"/>
      <c r="AD13" s="322"/>
      <c r="AE13" s="326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</row>
    <row r="14" spans="2:82" ht="12.75" x14ac:dyDescent="0.2">
      <c r="B14" s="61" t="s">
        <v>164</v>
      </c>
      <c r="C14" s="384" t="s">
        <v>212</v>
      </c>
      <c r="D14" s="365" t="s">
        <v>121</v>
      </c>
      <c r="E14" s="67">
        <f>G44</f>
        <v>0</v>
      </c>
      <c r="F14" s="67">
        <f>G61</f>
        <v>0</v>
      </c>
      <c r="G14" s="67">
        <f t="shared" si="0"/>
        <v>0</v>
      </c>
      <c r="H14" s="67">
        <f>CEILING((G14/C11),1)</f>
        <v>0</v>
      </c>
      <c r="J14" s="16"/>
      <c r="K14" s="323"/>
      <c r="L14" s="16" t="s">
        <v>217</v>
      </c>
      <c r="M14" s="298" t="s">
        <v>212</v>
      </c>
      <c r="N14" s="295" t="s">
        <v>220</v>
      </c>
      <c r="O14" s="221" t="s">
        <v>227</v>
      </c>
      <c r="P14" s="324" t="s">
        <v>31</v>
      </c>
      <c r="Q14" s="327"/>
      <c r="R14" s="324"/>
      <c r="S14" s="324"/>
      <c r="T14" s="324"/>
      <c r="U14" s="324"/>
      <c r="V14" s="324"/>
      <c r="W14" s="324"/>
      <c r="X14" s="325"/>
      <c r="Y14" s="325"/>
      <c r="Z14" s="325"/>
      <c r="AA14" s="322"/>
      <c r="AB14" s="325"/>
      <c r="AC14" s="322"/>
      <c r="AD14" s="322"/>
      <c r="AE14" s="326"/>
    </row>
    <row r="15" spans="2:82" ht="12.75" x14ac:dyDescent="0.2">
      <c r="B15" s="61" t="s">
        <v>165</v>
      </c>
      <c r="C15" s="384" t="s">
        <v>227</v>
      </c>
      <c r="D15" s="366" t="s">
        <v>118</v>
      </c>
      <c r="E15" s="67">
        <f ca="1">G51</f>
        <v>69248.57142857142</v>
      </c>
      <c r="F15" s="67">
        <f ca="1">G62</f>
        <v>15052</v>
      </c>
      <c r="G15" s="67">
        <f t="shared" ca="1" si="0"/>
        <v>84300.57142857142</v>
      </c>
      <c r="H15" s="67">
        <f ca="1">CEILING((G15/C11),1)</f>
        <v>9367</v>
      </c>
      <c r="J15" s="16"/>
      <c r="K15" s="323"/>
      <c r="L15" s="16"/>
      <c r="M15" s="298" t="s">
        <v>213</v>
      </c>
      <c r="N15" s="295" t="s">
        <v>221</v>
      </c>
      <c r="O15" s="221" t="s">
        <v>228</v>
      </c>
      <c r="P15" s="324"/>
      <c r="Q15" s="327"/>
      <c r="R15" s="324"/>
      <c r="S15" s="324"/>
      <c r="T15" s="324"/>
      <c r="U15" s="324"/>
      <c r="V15" s="324"/>
      <c r="W15" s="324"/>
      <c r="X15" s="325"/>
      <c r="Y15" s="325"/>
      <c r="Z15" s="325"/>
      <c r="AA15" s="322"/>
      <c r="AB15" s="325"/>
      <c r="AC15" s="322"/>
      <c r="AD15" s="322"/>
      <c r="AE15" s="326"/>
    </row>
    <row r="16" spans="2:82" ht="12.75" x14ac:dyDescent="0.2">
      <c r="B16" s="385" t="s">
        <v>56</v>
      </c>
      <c r="C16" s="381" t="s">
        <v>220</v>
      </c>
      <c r="D16" s="366" t="s">
        <v>0</v>
      </c>
      <c r="E16" s="71">
        <f>G52</f>
        <v>0.8</v>
      </c>
      <c r="F16" s="71">
        <f>G63</f>
        <v>0.4</v>
      </c>
      <c r="G16" s="71"/>
      <c r="H16" s="369"/>
      <c r="J16" s="16"/>
      <c r="K16" s="323"/>
      <c r="L16" s="16"/>
      <c r="M16" s="298" t="s">
        <v>214</v>
      </c>
      <c r="N16" s="295" t="s">
        <v>222</v>
      </c>
      <c r="O16" s="221" t="s">
        <v>229</v>
      </c>
      <c r="P16" s="324"/>
      <c r="Q16" s="327"/>
      <c r="R16" s="324"/>
      <c r="S16" s="324"/>
      <c r="T16" s="324"/>
      <c r="U16" s="324"/>
      <c r="V16" s="324"/>
      <c r="W16" s="324"/>
      <c r="X16" s="325"/>
      <c r="Y16" s="325"/>
      <c r="Z16" s="325"/>
      <c r="AA16" s="322"/>
      <c r="AB16" s="325"/>
      <c r="AC16" s="322"/>
      <c r="AD16" s="322"/>
      <c r="AE16" s="326"/>
    </row>
    <row r="17" spans="1:113" ht="12.75" x14ac:dyDescent="0.2">
      <c r="B17" s="386" t="s">
        <v>117</v>
      </c>
      <c r="C17" s="384">
        <v>0.28999999999999998</v>
      </c>
      <c r="D17" s="367" t="s">
        <v>42</v>
      </c>
      <c r="E17" s="87">
        <f ca="1">G53</f>
        <v>86560.714285714275</v>
      </c>
      <c r="F17" s="87">
        <f ca="1">G64</f>
        <v>37630</v>
      </c>
      <c r="G17" s="87">
        <f ca="1">SUM(E17:F17)</f>
        <v>124190.71428571428</v>
      </c>
      <c r="H17" s="87">
        <f ca="1">CEILING((G17/C11),1)</f>
        <v>13799</v>
      </c>
      <c r="J17" s="16"/>
      <c r="K17" s="323"/>
      <c r="L17" s="16"/>
      <c r="M17" s="3" t="s">
        <v>215</v>
      </c>
      <c r="N17" s="295" t="s">
        <v>223</v>
      </c>
      <c r="O17" s="221" t="s">
        <v>230</v>
      </c>
      <c r="P17" s="324" t="s">
        <v>23</v>
      </c>
      <c r="Q17" s="327"/>
      <c r="R17" s="324"/>
      <c r="S17" s="324"/>
      <c r="T17" s="197"/>
      <c r="U17" s="197"/>
      <c r="V17" s="197"/>
      <c r="W17" s="197"/>
      <c r="X17" s="327"/>
      <c r="Y17" s="327"/>
      <c r="Z17" s="327"/>
      <c r="AA17" s="16"/>
      <c r="AB17" s="327"/>
      <c r="AC17" s="16"/>
      <c r="AD17" s="16"/>
      <c r="AE17" s="17"/>
    </row>
    <row r="18" spans="1:113" ht="15.75" customHeight="1" thickBot="1" x14ac:dyDescent="0.25">
      <c r="B18" s="386" t="s">
        <v>15</v>
      </c>
      <c r="C18" s="380">
        <v>75</v>
      </c>
      <c r="D18" s="368"/>
      <c r="E18" s="95"/>
      <c r="F18" s="95"/>
      <c r="G18" s="96"/>
      <c r="H18" s="95"/>
      <c r="J18" s="16"/>
      <c r="K18" s="323"/>
      <c r="L18" s="16"/>
      <c r="M18" s="3"/>
      <c r="N18" s="295" t="s">
        <v>224</v>
      </c>
      <c r="O18" s="221" t="s">
        <v>231</v>
      </c>
      <c r="P18" s="324"/>
      <c r="Q18" s="327"/>
      <c r="R18" s="324"/>
      <c r="S18" s="324"/>
      <c r="T18" s="197"/>
      <c r="U18" s="197"/>
      <c r="V18" s="197"/>
      <c r="W18" s="197"/>
      <c r="X18" s="327"/>
      <c r="Y18" s="327"/>
      <c r="Z18" s="327"/>
      <c r="AA18" s="16"/>
      <c r="AB18" s="327"/>
      <c r="AC18" s="16"/>
      <c r="AD18" s="16"/>
      <c r="AE18" s="17"/>
    </row>
    <row r="19" spans="1:113" ht="13.5" thickBot="1" x14ac:dyDescent="0.25">
      <c r="B19" s="387" t="s">
        <v>30</v>
      </c>
      <c r="C19" s="388">
        <v>65</v>
      </c>
      <c r="D19" s="376" t="s">
        <v>145</v>
      </c>
      <c r="E19" s="372"/>
      <c r="F19" s="372"/>
      <c r="G19" s="373">
        <f ca="1">SUM(G17:G18)</f>
        <v>124190.71428571428</v>
      </c>
      <c r="H19" s="374"/>
      <c r="J19" s="16"/>
      <c r="K19" s="323"/>
      <c r="L19" s="16"/>
      <c r="M19" s="3"/>
      <c r="N19" s="295" t="s">
        <v>225</v>
      </c>
      <c r="O19" s="221" t="s">
        <v>232</v>
      </c>
      <c r="P19" s="324"/>
      <c r="Q19" s="327"/>
      <c r="R19" s="324"/>
      <c r="S19" s="324"/>
      <c r="T19" s="197"/>
      <c r="U19" s="197"/>
      <c r="V19" s="197"/>
      <c r="W19" s="197"/>
      <c r="X19" s="327"/>
      <c r="Y19" s="327"/>
      <c r="Z19" s="327"/>
      <c r="AA19" s="16"/>
      <c r="AB19" s="327"/>
      <c r="AC19" s="16"/>
      <c r="AD19" s="16"/>
      <c r="AE19" s="17"/>
    </row>
    <row r="20" spans="1:113" ht="13.5" thickBot="1" x14ac:dyDescent="0.25">
      <c r="J20" s="16"/>
      <c r="K20" s="323"/>
      <c r="L20" s="16"/>
      <c r="M20" s="3"/>
      <c r="N20" s="295" t="s">
        <v>226</v>
      </c>
      <c r="O20" s="221" t="s">
        <v>233</v>
      </c>
      <c r="P20" s="324"/>
      <c r="Q20" s="327"/>
      <c r="R20" s="324"/>
      <c r="S20" s="324"/>
      <c r="T20" s="197"/>
      <c r="U20" s="197"/>
      <c r="V20" s="197"/>
      <c r="W20" s="197"/>
      <c r="X20" s="327"/>
      <c r="Y20" s="327"/>
      <c r="Z20" s="327"/>
      <c r="AA20" s="16"/>
      <c r="AB20" s="327"/>
      <c r="AC20" s="16"/>
      <c r="AD20" s="16"/>
      <c r="AE20" s="17"/>
    </row>
    <row r="21" spans="1:113" ht="12.75" x14ac:dyDescent="0.2">
      <c r="B21" s="732" t="s">
        <v>50</v>
      </c>
      <c r="C21" s="733"/>
      <c r="D21" s="393" t="s">
        <v>10</v>
      </c>
      <c r="E21" s="393" t="s">
        <v>49</v>
      </c>
      <c r="F21" s="393" t="s">
        <v>51</v>
      </c>
      <c r="G21" s="393" t="s">
        <v>14</v>
      </c>
      <c r="H21" s="394" t="s">
        <v>100</v>
      </c>
      <c r="J21" s="16"/>
      <c r="K21" s="323"/>
      <c r="L21" s="16"/>
      <c r="M21" s="3"/>
      <c r="N21" s="295"/>
      <c r="O21" s="221" t="s">
        <v>234</v>
      </c>
      <c r="P21" s="324"/>
      <c r="Q21" s="327"/>
      <c r="R21" s="324"/>
      <c r="S21" s="324"/>
      <c r="T21" s="197"/>
      <c r="U21" s="197"/>
      <c r="V21" s="197"/>
      <c r="W21" s="197"/>
      <c r="X21" s="327"/>
      <c r="Y21" s="327"/>
      <c r="Z21" s="327"/>
      <c r="AA21" s="16"/>
      <c r="AB21" s="327"/>
      <c r="AC21" s="16"/>
      <c r="AD21" s="16"/>
      <c r="AE21" s="17"/>
    </row>
    <row r="22" spans="1:113" ht="12.75" x14ac:dyDescent="0.2">
      <c r="B22" s="38" t="s">
        <v>246</v>
      </c>
      <c r="C22" s="5">
        <f>IF(C9&lt;=5,C9+0.1)+IF(AND(C9&gt;5,C9&lt;=6),C9+0.15)+IF(C9&gt;6,C9+0.25)</f>
        <v>3.1</v>
      </c>
      <c r="D22" s="5">
        <f>CEILING(((C22*(C10+0.3))/0.063),1)</f>
        <v>163</v>
      </c>
      <c r="E22" s="5" t="s">
        <v>52</v>
      </c>
      <c r="F22" s="252">
        <f>+IF(AND(C14=M14,C15=$P$29,C16=M30),P30)+IF(AND(C14=M14,C15=$P$29,C16=M31),P31)+IF(AND(C14=M14,C15=$P$29,C16=M32),P32)+IF(AND(C14=M14,C15=$R$29,C16=M30),R30)+IF(AND(C14=M14,C15=$R$29,C16=M31),R31)+IF(AND(C14=M14,C15=$R$29,C16=M32),R32)+IF(AND(C14=M14,C15=$T$29,C16=M30),T30)+IF(AND(C14=M14,C15=$T$29,C16=M31),T31)+IF(AND(C14=M14,C15=$T$29,C16=M32),T32)+IF(AND(C14=M14,C15=$V$29,C16=M30),V30)+IF(AND(C14=M14,C15=$V$29,C16=M31),V31)+IF(AND(C14=M14,C15=$V$29,C16=M32),V32)+IF(AND(C14=M16,C15=$P$36,C16=M37),P37)+IF(AND(C14=M16,C15=$P$36,C16=M38),P38)+IF(AND(C14=M16,C15=$P$36,C16=M39),P39)+IF(AND(C14=M16,C15=$R$36,C16=M37),R37)+IF(AND(C14=M16,C15=$R$36,C16=M38),R38)+IF(AND(C14=M16,C15=$R$36,C16=M39),R39)+IF(AND(C14=M16,C15=$T$36,C16=M37),T37)+IF(AND(C14=M16,C15=$T$36,C16=M38),T38)+IF(AND(C14=M16,C15=$T$36,C16=M39),T39)+IF(AND(C14=M16,C15=$V$36,C16=M37),V37)+IF(AND(C14=M16,C15=$V$36,C16=M38),V38)+IF(AND(C14=M16,C15=$V$36,C16=M39),V39)+IF(AND(C14=M15,C15=$P$36,C16=M37),P37)+IF(AND(C14=M15,C15=$P$36,C16=M38),P38)+IF(AND(C14=M15,C15=$P$36,C16=M39),P39)+IF(AND(C14=M15,C15=$R$36,C16=M37),R37)+IF(AND(C14=M15,C15=$R$36,C16=M38),R38)+IF(AND(C14=M15,C15=$R$36,C16=M39),R39)+IF(AND(C14=M15,C15=$T$36,C16=M37),T37)+IF(AND(C14=M15,C15=$T$36,C16=M38),T38)+IF(AND(C14=M15,C15=$T$36,C16=M39),T39)+IF(AND(C14=M15,C15=$V$36,C16=M37),V37)+IF(AND(C14=M15,C15=$V$36,C16=M38),V38)+IF(AND(C14=M15,C15=$V$36,C16=M39),V39)+IF(AND(C14=M17,C15=$P$43,C16=M44),P44)+IF(AND(C14=M17,C15=$R$43,C16=M44),R44)+IF(AND(C14=M17,C15=$T$43,C16=M44),T44)+IF(AND(C14=M17,C15=$V$43,C16=M44),V44)</f>
        <v>58</v>
      </c>
      <c r="G22" s="252">
        <f>F22*D22</f>
        <v>9454</v>
      </c>
      <c r="H22" s="103"/>
      <c r="I22" s="86"/>
      <c r="J22" s="16"/>
      <c r="K22" s="323"/>
      <c r="L22" s="16"/>
      <c r="M22" s="3"/>
      <c r="N22" s="295"/>
      <c r="O22" s="221" t="s">
        <v>235</v>
      </c>
      <c r="P22" s="324"/>
      <c r="Q22" s="327"/>
      <c r="R22" s="324"/>
      <c r="S22" s="324"/>
      <c r="T22" s="197"/>
      <c r="U22" s="197"/>
      <c r="V22" s="197"/>
      <c r="W22" s="197"/>
      <c r="X22" s="327"/>
      <c r="Y22" s="327"/>
      <c r="Z22" s="327"/>
      <c r="AA22" s="16"/>
      <c r="AB22" s="327"/>
      <c r="AC22" s="16"/>
      <c r="AD22" s="16"/>
      <c r="AE22" s="17"/>
    </row>
    <row r="23" spans="1:113" ht="12.75" x14ac:dyDescent="0.2">
      <c r="A23" s="75"/>
      <c r="B23" s="395" t="s">
        <v>167</v>
      </c>
      <c r="C23" s="5">
        <f>IF(C9&lt;=5,L51)+IF(AND(C9&gt;5,C9&lt;=6),L52)+IF(C9&gt;6,L53)</f>
        <v>75</v>
      </c>
      <c r="D23" s="5">
        <f>(C10+0.1)*2</f>
        <v>6.2</v>
      </c>
      <c r="E23" s="5" t="s">
        <v>52</v>
      </c>
      <c r="F23" s="252">
        <f>+IF(AND(C14=AB50,B23=Q50,C23=L51),Q51)+IF(AND(C14=AB50,B23=Q50,C23=L52),Q52)+IF(AND(C14=AB50,B23=Q50,C23=L53),Q53)+IF(AND(C14=AB50,B23=R50,C23=L51),R51)+IF(AND(C14=AB50,B23=R50,C23=L52),R52)+IF(AND(C14=AB50,B23=R50,C23=L53),R53)+IF(AND(C14=AB50,B23=S50,C23=L51),S51)+IF(AND(C14=AB50,B23=S50,C23=L52),S52)+IF(AND(C14=AB50,B23=S50,C23=L53),S53)+IF(AND(C14=AB51,B23=Q50,C23=L51),Q51)+IF(AND(C14=AB51,B23=Q50,C23=L52),Q52)+IF(AND(C14=AB51,B23=Q50,C23=L53),Q53)+IF(AND(C14=AB51,B23=R50,C23=L51),R51)+IF(AND(C14=AB51,B23=R50,C23=L52),R52)+IF(AND(C14=AB51,B23=R50,C23=L53),R53)+IF(AND(C14=AB51,B23=S50,C23=L51),S51)+IF(AND(C14=AB51,B23=S50,C23=L52),S52)+IF(AND(C14=AB51,B23=S50,C23=L53),S53)+IF(AND(C14=AB53,B23=Q50,C23=L51),Q51)+IF(AND(C14=AB53,B23=Q50,C23=L52),Q52)+IF(AND(C14=AB53,B23=Q50,C23=L53),Q53)+IF(AND(C14=AB53,B23=R50,C23=L51),R51)+IF(AND(C14=AB53,B23=R50,C23=L52),R52)+IF(AND(C14=AB53,B23=R50,C23=L53),R53)+IF(AND(C14=AB53,B23=S50,C23=L51),S51)+IF(AND(C14=AB53,B23=S50,C23=L52),S52)+IF(AND(C14=AB53,B23=S50,C23=L53),S53)+IF(AND(C14=AB52,B23=X50,C23=L51),X51)+IF(AND(C14=AB52,B23=X50,C23=L52),X52)+IF(AND(C14=AB52,B23=X50,C23=L53),X53)+IF(AND(C14=AB52,B23=Y50,C23=L51),Y51)+IF(AND(C14=AB52,B23=Y50,C23=L52),Y52)+IF(AND(C14=AB52,B23=Y50,C23=L53),Y53)+IF(AND(C14=AB52,B23=Z50,C23=L51),Z51)+IF(AND(C14=AB52,B23=Z50,C23=L52),Z52)+IF(AND(C14=AB52,B23=Z50,C23=L53),Z53)</f>
        <v>280</v>
      </c>
      <c r="G23" s="252">
        <f>F23*D23</f>
        <v>1736</v>
      </c>
      <c r="H23" s="155"/>
      <c r="I23" s="105"/>
      <c r="J23" s="86"/>
      <c r="K23" s="323"/>
      <c r="L23" s="16"/>
      <c r="M23" s="3"/>
      <c r="N23" s="295"/>
      <c r="O23" s="221" t="s">
        <v>236</v>
      </c>
      <c r="P23" s="324"/>
      <c r="Q23" s="327"/>
      <c r="R23" s="324"/>
      <c r="S23" s="324"/>
      <c r="T23" s="197"/>
      <c r="U23" s="197"/>
      <c r="V23" s="197"/>
      <c r="W23" s="197"/>
      <c r="X23" s="327"/>
      <c r="Y23" s="327"/>
      <c r="Z23" s="327"/>
      <c r="AA23" s="16"/>
      <c r="AB23" s="327"/>
      <c r="AC23" s="16"/>
      <c r="AD23" s="16"/>
      <c r="AE23" s="17"/>
    </row>
    <row r="24" spans="1:113" ht="12.75" x14ac:dyDescent="0.2">
      <c r="A24" s="75"/>
      <c r="B24" s="38" t="s">
        <v>169</v>
      </c>
      <c r="C24" s="5">
        <f>C22</f>
        <v>3.1</v>
      </c>
      <c r="D24" s="5">
        <f>C24*1</f>
        <v>3.1</v>
      </c>
      <c r="E24" s="5" t="s">
        <v>52</v>
      </c>
      <c r="F24" s="252">
        <f>IF(AND(C14=T57,C9&lt;=5),P58)+IF(AND(C14=T57,C9&gt;5,C9&lt;=6),P59)+IF(AND(C14=T57,C9&gt;6),P60)+IF(AND(C14=T58,C9&lt;=5),P58)+IF(AND(C14=T58,C9&gt;5,C9&lt;=6),P59)+IF(AND(C14=T58,C9&gt;6),P60)+IF(AND(C14=T60,C9&lt;=5),P58)+IF(AND(C14=T60,C9&gt;5,C9&lt;=6),P59)+IF(AND(C14=T60,C9&gt;6),P60)+IF(AND(C14=T59,C9&lt;=5),R58)+IF(AND(C14=T59,C9&gt;5,C9&lt;=6),R59)+IF(AND(C14=T59,C9&gt;6),R60)</f>
        <v>525</v>
      </c>
      <c r="G24" s="252">
        <f>F24*D24</f>
        <v>1627.5</v>
      </c>
      <c r="H24" s="155"/>
      <c r="I24" s="105"/>
      <c r="J24" s="105"/>
      <c r="K24" s="323"/>
      <c r="L24" s="16"/>
      <c r="M24" s="3"/>
      <c r="N24" s="299"/>
      <c r="O24" s="221" t="s">
        <v>237</v>
      </c>
      <c r="P24" s="324"/>
      <c r="Q24" s="327"/>
      <c r="R24" s="324"/>
      <c r="S24" s="324"/>
      <c r="T24" s="197"/>
      <c r="U24" s="197"/>
      <c r="V24" s="197"/>
      <c r="W24" s="197"/>
      <c r="X24" s="327"/>
      <c r="Y24" s="327"/>
      <c r="Z24" s="327"/>
      <c r="AA24" s="16"/>
      <c r="AB24" s="327"/>
      <c r="AC24" s="16"/>
      <c r="AD24" s="16"/>
      <c r="AE24" s="17"/>
    </row>
    <row r="25" spans="1:113" s="75" customFormat="1" ht="12.75" x14ac:dyDescent="0.2">
      <c r="B25" s="38" t="s">
        <v>34</v>
      </c>
      <c r="C25" s="5">
        <f>C9+0.3</f>
        <v>3.3</v>
      </c>
      <c r="D25" s="25">
        <f>IF(OR((AND(C9&gt;=2,C9&lt;=4,C10&lt;=6)),(AND(C9&gt;=2,C9&lt;=4,C10&gt;6,C10&lt;=6.5)),(AND(C9&gt;=2,C9&lt;=3,C10&gt;6.5,C10&lt;=7))),4)+IF(OR((AND(C9&gt;4,C9&lt;=6,C10&lt;=7)),(AND(C9&gt;4,C9&lt;=6,C10&lt;=7)),(AND(C9&gt;4,C9&lt;=5.5,C10&gt;7,C10&lt;=8)),(AND(C9&gt;3,C9&lt;=4,C10&gt;6.5,C10&lt;=7)),(AND(C9&gt;2,C9&lt;=4.5,C10&gt;7,C10&lt;=9)),(AND(C9&gt;2,C9&lt;=2.5,C10&gt;9,C10&lt;=10))),6)+IF(OR((AND(C9&gt;2.5,C9&lt;=6,C10&gt;9,C10&lt;=12)),(AND(C9&gt;4.5,C9&lt;=6,C10&gt;8,C10&lt;=9)),(AND(C9&gt;5.5,C9&lt;=6,C10&gt;7,C10&lt;=8)),(AND(C9&gt;6,C9&lt;=8,C10&lt;=8)),(AND(C9&gt;6,C9&lt;=7,C10&gt;8,C10&lt;=10)),(AND(C9&gt;7,C9&lt;=7.5,C10&gt;8,C10&lt;=8.5))),8)+IF(OR((AND(C9&gt;8,C9&lt;=9.5,C10&lt;=11)),(AND(C9&gt;7,C9&lt;=8,C10&gt;8,C10&lt;=10)),(AND(C9&gt;6,C9&lt;=7,C10&gt;10,C10&lt;=11)),(AND(C9&gt;7.5,C9&lt;=8,C10&gt;8,C10&lt;=8.5))),10)+IF(OR((AND(C9&gt;9.5,C9&lt;=12,C10&lt;=10)),(AND(C9&gt;8,C9&lt;=9.5,C10&gt;8.5,C10&lt;=12)),(AND(C9&gt;6,C9&lt;=8,C10&gt;11,C10&lt;=12)),(AND(C9&gt;7,C9&lt;=8,C10&gt;10,C10&lt;=11)),(AND(C9&gt;9.5,C9&lt;=10.5,C10&gt;10,C10&lt;=11.5)),(AND(C9&gt;10.5,C9&lt;=11,C10&gt;10,C10&lt;=11))),12)+IF(OR((AND(C9&gt;11,C9&lt;=11.5,C10&gt;10,C10&lt;=10.5)),(AND(C9&gt;9.5,C9&lt;=10,C10&gt;11.5,C10&lt;=12))),12)+IF(AND(C9&lt;=2,C10&gt;6.5,C10&lt;=8),4)+IF(AND(C9&lt;=2,C10&gt;8),6)+IF(AND(C9&gt;2,C9&lt;=2.5,C10&gt;10),6)</f>
        <v>4</v>
      </c>
      <c r="E25" s="5" t="s">
        <v>53</v>
      </c>
      <c r="F25" s="252">
        <f>IF(D25=M64,P64)+IF(D25=M65,P65)+IF(D25=M66,P66)+IF(D25=M68,P68)+IF(D25=M67,P67)</f>
        <v>962.5</v>
      </c>
      <c r="G25" s="252">
        <f>F25*C25</f>
        <v>3176.25</v>
      </c>
      <c r="H25" s="155"/>
      <c r="J25" s="105"/>
      <c r="K25" s="323"/>
      <c r="L25" s="16"/>
      <c r="M25" s="3"/>
      <c r="N25" s="299"/>
      <c r="O25" s="221" t="s">
        <v>238</v>
      </c>
      <c r="P25" s="324"/>
      <c r="Q25" s="327"/>
      <c r="R25" s="324"/>
      <c r="S25" s="324"/>
      <c r="T25" s="197"/>
      <c r="U25" s="197"/>
      <c r="V25" s="197"/>
      <c r="W25" s="197"/>
      <c r="X25" s="327"/>
      <c r="Y25" s="327"/>
      <c r="Z25" s="327"/>
      <c r="AA25" s="16"/>
      <c r="AB25" s="327"/>
      <c r="AC25" s="16"/>
      <c r="AD25" s="16"/>
      <c r="AE25" s="17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</row>
    <row r="26" spans="1:113" s="75" customFormat="1" ht="14.25" customHeight="1" x14ac:dyDescent="0.2">
      <c r="B26" s="38" t="s">
        <v>36</v>
      </c>
      <c r="C26" s="5">
        <v>1</v>
      </c>
      <c r="D26" s="5">
        <v>1</v>
      </c>
      <c r="E26" s="5" t="s">
        <v>13</v>
      </c>
      <c r="F26" s="252">
        <f>IF(AND(OR(D57=L183,D57=L184,D57=L185,D57=L186,D57=L187,D57=L188,D57=L189,D57=L190,D57=L191,D57=L192,D57=L193,D57=L194,D57=L195,D57=L196),C11&lt;=12),P71)+IF(AND(OR(D57=L183,D57=L184,D57=L185,D57=L186,D57=L187,D57=L188,D57=L189,D57=L190,D57=L191,D57=L192,D57=L193,D57=L194,D57=L195,D57=L196),C11&gt;12,C11&lt;=24),P72)+IF(AND(OR(D57=L183,D57=L184,D57=L185,D57=L186,D57=L187,D57=L188,D57=L189,D57=L190,D57=L191,D57=L192,D57=L193,D57=L194,D57=L195,D57=L196),C11&gt;24,C11&lt;=36),P73)+IF(AND(OR(D57=L183,D57=L184,D57=L185,D57=L186,D57=L187,D57=L188,D57=L189,D57=L190,D57=L191,D57=L192,D57=L193,D57=L194,D57=L195,D57=L196),C11&gt;36, C11&lt;=48),P74)+IF(AND(OR(D57=L183,D57=L184,D57=L185,D57=L186,D57=L187,D57=L188,D57=L189,D57=L190,D57=L191,D57=L192,D57=L193,D57=L194,D57=L195,D57=L196),C11&gt;48),P75)</f>
        <v>2000</v>
      </c>
      <c r="G26" s="252">
        <f>F26*D26</f>
        <v>2000</v>
      </c>
      <c r="H26" s="155"/>
      <c r="J26" s="197"/>
      <c r="K26" s="323"/>
      <c r="L26" s="16"/>
      <c r="M26" s="16"/>
      <c r="N26" s="324"/>
      <c r="O26" s="327"/>
      <c r="P26" s="324"/>
      <c r="Q26" s="324"/>
      <c r="R26" s="324"/>
      <c r="S26" s="324"/>
      <c r="T26" s="197"/>
      <c r="U26" s="197"/>
      <c r="V26" s="197"/>
      <c r="W26" s="197"/>
      <c r="X26" s="327"/>
      <c r="Y26" s="327"/>
      <c r="Z26" s="327"/>
      <c r="AA26" s="16"/>
      <c r="AB26" s="327"/>
      <c r="AC26" s="16"/>
      <c r="AD26" s="16"/>
      <c r="AE26" s="17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</row>
    <row r="27" spans="1:113" s="75" customFormat="1" ht="12.75" x14ac:dyDescent="0.2">
      <c r="B27" s="395" t="str">
        <f>IF(OR(C14=T58,C14=T57,C14=T60),V79,0)</f>
        <v>M.S.Brackets.</v>
      </c>
      <c r="C27" s="13">
        <f>IF(AND(C9&gt;=2,C9&lt;=7.85,C10&lt;=3.5),400)+IF(AND(C9&gt;=2,C9&lt;=7.85,C10&gt;3.5,C10&lt;=5.5),450)+IF(AND(C9&gt;=2,C9&lt;=7.85,C10&gt;5.5,C10&lt;=7),525)+IF(AND(C9&gt;=2,C9&lt;=7.85,C10&gt;7,C10&lt;=9),600)+IF(AND(C9&gt;=2,C9&lt;=7.85,C10&gt;9,C10&lt;=10),675)+IF(AND(C9&gt;=2,C9&lt;=7.85,C10&gt;10,C10&lt;=12),750)+IF(AND(C9&gt;7.85,C9&lt;=12,C10&gt;7,C10&lt;=12),750)+IF(AND(C9&gt;7.85,C9&lt;=12,C10&lt;=7),600)</f>
        <v>400</v>
      </c>
      <c r="D27" s="13">
        <v>2</v>
      </c>
      <c r="E27" s="389" t="s">
        <v>13</v>
      </c>
      <c r="F27" s="254">
        <f>IF(AND(OR(D57=L183,D57=L184,D57=L185,D57=L186,D57=L187,D57=L188,D57=L189,D57=L190,D57=L191,D57=L192,D57=L193,D57=L194,D57=L195,D57=L196),C27=400,B27=V79),R79)+IF(AND(OR(D57=L183,D57=L184,D57=L185,D57=L186,D57=L187,D57=L188,D57=L189,D57=L190,D57=L191,D57=L192,D57=L193,D57=L194,D57=L195,D57=L196),C27=450,B27=V79),R80)+IF(AND(OR(D57=L183,D57=L184,D57=L185,D57=L186,D57=L187,D57=L188,D57=L189,D57=L190,D57=L191,D57=L192,D57=L193,D57=L194,D57=L195,D57=L196),C27=525,B27=V79),R81)+IF(AND(OR(D57=L183,D57=L184,D57=L185,D57=L186,D57=L187,D57=L188,D57=L189,D57=L190,D57=L191,D57=L192,D57=L193,D57=L194,D57=L195,D57=L196),C27=600,B27=V79),R82)+IF(AND(OR(D57=L183,D57=L184,D57=L185,D57=L186,D57=L187,D57=L188,D57=L189,D57=L190,D57=L191,D57=L192,D57=L193,D57=L194,D57=L195,D57=L196),C27=675,B27=V79),R83)+IF(AND(OR(D57=L183,D57=L184,D57=L185,D57=L186,D57=L187,D57=L188,D57=L189,D57=L190,D57=L191,D57=L192,D57=L193,D57=L194,D57=L195,D57=L196),C27=750,B27=V79),R84)</f>
        <v>495</v>
      </c>
      <c r="G27" s="254">
        <f>F27*D27</f>
        <v>990</v>
      </c>
      <c r="H27" s="155"/>
      <c r="J27" s="197"/>
      <c r="K27" s="329"/>
      <c r="L27" s="16"/>
      <c r="M27" s="16"/>
      <c r="N27" s="324"/>
      <c r="O27" s="324"/>
      <c r="P27" s="324"/>
      <c r="Q27" s="324"/>
      <c r="R27" s="324"/>
      <c r="S27" s="324"/>
      <c r="T27" s="197"/>
      <c r="U27" s="197"/>
      <c r="V27" s="197"/>
      <c r="W27" s="197"/>
      <c r="X27" s="327"/>
      <c r="Y27" s="327"/>
      <c r="Z27" s="327"/>
      <c r="AA27" s="16"/>
      <c r="AB27" s="327"/>
      <c r="AC27" s="16"/>
      <c r="AD27" s="16"/>
      <c r="AE27" s="17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</row>
    <row r="28" spans="1:113" s="75" customFormat="1" thickBot="1" x14ac:dyDescent="0.25">
      <c r="B28" s="395">
        <f>IF(C14=T59,V80,0)</f>
        <v>0</v>
      </c>
      <c r="C28" s="13">
        <f>IF(AND(C9&gt;=2,C9&lt;=7.85,C10&lt;=3.5),400)+IF(AND(C9&gt;=2,C9&lt;=7.85,C10&gt;3.5,C10&lt;=5.5),450)+IF(AND(C9&gt;=2,C9&lt;=7.85,C10&gt;5.5,C10&lt;=7),525)+IF(AND(C9&gt;=2,C9&lt;=7.85,C10&gt;7,C10&lt;=9),600)+IF(AND(C9&gt;=2,C9&lt;=7.85,C10&gt;9,C10&lt;=10),675)+IF(AND(C9&gt;=2,C9&lt;=7.85,C10&gt;10,C10&lt;=12),750)+IF(AND(C9&gt;7.85,C9&lt;=12,C10&gt;7,C10&lt;=12),750)+IF(AND(C9&gt;7.85,C9&lt;=12,C10&lt;=7),600)</f>
        <v>400</v>
      </c>
      <c r="D28" s="13">
        <v>2</v>
      </c>
      <c r="E28" s="389" t="s">
        <v>13</v>
      </c>
      <c r="F28" s="254">
        <f>IF(AND(OR(D57=L183,D57=L184,D57=L185,D57=L186,D57=L187,D57=L188,D57=L189,D57=L190,D57=L191,D57=L192,D57=L193,D57=L194,D57=L195,D57=L196),C28=400,B28=V80),T79)+IF(AND(OR(D57=L183,D57=L184,D57=L185,D57=L186,D57=L187,D57=L188,D57=L189,D57=L190,D57=L191,D57=L192,D57=L193,D57=L194,D57=L195,D57=L196),C28=450,B28=V80),T80)+IF(AND(OR(D57=L183,D57=L184,D57=L185,D57=L186,D57=L187,D57=L188,D57=L189,D57=L190,D57=L191,D57=L192,D57=L193,D57=L194,D57=L195,D57=L196),C28=525,B28=V80),T81)+IF(AND(OR(D57=L183,D57=L184,D57=L185,D57=L186,D57=L187,D57=L188,D57=L189,D57=L190,D57=L191,D57=L192,D57=L193,D57=L194,D57=L195,D57=L196),C28=600,B28=V80),T82)+IF(AND(OR(D57=L183,D57=L184,D57=L185,D57=L186,D57=L187,D57=L188,D57=L189,D57=L190,D57=L191,D57=L192,D57=L193,D57=L194,D57=L195,D57=L196),C28=675,B28=V80),T83)+IF(AND(OR(D57=L183,D57=L184,D57=L185,D57=L186,D57=L187,D57=L188,D57=L189,D57=L190,D57=L191,D57=L192,D57=L193,D57=L194,D57=L195,D57=L196),C28=750,B28=V80),T84)</f>
        <v>0</v>
      </c>
      <c r="G28" s="254">
        <f>F28*D28</f>
        <v>0</v>
      </c>
      <c r="H28" s="155"/>
      <c r="J28" s="197"/>
      <c r="K28" s="329"/>
      <c r="L28" s="16"/>
      <c r="M28" s="16"/>
      <c r="N28" s="16"/>
      <c r="O28" s="722" t="str">
        <f>+M14</f>
        <v>MS</v>
      </c>
      <c r="P28" s="722"/>
      <c r="Q28" s="722"/>
      <c r="R28" s="722"/>
      <c r="S28" s="722"/>
      <c r="T28" s="722"/>
      <c r="U28" s="722"/>
      <c r="V28" s="722"/>
      <c r="W28" s="197"/>
      <c r="X28" s="327"/>
      <c r="Y28" s="327"/>
      <c r="Z28" s="327"/>
      <c r="AA28" s="16"/>
      <c r="AB28" s="327" t="s">
        <v>16</v>
      </c>
      <c r="AC28" s="16"/>
      <c r="AD28" s="16"/>
      <c r="AE28" s="17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</row>
    <row r="29" spans="1:113" s="75" customFormat="1" ht="12.75" x14ac:dyDescent="0.2">
      <c r="B29" s="38" t="s">
        <v>37</v>
      </c>
      <c r="C29" s="5">
        <v>1</v>
      </c>
      <c r="D29" s="5">
        <v>1</v>
      </c>
      <c r="E29" s="5" t="s">
        <v>13</v>
      </c>
      <c r="F29" s="252">
        <f>IF(AND(OR(D57=L183,D57=L184,D57=L185,D57=L186,D57=L187,D57=L188,D57=L189,D57=L190,D57=L191,D57=L192,D57=L193,D57=L194,D57=L195,D57=L196),C11&lt;=12),P89)+IF(AND(OR(D57=L183,D57=L184,D57=L185,D57=L186,D57=L187,D57=L188,D57=L189,D57=L190,D57=L191,D57=L192,D57=L193,D57=L194,D57=L195,D57=L196),C11&gt;12,C11&lt;=24),P90)+IF(AND(OR(D57=L183,D57=L184,D57=L185,D57=L186,D57=L187,D57=L188,D57=L189,D57=L190,D57=L191,D57=L192,D57=L193,D57=L194,D57=L195,D57=L196),C11&gt;24,C11&lt;=36),P91)+IF(AND(OR(D57=L183,D57=L184,D57=L185,D57=L186,D57=L187,D57=L188,D57=L189,D57=L190,D57=L191,D57=L192,D57=L193,D57=L194,D57=L195,D57=L196),C11&gt;36,C11&lt;=48),P92)+IF(AND(OR(D57=L183,D57=L184,D57=L185,D57=L186,D57=L187,D57=L188,D57=L189,D57=L190,D57=L191,D57=L192,D57=L193,D57=L194,D57=L195,D57=L196),C11&gt;48),P93)</f>
        <v>1500</v>
      </c>
      <c r="G29" s="252">
        <f>F29*D29</f>
        <v>1500</v>
      </c>
      <c r="H29" s="155"/>
      <c r="J29" s="197"/>
      <c r="K29" s="329"/>
      <c r="L29" s="197" t="s">
        <v>254</v>
      </c>
      <c r="M29" s="199" t="s">
        <v>240</v>
      </c>
      <c r="N29" s="200" t="s">
        <v>243</v>
      </c>
      <c r="O29" s="205" t="s">
        <v>166</v>
      </c>
      <c r="P29" s="206" t="str">
        <f>O14</f>
        <v>Corrogated 75mm MS</v>
      </c>
      <c r="Q29" s="205" t="s">
        <v>166</v>
      </c>
      <c r="R29" s="207" t="str">
        <f>O17</f>
        <v>Corrogated 90mm MS</v>
      </c>
      <c r="S29" s="205" t="s">
        <v>166</v>
      </c>
      <c r="T29" s="207" t="str">
        <f>O20</f>
        <v>Corrogated 115mm MS</v>
      </c>
      <c r="U29" s="205" t="s">
        <v>166</v>
      </c>
      <c r="V29" s="207" t="str">
        <f>O23</f>
        <v>Flat 85mm MS</v>
      </c>
      <c r="W29" s="208" t="s">
        <v>91</v>
      </c>
      <c r="X29" s="327"/>
      <c r="Y29" s="327"/>
      <c r="Z29" s="327"/>
      <c r="AA29" s="16"/>
      <c r="AB29" s="327" t="s">
        <v>149</v>
      </c>
      <c r="AC29" s="16"/>
      <c r="AD29" s="16"/>
      <c r="AE29" s="17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</row>
    <row r="30" spans="1:113" s="75" customFormat="1" ht="12.75" x14ac:dyDescent="0.2">
      <c r="B30" s="395" t="s">
        <v>275</v>
      </c>
      <c r="C30" s="13">
        <f>C9+0.5</f>
        <v>3.5</v>
      </c>
      <c r="D30" s="13">
        <f>C27</f>
        <v>400</v>
      </c>
      <c r="E30" s="389" t="s">
        <v>53</v>
      </c>
      <c r="F30" s="254">
        <f>+IF(AND(B30=S97,D30=M98),P98)+IF(AND(B30=S97,D30=M99),P99)+IF(AND(B30=S97,D30=M100),P100)+IF(AND(B30=S97,D30=M101),P101)+IF(AND(B30=S97,D30=M102),P102)+IF(AND(B30=S97,D30=M103),P103)+IF(AND(B30=S98,D30=M98),R98)+IF(AND(B30=S98,D30=M99),R99)+IF(AND(B30=S98,D30=M100),R100)+IF(AND(B30=S98,D30=M101),R101)+IF(AND(B30=S98,D30=M102),R102)+IF(AND(B30=S98,D30=M103),R103)</f>
        <v>1980</v>
      </c>
      <c r="G30" s="254">
        <f>(F30*C30)+(IF(OR(C17=AC59,C17=AC60),100*C11))</f>
        <v>6930</v>
      </c>
      <c r="H30" s="155"/>
      <c r="J30" s="197"/>
      <c r="K30" s="329"/>
      <c r="L30" s="16"/>
      <c r="M30" s="296" t="s">
        <v>220</v>
      </c>
      <c r="N30" s="300">
        <v>45</v>
      </c>
      <c r="O30" s="304">
        <f>+(1.2*0.133*1*7.85)</f>
        <v>1.2528599999999999</v>
      </c>
      <c r="P30" s="210">
        <f>CEILING($N$30*O30,2)</f>
        <v>58</v>
      </c>
      <c r="Q30" s="304">
        <f>+(1.2*0.113*1*7.85)</f>
        <v>1.06446</v>
      </c>
      <c r="R30" s="210">
        <f>CEILING($N$30*Q30,2)</f>
        <v>48</v>
      </c>
      <c r="S30" s="306">
        <f>+(1.2*0.133*1*7.85)</f>
        <v>1.2528599999999999</v>
      </c>
      <c r="T30" s="210">
        <f>CEILING($N$30*S30,2)</f>
        <v>58</v>
      </c>
      <c r="U30" s="306">
        <f>+(1.2*0.155*1*7.85)</f>
        <v>1.4601</v>
      </c>
      <c r="V30" s="210">
        <f>CEILING($N$30*U30,2)</f>
        <v>66</v>
      </c>
      <c r="W30" s="211" t="s">
        <v>92</v>
      </c>
      <c r="X30" s="16"/>
      <c r="Y30" s="327"/>
      <c r="Z30" s="327"/>
      <c r="AA30" s="197"/>
      <c r="AB30" s="327" t="s">
        <v>18</v>
      </c>
      <c r="AC30" s="16"/>
      <c r="AD30" s="16"/>
      <c r="AE30" s="17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</row>
    <row r="31" spans="1:113" s="75" customFormat="1" ht="12.75" x14ac:dyDescent="0.2">
      <c r="B31" s="38" t="s">
        <v>175</v>
      </c>
      <c r="C31" s="5">
        <v>1</v>
      </c>
      <c r="D31" s="5">
        <v>1</v>
      </c>
      <c r="E31" s="5" t="s">
        <v>13</v>
      </c>
      <c r="F31" s="252">
        <v>2500</v>
      </c>
      <c r="G31" s="252">
        <f>F31*D31</f>
        <v>2500</v>
      </c>
      <c r="H31" s="155"/>
      <c r="J31" s="197"/>
      <c r="K31" s="323"/>
      <c r="L31" s="16"/>
      <c r="M31" s="296" t="s">
        <v>222</v>
      </c>
      <c r="N31" s="300">
        <v>45</v>
      </c>
      <c r="O31" s="304">
        <f>+(1*0.133*1*7.85)</f>
        <v>1.0440499999999999</v>
      </c>
      <c r="P31" s="210">
        <f>CEILING($N$31*O31,1)</f>
        <v>47</v>
      </c>
      <c r="Q31" s="304">
        <f>+(1*0.113*1*7.85)</f>
        <v>0.88705000000000001</v>
      </c>
      <c r="R31" s="210">
        <f>CEILING($N$31*Q31,1)</f>
        <v>40</v>
      </c>
      <c r="S31" s="306">
        <f>+(1*0.133*1*7.85)</f>
        <v>1.0440499999999999</v>
      </c>
      <c r="T31" s="210">
        <f>CEILING($N$31*S31,1)</f>
        <v>47</v>
      </c>
      <c r="U31" s="306">
        <f>+(1*0.155*1*7.85)</f>
        <v>1.21675</v>
      </c>
      <c r="V31" s="210">
        <f>CEILING($N$31*U31,1)</f>
        <v>55</v>
      </c>
      <c r="W31" s="211" t="s">
        <v>92</v>
      </c>
      <c r="X31" s="16"/>
      <c r="Y31" s="327"/>
      <c r="Z31" s="327"/>
      <c r="AA31" s="197"/>
      <c r="AB31" s="327" t="s">
        <v>17</v>
      </c>
      <c r="AC31" s="16"/>
      <c r="AD31" s="16"/>
      <c r="AE31" s="17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</row>
    <row r="32" spans="1:113" s="75" customFormat="1" ht="13.5" thickBot="1" x14ac:dyDescent="0.25">
      <c r="A32" s="1"/>
      <c r="B32" s="36" t="s">
        <v>65</v>
      </c>
      <c r="C32" s="13">
        <v>1</v>
      </c>
      <c r="D32" s="13">
        <v>1</v>
      </c>
      <c r="E32" s="389" t="s">
        <v>54</v>
      </c>
      <c r="F32" s="254">
        <v>1800</v>
      </c>
      <c r="G32" s="254">
        <f>F32*D32</f>
        <v>1800</v>
      </c>
      <c r="H32" s="103"/>
      <c r="I32" s="1"/>
      <c r="J32" s="197"/>
      <c r="K32" s="323"/>
      <c r="L32" s="16"/>
      <c r="M32" s="297" t="s">
        <v>225</v>
      </c>
      <c r="N32" s="300">
        <v>45</v>
      </c>
      <c r="O32" s="305">
        <f>+(0.9*0.133*1*7.85)</f>
        <v>0.93964500000000006</v>
      </c>
      <c r="P32" s="213">
        <f>CEILING($N$32*O32,1)</f>
        <v>43</v>
      </c>
      <c r="Q32" s="305">
        <f>+(0.9*0.113*1*7.85)</f>
        <v>0.79834499999999997</v>
      </c>
      <c r="R32" s="213">
        <f>CEILING($N$32*Q32,1)</f>
        <v>36</v>
      </c>
      <c r="S32" s="307">
        <f>+(0.9*0.133*1*7.85)</f>
        <v>0.93964500000000006</v>
      </c>
      <c r="T32" s="213">
        <f>CEILING($N$32*S32,1)</f>
        <v>43</v>
      </c>
      <c r="U32" s="307">
        <f>+(0.9*0.155*1*7.85)</f>
        <v>1.095075</v>
      </c>
      <c r="V32" s="213">
        <f>CEILING($N$32*U32,1)</f>
        <v>50</v>
      </c>
      <c r="W32" s="214" t="s">
        <v>92</v>
      </c>
      <c r="X32" s="16"/>
      <c r="Y32" s="327"/>
      <c r="Z32" s="327"/>
      <c r="AA32" s="197"/>
      <c r="AB32" s="327"/>
      <c r="AC32" s="16"/>
      <c r="AD32" s="16"/>
      <c r="AE32" s="17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</row>
    <row r="33" spans="1:113" ht="12.75" x14ac:dyDescent="0.2">
      <c r="B33" s="38" t="s">
        <v>38</v>
      </c>
      <c r="C33" s="5">
        <v>1</v>
      </c>
      <c r="D33" s="5">
        <v>1</v>
      </c>
      <c r="E33" s="5" t="s">
        <v>54</v>
      </c>
      <c r="F33" s="252">
        <f>IF(C11&lt;=12,P107)+IF(AND(C11&gt;12,C11&lt;=24),P108)+IF(AND(C11&gt;24,C11&lt;=36),P109)+IF(C11&gt;36,P110)</f>
        <v>1500</v>
      </c>
      <c r="G33" s="252">
        <f>D33*F33</f>
        <v>1500</v>
      </c>
      <c r="H33" s="103"/>
      <c r="J33" s="16"/>
      <c r="K33" s="329"/>
      <c r="L33" s="16"/>
      <c r="M33" s="16"/>
      <c r="N33" s="330"/>
      <c r="O33" s="16"/>
      <c r="P33" s="39"/>
      <c r="Q33" s="16"/>
      <c r="R33" s="16"/>
      <c r="S33" s="16"/>
      <c r="T33" s="197"/>
      <c r="U33" s="197"/>
      <c r="V33" s="197"/>
      <c r="W33" s="197"/>
      <c r="X33" s="16"/>
      <c r="Y33" s="327"/>
      <c r="Z33" s="327"/>
      <c r="AA33" s="324"/>
      <c r="AB33" s="327"/>
      <c r="AC33" s="16"/>
      <c r="AD33" s="16"/>
      <c r="AE33" s="17"/>
    </row>
    <row r="34" spans="1:113" ht="12.75" x14ac:dyDescent="0.2">
      <c r="A34" s="75"/>
      <c r="B34" s="38" t="s">
        <v>39</v>
      </c>
      <c r="C34" s="5">
        <v>0</v>
      </c>
      <c r="D34" s="5">
        <f>C11</f>
        <v>9</v>
      </c>
      <c r="E34" s="5" t="s">
        <v>55</v>
      </c>
      <c r="F34" s="252">
        <f>IF(C11&lt;=12,P114)+IF(AND(C11&gt;12,C11&lt;=24),P115)+IF(AND(C11&gt;24,C11&lt;=36),P116)+IF(AND(C11&gt;36,C11&lt;=48),P117)+IF(C11&gt;48,P118)</f>
        <v>650</v>
      </c>
      <c r="G34" s="252">
        <f>F34*D34</f>
        <v>5850</v>
      </c>
      <c r="H34" s="155"/>
      <c r="I34" s="75"/>
      <c r="J34" s="16"/>
      <c r="K34" s="323"/>
      <c r="L34" s="16"/>
      <c r="M34" s="16"/>
      <c r="N34" s="330"/>
      <c r="O34" s="16"/>
      <c r="P34" s="39"/>
      <c r="Q34" s="16"/>
      <c r="R34" s="16"/>
      <c r="S34" s="16"/>
      <c r="T34" s="197"/>
      <c r="U34" s="197"/>
      <c r="V34" s="197"/>
      <c r="W34" s="197"/>
      <c r="X34" s="16"/>
      <c r="Y34" s="327"/>
      <c r="Z34" s="327"/>
      <c r="AA34" s="324"/>
      <c r="AB34" s="327"/>
      <c r="AC34" s="16"/>
      <c r="AD34" s="16"/>
      <c r="AE34" s="17"/>
    </row>
    <row r="35" spans="1:113" s="75" customFormat="1" thickBot="1" x14ac:dyDescent="0.25">
      <c r="A35" s="1"/>
      <c r="B35" s="427" t="s">
        <v>57</v>
      </c>
      <c r="C35" s="24">
        <v>0</v>
      </c>
      <c r="D35" s="24">
        <f>C11</f>
        <v>9</v>
      </c>
      <c r="E35" s="24" t="s">
        <v>55</v>
      </c>
      <c r="F35" s="396">
        <v>30</v>
      </c>
      <c r="G35" s="396">
        <f>F35*D35</f>
        <v>270</v>
      </c>
      <c r="H35" s="97"/>
      <c r="I35" s="1"/>
      <c r="J35" s="197"/>
      <c r="K35" s="323"/>
      <c r="L35" s="16"/>
      <c r="M35" s="16"/>
      <c r="N35" s="330"/>
      <c r="O35" s="722" t="str">
        <f>M15</f>
        <v xml:space="preserve">GI Strips </v>
      </c>
      <c r="P35" s="722"/>
      <c r="Q35" s="722"/>
      <c r="R35" s="722"/>
      <c r="S35" s="722"/>
      <c r="T35" s="722"/>
      <c r="U35" s="722"/>
      <c r="V35" s="722"/>
      <c r="W35" s="197"/>
      <c r="X35" s="16"/>
      <c r="Y35" s="327"/>
      <c r="Z35" s="327"/>
      <c r="AA35" s="324"/>
      <c r="AB35" s="327"/>
      <c r="AC35" s="16"/>
      <c r="AD35" s="16"/>
      <c r="AE35" s="17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</row>
    <row r="36" spans="1:113" ht="13.5" thickBot="1" x14ac:dyDescent="0.25">
      <c r="B36" s="455" t="s">
        <v>40</v>
      </c>
      <c r="C36" s="456"/>
      <c r="D36" s="456"/>
      <c r="E36" s="456"/>
      <c r="F36" s="457"/>
      <c r="G36" s="458">
        <f>SUM(G22:G35)</f>
        <v>39333.75</v>
      </c>
      <c r="H36" s="397">
        <f>CEILING((G36/$C$11),1)</f>
        <v>4371</v>
      </c>
      <c r="J36" s="16"/>
      <c r="K36" s="323"/>
      <c r="L36" s="16" t="s">
        <v>255</v>
      </c>
      <c r="M36" s="293" t="s">
        <v>241</v>
      </c>
      <c r="N36" s="302" t="s">
        <v>244</v>
      </c>
      <c r="O36" s="294" t="s">
        <v>166</v>
      </c>
      <c r="P36" s="210" t="str">
        <f>O15</f>
        <v>Corrogated 75mm GI</v>
      </c>
      <c r="Q36" s="294" t="s">
        <v>166</v>
      </c>
      <c r="R36" s="209" t="str">
        <f>O18</f>
        <v>Corrogated 90mm GI</v>
      </c>
      <c r="S36" s="294" t="s">
        <v>166</v>
      </c>
      <c r="T36" s="209" t="str">
        <f>O21</f>
        <v>Corrogated 115mm GI</v>
      </c>
      <c r="U36" s="294" t="s">
        <v>166</v>
      </c>
      <c r="V36" s="209" t="str">
        <f>O24</f>
        <v>Flat 85mm GI</v>
      </c>
      <c r="W36" s="209" t="s">
        <v>91</v>
      </c>
      <c r="X36" s="16"/>
      <c r="Y36" s="327"/>
      <c r="Z36" s="327"/>
      <c r="AA36" s="324"/>
      <c r="AB36" s="327"/>
      <c r="AC36" s="16"/>
      <c r="AD36" s="16"/>
      <c r="AE36" s="17"/>
    </row>
    <row r="37" spans="1:113" ht="12.75" x14ac:dyDescent="0.2">
      <c r="B37" s="422" t="s">
        <v>70</v>
      </c>
      <c r="C37" s="392"/>
      <c r="D37" s="392"/>
      <c r="E37" s="392"/>
      <c r="F37" s="392"/>
      <c r="G37" s="392"/>
      <c r="H37" s="423"/>
      <c r="J37" s="16"/>
      <c r="K37" s="323"/>
      <c r="L37" s="16"/>
      <c r="M37" s="295" t="s">
        <v>221</v>
      </c>
      <c r="N37" s="300">
        <v>65</v>
      </c>
      <c r="O37" s="306">
        <f>+(1.2*0.133*1*7.85)</f>
        <v>1.2528599999999999</v>
      </c>
      <c r="P37" s="210">
        <f>CEILING($N$37*O37,2)</f>
        <v>82</v>
      </c>
      <c r="Q37" s="306">
        <f>+(1.2*0.113*1*7.85)</f>
        <v>1.06446</v>
      </c>
      <c r="R37" s="210">
        <f>CEILING($N$37*Q37,2)</f>
        <v>70</v>
      </c>
      <c r="S37" s="306">
        <f>+(1.2*0.133*1*7.85)</f>
        <v>1.2528599999999999</v>
      </c>
      <c r="T37" s="210">
        <f>CEILING($N$37*S37,2)</f>
        <v>82</v>
      </c>
      <c r="U37" s="306">
        <f>+(1.2*0.155*1*7.85)</f>
        <v>1.4601</v>
      </c>
      <c r="V37" s="210">
        <f>CEILING($N$37*U37,2)</f>
        <v>96</v>
      </c>
      <c r="W37" s="209" t="s">
        <v>92</v>
      </c>
      <c r="X37" s="16"/>
      <c r="Y37" s="327"/>
      <c r="Z37" s="327"/>
      <c r="AA37" s="324"/>
      <c r="AB37" s="327"/>
      <c r="AC37" s="16"/>
      <c r="AD37" s="16"/>
      <c r="AE37" s="17"/>
    </row>
    <row r="38" spans="1:113" ht="12.75" customHeight="1" x14ac:dyDescent="0.2">
      <c r="B38" s="36" t="s">
        <v>24</v>
      </c>
      <c r="C38" s="57" t="s">
        <v>60</v>
      </c>
      <c r="D38" s="13">
        <f>C9</f>
        <v>3</v>
      </c>
      <c r="E38" s="57">
        <f>IF(C38=M130,C10,0)+IF(C38=M131,C10*60%,0)</f>
        <v>1.7999999999999998</v>
      </c>
      <c r="F38" s="252">
        <v>650</v>
      </c>
      <c r="G38" s="252">
        <f>IF(OR(C38=M130,C38=M131),F38*(E38*D38),0)</f>
        <v>3509.9999999999995</v>
      </c>
      <c r="H38" s="103"/>
      <c r="J38" s="16"/>
      <c r="K38" s="328"/>
      <c r="L38" s="16"/>
      <c r="M38" s="295" t="s">
        <v>223</v>
      </c>
      <c r="N38" s="300">
        <v>65</v>
      </c>
      <c r="O38" s="306">
        <f>+(1*0.133*1*7.85)</f>
        <v>1.0440499999999999</v>
      </c>
      <c r="P38" s="210">
        <f>CEILING($N$38*O38,1)</f>
        <v>68</v>
      </c>
      <c r="Q38" s="306">
        <f>+(1*0.113*1*7.85)</f>
        <v>0.88705000000000001</v>
      </c>
      <c r="R38" s="210">
        <f>CEILING($N$38*Q38,1)</f>
        <v>58</v>
      </c>
      <c r="S38" s="306">
        <f>+(1*0.133*1*7.85)</f>
        <v>1.0440499999999999</v>
      </c>
      <c r="T38" s="210">
        <f>CEILING($N$38*S38,1)</f>
        <v>68</v>
      </c>
      <c r="U38" s="306">
        <f>+(1*0.155*1*7.85)</f>
        <v>1.21675</v>
      </c>
      <c r="V38" s="210">
        <f>CEILING($N$38*U38,1)</f>
        <v>80</v>
      </c>
      <c r="W38" s="209" t="s">
        <v>92</v>
      </c>
      <c r="X38" s="16"/>
      <c r="Y38" s="327"/>
      <c r="Z38" s="327"/>
      <c r="AA38" s="324"/>
      <c r="AB38" s="327"/>
      <c r="AC38" s="16"/>
      <c r="AD38" s="16"/>
      <c r="AE38" s="17"/>
    </row>
    <row r="39" spans="1:113" ht="13.5" customHeight="1" x14ac:dyDescent="0.2">
      <c r="B39" s="395" t="s">
        <v>284</v>
      </c>
      <c r="C39" s="57" t="s">
        <v>61</v>
      </c>
      <c r="D39" s="13">
        <f>C9</f>
        <v>3</v>
      </c>
      <c r="E39" s="57">
        <f>IF(C39=O135,C10,0)+IF(C39=O136,C10*60%,0)</f>
        <v>3</v>
      </c>
      <c r="F39" s="252">
        <f>IF(B39=M135,N135)+IF(B39=M136,N136)+IF(B39=M137,N137)</f>
        <v>850</v>
      </c>
      <c r="G39" s="252">
        <f>IF(OR(C39=O135,C39=O136),F39*(D39*E39),0)</f>
        <v>7650</v>
      </c>
      <c r="H39" s="103"/>
      <c r="I39" s="86"/>
      <c r="J39" s="16"/>
      <c r="K39" s="328"/>
      <c r="L39" s="16"/>
      <c r="M39" s="295" t="s">
        <v>226</v>
      </c>
      <c r="N39" s="300">
        <v>65</v>
      </c>
      <c r="O39" s="306">
        <f>+(0.9*0.133*1*7.85)</f>
        <v>0.93964500000000006</v>
      </c>
      <c r="P39" s="210">
        <f>CEILING($N$39*O39,1)</f>
        <v>62</v>
      </c>
      <c r="Q39" s="306">
        <f>+(0.9*0.113*1*7.85)</f>
        <v>0.79834499999999997</v>
      </c>
      <c r="R39" s="210">
        <f>CEILING($N$39*Q39,1)</f>
        <v>52</v>
      </c>
      <c r="S39" s="306">
        <f>+(0.9*0.133*1*7.85)</f>
        <v>0.93964500000000006</v>
      </c>
      <c r="T39" s="210">
        <f>CEILING($N$39*S39,1)</f>
        <v>62</v>
      </c>
      <c r="U39" s="306">
        <f>+(0.9*0.155*1*7.85)</f>
        <v>1.095075</v>
      </c>
      <c r="V39" s="210">
        <f>CEILING($N$39*U39,1)</f>
        <v>72</v>
      </c>
      <c r="W39" s="209" t="s">
        <v>92</v>
      </c>
      <c r="X39" s="16"/>
      <c r="Y39" s="327"/>
      <c r="Z39" s="327"/>
      <c r="AA39" s="324"/>
      <c r="AB39" s="327"/>
      <c r="AC39" s="16"/>
      <c r="AD39" s="16"/>
      <c r="AE39" s="17"/>
    </row>
    <row r="40" spans="1:113" ht="13.5" customHeight="1" x14ac:dyDescent="0.2">
      <c r="B40" s="60" t="s">
        <v>58</v>
      </c>
      <c r="C40" s="57" t="s">
        <v>23</v>
      </c>
      <c r="D40" s="57"/>
      <c r="E40" s="59">
        <f>C11</f>
        <v>9</v>
      </c>
      <c r="F40" s="252">
        <f>+IF(C40=M140,N140)+IF(C40=M141,N141)+IF(C40=M142,N142)+IF(C40=M143,N143)+IF(C40=M144,N144)</f>
        <v>0</v>
      </c>
      <c r="G40" s="252">
        <f>IF(OR(C40=M140,C40=M141),F40*E40,0)</f>
        <v>0</v>
      </c>
      <c r="H40" s="103"/>
      <c r="I40" s="86"/>
      <c r="J40" s="86"/>
      <c r="K40" s="328"/>
      <c r="L40" s="16"/>
      <c r="M40" s="16"/>
      <c r="N40" s="330"/>
      <c r="O40" s="16"/>
      <c r="P40" s="39"/>
      <c r="Q40" s="16"/>
      <c r="R40" s="16"/>
      <c r="S40" s="16"/>
      <c r="T40" s="197"/>
      <c r="U40" s="197"/>
      <c r="V40" s="197"/>
      <c r="W40" s="197"/>
      <c r="X40" s="16"/>
      <c r="Y40" s="327"/>
      <c r="Z40" s="327"/>
      <c r="AA40" s="324"/>
      <c r="AB40" s="327"/>
      <c r="AC40" s="16"/>
      <c r="AD40" s="16"/>
      <c r="AE40" s="17"/>
    </row>
    <row r="41" spans="1:113" ht="12.75" x14ac:dyDescent="0.2">
      <c r="B41" s="60" t="s">
        <v>64</v>
      </c>
      <c r="C41" s="57" t="s">
        <v>23</v>
      </c>
      <c r="D41" s="57" t="s">
        <v>66</v>
      </c>
      <c r="E41" s="59" t="s">
        <v>13</v>
      </c>
      <c r="F41" s="252">
        <f>IF(D41=M148,N148)+IF(D41=M149,N149)+IF(D41=M150,N150)</f>
        <v>40000</v>
      </c>
      <c r="G41" s="252">
        <f>IF(C41=O137,0,F41)</f>
        <v>0</v>
      </c>
      <c r="H41" s="103"/>
      <c r="I41" s="86"/>
      <c r="J41" s="86"/>
      <c r="K41" s="328"/>
      <c r="L41" s="16"/>
      <c r="M41" s="16"/>
      <c r="N41" s="330"/>
      <c r="O41" s="16"/>
      <c r="P41" s="39"/>
      <c r="Q41" s="16"/>
      <c r="R41" s="16"/>
      <c r="S41" s="16"/>
      <c r="T41" s="197"/>
      <c r="U41" s="197"/>
      <c r="V41" s="197"/>
      <c r="W41" s="197"/>
      <c r="X41" s="16"/>
      <c r="Y41" s="327"/>
      <c r="Z41" s="327"/>
      <c r="AA41" s="324"/>
      <c r="AB41" s="327"/>
      <c r="AC41" s="16"/>
      <c r="AD41" s="16"/>
      <c r="AE41" s="17"/>
    </row>
    <row r="42" spans="1:113" ht="12.75" customHeight="1" thickBot="1" x14ac:dyDescent="0.25">
      <c r="B42" s="60" t="s">
        <v>158</v>
      </c>
      <c r="C42" s="57" t="s">
        <v>31</v>
      </c>
      <c r="D42" s="57">
        <v>0</v>
      </c>
      <c r="E42" s="59" t="s">
        <v>179</v>
      </c>
      <c r="F42" s="252">
        <v>450</v>
      </c>
      <c r="G42" s="252">
        <f>+F42*D42</f>
        <v>0</v>
      </c>
      <c r="H42" s="103"/>
      <c r="I42" s="86"/>
      <c r="J42" s="86"/>
      <c r="K42" s="328"/>
      <c r="L42" s="16"/>
      <c r="M42" s="16"/>
      <c r="N42" s="330"/>
      <c r="O42" s="722" t="str">
        <f>+M17</f>
        <v>Galvalum</v>
      </c>
      <c r="P42" s="722"/>
      <c r="Q42" s="722"/>
      <c r="R42" s="722"/>
      <c r="S42" s="722"/>
      <c r="T42" s="722"/>
      <c r="U42" s="722"/>
      <c r="V42" s="722"/>
      <c r="W42" s="197"/>
      <c r="X42" s="16"/>
      <c r="Y42" s="327"/>
      <c r="Z42" s="327"/>
      <c r="AA42" s="324"/>
      <c r="AB42" s="327"/>
      <c r="AC42" s="16"/>
      <c r="AD42" s="16"/>
      <c r="AE42" s="17"/>
    </row>
    <row r="43" spans="1:113" ht="12.75" x14ac:dyDescent="0.2">
      <c r="B43" s="60" t="s">
        <v>301</v>
      </c>
      <c r="C43" s="57">
        <f>IF(C57=W189,C11,0)</f>
        <v>0</v>
      </c>
      <c r="D43" s="57" t="s">
        <v>302</v>
      </c>
      <c r="E43" s="59"/>
      <c r="F43" s="252">
        <v>5000</v>
      </c>
      <c r="G43" s="252">
        <f>F43*C43</f>
        <v>0</v>
      </c>
      <c r="H43" s="103"/>
      <c r="I43" s="86" t="s">
        <v>303</v>
      </c>
      <c r="J43" s="86"/>
      <c r="K43" s="328"/>
      <c r="L43" s="16" t="s">
        <v>256</v>
      </c>
      <c r="M43" s="199" t="s">
        <v>242</v>
      </c>
      <c r="N43" s="303" t="s">
        <v>245</v>
      </c>
      <c r="O43" s="201" t="s">
        <v>166</v>
      </c>
      <c r="P43" s="202" t="str">
        <f>O16</f>
        <v>Corrogated 75mm GAL</v>
      </c>
      <c r="Q43" s="201" t="s">
        <v>166</v>
      </c>
      <c r="R43" s="203" t="str">
        <f>O19</f>
        <v>Corrogated 90mm GAL</v>
      </c>
      <c r="S43" s="201" t="s">
        <v>166</v>
      </c>
      <c r="T43" s="203" t="str">
        <f>O22</f>
        <v>Corrogated 115mm GAL</v>
      </c>
      <c r="U43" s="201" t="s">
        <v>166</v>
      </c>
      <c r="V43" s="203" t="str">
        <f>O25</f>
        <v>Flat 85mm GAL</v>
      </c>
      <c r="W43" s="204" t="s">
        <v>91</v>
      </c>
      <c r="X43" s="327"/>
      <c r="Y43" s="327"/>
      <c r="Z43" s="327"/>
      <c r="AA43" s="324"/>
      <c r="AB43" s="327"/>
      <c r="AC43" s="16"/>
      <c r="AD43" s="16"/>
      <c r="AE43" s="17"/>
    </row>
    <row r="44" spans="1:113" ht="15" customHeight="1" x14ac:dyDescent="0.2">
      <c r="B44" s="60" t="s">
        <v>126</v>
      </c>
      <c r="C44" s="57"/>
      <c r="D44" s="57">
        <v>0</v>
      </c>
      <c r="E44" s="59">
        <f>C11</f>
        <v>9</v>
      </c>
      <c r="F44" s="15"/>
      <c r="G44" s="390">
        <f>E44*D44</f>
        <v>0</v>
      </c>
      <c r="H44" s="37"/>
      <c r="I44" s="86"/>
      <c r="J44" s="86"/>
      <c r="K44" s="328"/>
      <c r="L44" s="331">
        <v>1.2</v>
      </c>
      <c r="M44" s="295" t="s">
        <v>224</v>
      </c>
      <c r="N44" s="300">
        <v>75</v>
      </c>
      <c r="O44" s="306">
        <f>+(1.2*0.133*1*7.85)</f>
        <v>1.2528599999999999</v>
      </c>
      <c r="P44" s="210">
        <f>CEILING($N$44*O44,2)</f>
        <v>94</v>
      </c>
      <c r="Q44" s="306">
        <f>+(1.2*0.113*1*7.85)</f>
        <v>1.06446</v>
      </c>
      <c r="R44" s="210">
        <f>CEILING($N$44*Q44,2)</f>
        <v>80</v>
      </c>
      <c r="S44" s="306">
        <f>+(1.2*0.133*1*7.85)</f>
        <v>1.2528599999999999</v>
      </c>
      <c r="T44" s="210">
        <f>CEILING($N$44*S44,2)</f>
        <v>94</v>
      </c>
      <c r="U44" s="306">
        <f>+(1.2*0.155*1*7.85)</f>
        <v>1.4601</v>
      </c>
      <c r="V44" s="210">
        <f>CEILING($N$44*U44,2)</f>
        <v>110</v>
      </c>
      <c r="W44" s="211" t="s">
        <v>92</v>
      </c>
      <c r="X44" s="327"/>
      <c r="Y44" s="327"/>
      <c r="Z44" s="327"/>
      <c r="AA44" s="16"/>
      <c r="AB44" s="327"/>
      <c r="AC44" s="16"/>
      <c r="AD44" s="16"/>
      <c r="AE44" s="17"/>
      <c r="DG44" s="75"/>
      <c r="DH44" s="75"/>
      <c r="DI44" s="75"/>
    </row>
    <row r="45" spans="1:113" ht="13.5" thickBot="1" x14ac:dyDescent="0.25">
      <c r="B45" s="424" t="s">
        <v>209</v>
      </c>
      <c r="C45" s="398"/>
      <c r="D45" s="398"/>
      <c r="E45" s="399"/>
      <c r="F45" s="400"/>
      <c r="G45" s="160">
        <f>IF(OR(AND(C9&gt;=8,C9&lt;10),AND(C10&gt;=8,C10&lt;10)),O169)+IF(OR(AND(C9&gt;=10),AND(C10&gt;=10)),O170)</f>
        <v>0</v>
      </c>
      <c r="H45" s="425"/>
      <c r="I45" s="86"/>
      <c r="J45" s="86"/>
      <c r="K45" s="328"/>
      <c r="L45" s="331">
        <v>1</v>
      </c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327"/>
      <c r="Y45" s="327"/>
      <c r="Z45" s="327"/>
      <c r="AA45" s="16"/>
      <c r="AB45" s="327"/>
      <c r="AC45" s="16"/>
      <c r="AD45" s="16"/>
      <c r="AE45" s="17"/>
      <c r="DG45" s="75"/>
      <c r="DH45" s="75"/>
      <c r="DI45" s="75"/>
    </row>
    <row r="46" spans="1:113" ht="13.5" thickBot="1" x14ac:dyDescent="0.25">
      <c r="B46" s="405" t="s">
        <v>63</v>
      </c>
      <c r="C46" s="406"/>
      <c r="D46" s="406"/>
      <c r="E46" s="406"/>
      <c r="F46" s="406"/>
      <c r="G46" s="407">
        <f>SUM(G36:G45)</f>
        <v>50493.75</v>
      </c>
      <c r="H46" s="264">
        <f>CEILING((G46/$C$11),1)</f>
        <v>5611</v>
      </c>
      <c r="I46" s="86"/>
      <c r="J46" s="86"/>
      <c r="K46" s="328"/>
      <c r="L46" s="331">
        <v>0.9</v>
      </c>
      <c r="M46" s="197"/>
      <c r="N46" s="197"/>
      <c r="O46" s="197"/>
      <c r="P46" s="197"/>
      <c r="Q46" s="197"/>
      <c r="R46" s="197"/>
      <c r="S46" s="197"/>
      <c r="T46" s="197"/>
      <c r="U46" s="197"/>
      <c r="V46" s="197"/>
      <c r="W46" s="197"/>
      <c r="X46" s="240"/>
      <c r="Y46" s="240"/>
      <c r="Z46" s="240"/>
      <c r="AA46" s="197"/>
      <c r="AB46" s="327"/>
      <c r="AC46" s="16"/>
      <c r="AD46" s="16"/>
      <c r="AE46" s="17"/>
      <c r="DG46" s="75"/>
      <c r="DH46" s="75"/>
      <c r="DI46" s="75"/>
    </row>
    <row r="47" spans="1:113" ht="12.75" x14ac:dyDescent="0.2">
      <c r="B47" s="426" t="s">
        <v>150</v>
      </c>
      <c r="C47" s="401"/>
      <c r="D47" s="401"/>
      <c r="E47" s="402"/>
      <c r="F47" s="403">
        <v>0.08</v>
      </c>
      <c r="G47" s="404">
        <f>(G46*F47)</f>
        <v>4039.5</v>
      </c>
      <c r="H47" s="169"/>
      <c r="I47" s="86"/>
      <c r="J47" s="86"/>
      <c r="K47" s="328"/>
      <c r="L47" s="331">
        <v>0.8</v>
      </c>
      <c r="M47" s="197"/>
      <c r="N47" s="197"/>
      <c r="O47" s="197"/>
      <c r="P47" s="197"/>
      <c r="Q47" s="197"/>
      <c r="R47" s="197"/>
      <c r="S47" s="197"/>
      <c r="T47" s="197"/>
      <c r="U47" s="197"/>
      <c r="V47" s="197"/>
      <c r="W47" s="197"/>
      <c r="X47" s="240"/>
      <c r="Y47" s="240"/>
      <c r="Z47" s="240"/>
      <c r="AA47" s="197"/>
      <c r="AB47" s="327"/>
      <c r="AC47" s="16"/>
      <c r="AD47" s="16"/>
      <c r="AE47" s="17"/>
      <c r="DG47" s="75"/>
      <c r="DH47" s="75"/>
      <c r="DI47" s="75"/>
    </row>
    <row r="48" spans="1:113" ht="13.5" thickBot="1" x14ac:dyDescent="0.25">
      <c r="B48" s="427" t="s">
        <v>41</v>
      </c>
      <c r="C48" s="400"/>
      <c r="D48" s="95"/>
      <c r="E48" s="95"/>
      <c r="F48" s="408">
        <v>0.02</v>
      </c>
      <c r="G48" s="409">
        <f ca="1">G53*F48</f>
        <v>1731.2142857142856</v>
      </c>
      <c r="H48" s="97"/>
      <c r="I48" s="86"/>
      <c r="J48" s="86"/>
      <c r="K48" s="328"/>
      <c r="L48" s="331">
        <v>0.7</v>
      </c>
      <c r="M48" s="197"/>
      <c r="N48" s="197"/>
      <c r="O48" s="197"/>
      <c r="P48" s="197"/>
      <c r="Q48" s="197"/>
      <c r="R48" s="197"/>
      <c r="S48" s="197"/>
      <c r="T48" s="197"/>
      <c r="U48" s="197"/>
      <c r="V48" s="197"/>
      <c r="W48" s="197"/>
      <c r="X48" s="240"/>
      <c r="Y48" s="240"/>
      <c r="Z48" s="240"/>
      <c r="AA48" s="197"/>
      <c r="AB48" s="327"/>
      <c r="AC48" s="16"/>
      <c r="AD48" s="16"/>
      <c r="AE48" s="17"/>
      <c r="DG48" s="75"/>
      <c r="DH48" s="75"/>
      <c r="DI48" s="75"/>
    </row>
    <row r="49" spans="2:115" thickBot="1" x14ac:dyDescent="0.25">
      <c r="B49" s="412" t="s">
        <v>63</v>
      </c>
      <c r="C49" s="413"/>
      <c r="D49" s="413"/>
      <c r="E49" s="413"/>
      <c r="F49" s="414"/>
      <c r="G49" s="407">
        <f ca="1">SUM(G46:G48)</f>
        <v>56264.464285714283</v>
      </c>
      <c r="H49" s="264">
        <f ca="1">CEILING((G49/$C$11),1)</f>
        <v>6252</v>
      </c>
      <c r="I49" s="86"/>
      <c r="J49" s="86"/>
      <c r="K49" s="328"/>
      <c r="L49" s="16"/>
      <c r="M49" s="197"/>
      <c r="N49" s="197"/>
      <c r="O49" s="197"/>
      <c r="P49" s="711" t="s">
        <v>247</v>
      </c>
      <c r="Q49" s="711"/>
      <c r="R49" s="711"/>
      <c r="S49" s="711"/>
      <c r="T49" s="16"/>
      <c r="U49" s="16"/>
      <c r="V49" s="16"/>
      <c r="W49" s="711" t="s">
        <v>248</v>
      </c>
      <c r="X49" s="711"/>
      <c r="Y49" s="711"/>
      <c r="Z49" s="711"/>
      <c r="AA49" s="711"/>
      <c r="AB49" s="197"/>
      <c r="AC49" s="327"/>
      <c r="AD49" s="16"/>
      <c r="AE49" s="17"/>
      <c r="DG49" s="75"/>
      <c r="DH49" s="75"/>
      <c r="DI49" s="75"/>
    </row>
    <row r="50" spans="2:115" ht="26.25" thickBot="1" x14ac:dyDescent="0.25">
      <c r="B50" s="428" t="s">
        <v>142</v>
      </c>
      <c r="C50" s="415"/>
      <c r="D50" s="350"/>
      <c r="E50" s="350"/>
      <c r="F50" s="416">
        <v>0.15</v>
      </c>
      <c r="G50" s="417">
        <f ca="1">G53*F50</f>
        <v>12984.107142857141</v>
      </c>
      <c r="H50" s="453"/>
      <c r="I50" s="86"/>
      <c r="J50" s="86"/>
      <c r="K50" s="328"/>
      <c r="L50" s="16" t="s">
        <v>257</v>
      </c>
      <c r="M50" s="215" t="s">
        <v>250</v>
      </c>
      <c r="N50" s="312" t="s">
        <v>252</v>
      </c>
      <c r="O50" s="312" t="s">
        <v>253</v>
      </c>
      <c r="P50" s="6" t="s">
        <v>90</v>
      </c>
      <c r="Q50" s="310" t="s">
        <v>167</v>
      </c>
      <c r="R50" s="311" t="s">
        <v>251</v>
      </c>
      <c r="S50" s="6" t="s">
        <v>168</v>
      </c>
      <c r="T50" s="215" t="s">
        <v>250</v>
      </c>
      <c r="U50" s="312" t="s">
        <v>252</v>
      </c>
      <c r="V50" s="312" t="s">
        <v>253</v>
      </c>
      <c r="W50" s="6" t="s">
        <v>90</v>
      </c>
      <c r="X50" s="313" t="s">
        <v>167</v>
      </c>
      <c r="Y50" s="311" t="s">
        <v>251</v>
      </c>
      <c r="Z50" s="314" t="s">
        <v>168</v>
      </c>
      <c r="AA50" s="3" t="s">
        <v>91</v>
      </c>
      <c r="AB50" s="315" t="s">
        <v>212</v>
      </c>
      <c r="AC50" s="324"/>
      <c r="AD50" s="327"/>
      <c r="AE50" s="17"/>
      <c r="DG50" s="75"/>
      <c r="DH50" s="75"/>
      <c r="DI50" s="75"/>
    </row>
    <row r="51" spans="2:115" ht="13.5" thickBot="1" x14ac:dyDescent="0.25">
      <c r="B51" s="412" t="s">
        <v>63</v>
      </c>
      <c r="C51" s="418"/>
      <c r="D51" s="418"/>
      <c r="E51" s="418"/>
      <c r="F51" s="418"/>
      <c r="G51" s="407">
        <f ca="1">SUM(G49:G50)</f>
        <v>69248.57142857142</v>
      </c>
      <c r="H51" s="264">
        <f ca="1">CEILING((G51/$C$11),1)</f>
        <v>7695</v>
      </c>
      <c r="I51" s="86"/>
      <c r="J51" s="86"/>
      <c r="K51" s="328"/>
      <c r="L51" s="324">
        <v>75</v>
      </c>
      <c r="M51" s="3" t="s">
        <v>93</v>
      </c>
      <c r="N51" s="3">
        <v>3.5</v>
      </c>
      <c r="O51" s="3">
        <f>N51*130%</f>
        <v>4.55</v>
      </c>
      <c r="P51" s="209">
        <v>80</v>
      </c>
      <c r="Q51" s="210">
        <f>P51*N51</f>
        <v>280</v>
      </c>
      <c r="R51" s="210">
        <f>+Q51+650</f>
        <v>930</v>
      </c>
      <c r="S51" s="210">
        <f>(O51*P51)+650</f>
        <v>1014</v>
      </c>
      <c r="T51" s="3" t="s">
        <v>93</v>
      </c>
      <c r="U51" s="3">
        <v>3.5</v>
      </c>
      <c r="V51" s="3">
        <f>U51*130%</f>
        <v>4.55</v>
      </c>
      <c r="W51" s="209">
        <v>120</v>
      </c>
      <c r="X51" s="210">
        <f>W51*U51</f>
        <v>420</v>
      </c>
      <c r="Y51" s="210">
        <f>+X51+650</f>
        <v>1070</v>
      </c>
      <c r="Z51" s="210">
        <f>(V51*W51)+650</f>
        <v>1196</v>
      </c>
      <c r="AA51" s="3" t="s">
        <v>92</v>
      </c>
      <c r="AB51" s="315" t="s">
        <v>213</v>
      </c>
      <c r="AC51" s="324"/>
      <c r="AD51" s="327"/>
      <c r="AE51" s="17"/>
      <c r="CH51" s="75"/>
      <c r="CI51" s="75"/>
      <c r="CJ51" s="75"/>
      <c r="CK51" s="75"/>
      <c r="CL51" s="75"/>
      <c r="CM51" s="75"/>
      <c r="CN51" s="75"/>
      <c r="CO51" s="75"/>
      <c r="CP51" s="75"/>
      <c r="CQ51" s="75"/>
      <c r="DG51" s="75"/>
      <c r="DH51" s="75"/>
      <c r="DI51" s="75"/>
    </row>
    <row r="52" spans="2:115" ht="13.5" thickBot="1" x14ac:dyDescent="0.25">
      <c r="B52" s="429" t="s">
        <v>0</v>
      </c>
      <c r="C52" s="350"/>
      <c r="D52" s="350"/>
      <c r="E52" s="350"/>
      <c r="F52" s="350"/>
      <c r="G52" s="419">
        <f>IF(C8=M9,N9)+IF(C8=M10,N10)+IF(C8=M11,N11)</f>
        <v>0.8</v>
      </c>
      <c r="H52" s="453"/>
      <c r="I52" s="86"/>
      <c r="J52" s="86"/>
      <c r="K52" s="328"/>
      <c r="L52" s="324">
        <v>100</v>
      </c>
      <c r="M52" s="3" t="s">
        <v>94</v>
      </c>
      <c r="N52" s="3">
        <v>5.9</v>
      </c>
      <c r="O52" s="3">
        <f>N52*130%</f>
        <v>7.6700000000000008</v>
      </c>
      <c r="P52" s="209">
        <v>80</v>
      </c>
      <c r="Q52" s="210">
        <f>P52*N52</f>
        <v>472</v>
      </c>
      <c r="R52" s="210">
        <f t="shared" ref="R52:R53" si="1">+Q52+650</f>
        <v>1122</v>
      </c>
      <c r="S52" s="210">
        <f>(O52*P52)+650</f>
        <v>1263.5999999999999</v>
      </c>
      <c r="T52" s="3" t="s">
        <v>94</v>
      </c>
      <c r="U52" s="3">
        <v>5.9</v>
      </c>
      <c r="V52" s="3">
        <f>U52*130%</f>
        <v>7.6700000000000008</v>
      </c>
      <c r="W52" s="209">
        <v>120</v>
      </c>
      <c r="X52" s="210">
        <f>W52*U52</f>
        <v>708</v>
      </c>
      <c r="Y52" s="210">
        <f t="shared" ref="Y52:Y53" si="2">+X52+650</f>
        <v>1358</v>
      </c>
      <c r="Z52" s="210">
        <f>(V52*W52)+650</f>
        <v>1570.4</v>
      </c>
      <c r="AA52" s="3" t="s">
        <v>92</v>
      </c>
      <c r="AB52" s="315" t="s">
        <v>214</v>
      </c>
      <c r="AC52" s="324"/>
      <c r="AD52" s="327"/>
      <c r="AE52" s="17"/>
      <c r="CI52" s="75"/>
      <c r="CJ52" s="75"/>
      <c r="CK52" s="75"/>
      <c r="CL52" s="75"/>
      <c r="CM52" s="75"/>
      <c r="CN52" s="75"/>
      <c r="CO52" s="75"/>
      <c r="CP52" s="75"/>
      <c r="CQ52" s="75"/>
      <c r="CR52" s="75"/>
      <c r="CS52" s="75"/>
      <c r="CT52" s="75"/>
      <c r="CU52" s="75"/>
      <c r="CV52" s="75"/>
      <c r="CW52" s="75"/>
      <c r="CX52" s="75"/>
      <c r="CY52" s="75"/>
      <c r="CZ52" s="75"/>
      <c r="DA52" s="75"/>
      <c r="DB52" s="75"/>
      <c r="DC52" s="75"/>
      <c r="DD52" s="75"/>
      <c r="DE52" s="75"/>
      <c r="DF52" s="75"/>
      <c r="DG52" s="75"/>
    </row>
    <row r="53" spans="2:115" ht="13.5" thickBot="1" x14ac:dyDescent="0.25">
      <c r="B53" s="420" t="s">
        <v>147</v>
      </c>
      <c r="C53" s="421"/>
      <c r="D53" s="421"/>
      <c r="E53" s="421"/>
      <c r="F53" s="421"/>
      <c r="G53" s="407">
        <f ca="1">G51/G52</f>
        <v>86560.714285714275</v>
      </c>
      <c r="H53" s="264">
        <f ca="1">CEILING((G53/$C$11),1)</f>
        <v>9618</v>
      </c>
      <c r="I53" s="86"/>
      <c r="J53" s="86"/>
      <c r="K53" s="328"/>
      <c r="L53" s="324">
        <v>150</v>
      </c>
      <c r="M53" s="3" t="s">
        <v>95</v>
      </c>
      <c r="N53" s="3">
        <v>8.3000000000000007</v>
      </c>
      <c r="O53" s="3">
        <f>N53*130%</f>
        <v>10.790000000000001</v>
      </c>
      <c r="P53" s="209">
        <v>80</v>
      </c>
      <c r="Q53" s="210">
        <f>P53*N53</f>
        <v>664</v>
      </c>
      <c r="R53" s="210">
        <f t="shared" si="1"/>
        <v>1314</v>
      </c>
      <c r="S53" s="210">
        <f>(O53*P53)+650</f>
        <v>1513.2</v>
      </c>
      <c r="T53" s="3" t="s">
        <v>95</v>
      </c>
      <c r="U53" s="3">
        <v>8.3000000000000007</v>
      </c>
      <c r="V53" s="3">
        <f>U53*130%</f>
        <v>10.790000000000001</v>
      </c>
      <c r="W53" s="209">
        <v>120</v>
      </c>
      <c r="X53" s="210">
        <f>W53*U53</f>
        <v>996.00000000000011</v>
      </c>
      <c r="Y53" s="210">
        <f t="shared" si="2"/>
        <v>1646</v>
      </c>
      <c r="Z53" s="210">
        <f>(V53*W53)+650</f>
        <v>1944.8000000000002</v>
      </c>
      <c r="AA53" s="3" t="s">
        <v>92</v>
      </c>
      <c r="AB53" s="285" t="s">
        <v>215</v>
      </c>
      <c r="AC53" s="324"/>
      <c r="AD53" s="327"/>
      <c r="AE53" s="17"/>
      <c r="CJ53" s="75"/>
      <c r="CK53" s="75"/>
      <c r="CL53" s="75"/>
      <c r="CM53" s="75"/>
      <c r="CN53" s="75"/>
      <c r="CO53" s="75"/>
      <c r="CP53" s="75"/>
      <c r="CQ53" s="75"/>
      <c r="CR53" s="75"/>
      <c r="CS53" s="75"/>
      <c r="CT53" s="75"/>
      <c r="CU53" s="75"/>
      <c r="CV53" s="75"/>
      <c r="CW53" s="75"/>
      <c r="CX53" s="75"/>
      <c r="CY53" s="75"/>
      <c r="CZ53" s="75"/>
      <c r="DA53" s="75"/>
      <c r="DB53" s="75"/>
      <c r="DC53" s="75"/>
      <c r="DD53" s="75"/>
      <c r="DE53" s="75"/>
      <c r="DF53" s="75"/>
      <c r="DG53" s="75"/>
      <c r="DH53" s="75"/>
    </row>
    <row r="54" spans="2:115" ht="13.5" thickBot="1" x14ac:dyDescent="0.25">
      <c r="H54" s="452"/>
      <c r="I54" s="86"/>
      <c r="J54" s="86"/>
      <c r="K54" s="328"/>
      <c r="L54" s="16"/>
      <c r="M54" s="16"/>
      <c r="N54" s="16"/>
      <c r="O54" s="16"/>
      <c r="P54" s="39"/>
      <c r="Q54" s="16"/>
      <c r="R54" s="16"/>
      <c r="S54" s="16"/>
      <c r="T54" s="16"/>
      <c r="U54" s="16"/>
      <c r="V54" s="16"/>
      <c r="W54" s="16"/>
      <c r="X54" s="16"/>
      <c r="Y54" s="327"/>
      <c r="Z54" s="327"/>
      <c r="AA54" s="324"/>
      <c r="AB54" s="327"/>
      <c r="AC54" s="16"/>
      <c r="AD54" s="16"/>
      <c r="AE54" s="17"/>
      <c r="CG54" s="75"/>
      <c r="CH54" s="75"/>
      <c r="CI54" s="75"/>
      <c r="CJ54" s="75"/>
      <c r="CK54" s="75"/>
      <c r="CL54" s="75"/>
      <c r="CM54" s="75"/>
      <c r="CN54" s="75"/>
      <c r="CO54" s="75"/>
      <c r="CP54" s="75"/>
      <c r="CQ54" s="75"/>
      <c r="CR54" s="75"/>
      <c r="CS54" s="75"/>
      <c r="CT54" s="75"/>
      <c r="CU54" s="75"/>
      <c r="CV54" s="75"/>
      <c r="CW54" s="75"/>
      <c r="CX54" s="75"/>
      <c r="CY54" s="75"/>
      <c r="CZ54" s="75"/>
      <c r="DA54" s="75"/>
      <c r="DB54" s="75"/>
      <c r="DC54" s="75"/>
      <c r="DD54" s="75"/>
      <c r="DE54" s="75"/>
      <c r="DF54" s="75"/>
      <c r="DG54" s="75"/>
      <c r="DH54" s="75"/>
      <c r="DI54" s="75"/>
      <c r="DJ54" s="75"/>
      <c r="DK54" s="75"/>
    </row>
    <row r="55" spans="2:115" ht="14.25" x14ac:dyDescent="0.2">
      <c r="B55" s="430" t="s">
        <v>130</v>
      </c>
      <c r="C55" s="76"/>
      <c r="D55" s="76"/>
      <c r="E55" s="76"/>
      <c r="F55" s="76"/>
      <c r="G55" s="76"/>
      <c r="H55" s="454"/>
      <c r="I55" s="86"/>
      <c r="J55" s="86"/>
      <c r="K55" s="328"/>
      <c r="L55" s="16"/>
      <c r="M55" s="16"/>
      <c r="N55" s="16"/>
      <c r="O55" s="16"/>
      <c r="P55" s="39"/>
      <c r="Q55" s="16"/>
      <c r="R55" s="16"/>
      <c r="S55" s="16"/>
      <c r="T55" s="16"/>
      <c r="U55" s="16"/>
      <c r="V55" s="16"/>
      <c r="W55" s="16"/>
      <c r="X55" s="16"/>
      <c r="Y55" s="327"/>
      <c r="Z55" s="327"/>
      <c r="AA55" s="324"/>
      <c r="AB55" s="327"/>
      <c r="AC55" s="16"/>
      <c r="AD55" s="16"/>
      <c r="AE55" s="17"/>
      <c r="CG55" s="75"/>
      <c r="CH55" s="75"/>
      <c r="CI55" s="75"/>
      <c r="CJ55" s="75"/>
      <c r="CK55" s="75"/>
      <c r="CL55" s="75"/>
      <c r="CM55" s="75"/>
      <c r="CN55" s="75"/>
      <c r="CO55" s="75"/>
      <c r="CP55" s="75"/>
      <c r="CQ55" s="75"/>
      <c r="CR55" s="75"/>
      <c r="CS55" s="75"/>
      <c r="CT55" s="75"/>
      <c r="CU55" s="75"/>
      <c r="CV55" s="75"/>
      <c r="CW55" s="75"/>
      <c r="CX55" s="75"/>
      <c r="CY55" s="75"/>
      <c r="CZ55" s="75"/>
      <c r="DA55" s="75"/>
      <c r="DB55" s="75"/>
      <c r="DC55" s="75"/>
      <c r="DD55" s="75"/>
      <c r="DE55" s="75"/>
      <c r="DF55" s="75"/>
      <c r="DG55" s="75"/>
      <c r="DH55" s="75"/>
    </row>
    <row r="56" spans="2:115" ht="26.25" thickBot="1" x14ac:dyDescent="0.25">
      <c r="B56" s="61"/>
      <c r="C56" s="7" t="s">
        <v>201</v>
      </c>
      <c r="D56" s="186" t="s">
        <v>200</v>
      </c>
      <c r="E56" s="7" t="s">
        <v>198</v>
      </c>
      <c r="F56" s="186" t="s">
        <v>205</v>
      </c>
      <c r="G56" s="7"/>
      <c r="H56" s="431"/>
      <c r="I56" s="86"/>
      <c r="J56" s="86"/>
      <c r="K56" s="328"/>
      <c r="L56" s="16"/>
      <c r="M56" s="16"/>
      <c r="N56" s="16"/>
      <c r="O56" s="16"/>
      <c r="P56" s="39"/>
      <c r="Q56" s="16"/>
      <c r="R56" s="16"/>
      <c r="S56" s="16"/>
      <c r="T56" s="16"/>
      <c r="U56" s="16"/>
      <c r="V56" s="16"/>
      <c r="W56" s="16"/>
      <c r="X56" s="16"/>
      <c r="Y56" s="327"/>
      <c r="Z56" s="327"/>
      <c r="AA56" s="324"/>
      <c r="AB56" s="327"/>
      <c r="AC56" s="16"/>
      <c r="AD56" s="16"/>
      <c r="AE56" s="17"/>
      <c r="CG56" s="75"/>
      <c r="CH56" s="75"/>
      <c r="CI56" s="75"/>
      <c r="CJ56" s="75"/>
      <c r="CK56" s="75"/>
      <c r="CL56" s="75"/>
      <c r="CM56" s="75"/>
      <c r="CN56" s="75"/>
      <c r="CO56" s="75"/>
      <c r="CP56" s="75"/>
      <c r="CQ56" s="75"/>
      <c r="CR56" s="75"/>
      <c r="CS56" s="75"/>
      <c r="CT56" s="75"/>
      <c r="CU56" s="75"/>
      <c r="CV56" s="75"/>
      <c r="CW56" s="75"/>
      <c r="CX56" s="75"/>
      <c r="CY56" s="75"/>
      <c r="CZ56" s="75"/>
      <c r="DA56" s="75"/>
      <c r="DB56" s="75"/>
      <c r="DC56" s="75"/>
      <c r="DD56" s="75"/>
      <c r="DE56" s="75"/>
      <c r="DF56" s="75"/>
      <c r="DG56" s="75"/>
      <c r="DH56" s="75"/>
    </row>
    <row r="57" spans="2:115" ht="12.75" x14ac:dyDescent="0.2">
      <c r="B57" s="56" t="s">
        <v>128</v>
      </c>
      <c r="C57" s="73" t="s">
        <v>203</v>
      </c>
      <c r="D57" s="267">
        <f>+IF(AND(C57=W186,F57&lt;550),L183)+IF(AND(C57=W186,F57&gt;550.01,F57&lt;750),L184)+IF(AND(C57=W186,F57&gt;750.01,F57&lt;950),L185)+IF(AND(C57=W186,F57&gt;950.01,F57&lt;1250),L186)+IF(AND(C57=W186,F57&gt;1250.01,F57&lt;1450),L187)+IF(AND(C57=W186,F57&gt;1450.01,F57&lt;2050),L188)+IF(AND(C57=W186,F57&gt;2050.01,F57&lt;3000),L189)+IF(AND(C57=W187,F57&lt;150),L190)+IF(AND(C57=W187,F57&gt;150.01,F57&lt;230),L191)+IF(AND(C57=W187,F57&gt;230.01,F57&lt;325),L192)+IF(AND(C57=W187,F57&gt;325.01,F57&lt;475),L193)+IF(AND(C57=W187,F57&gt;475.01,F57&lt;725),L194)+IF(AND(C57=W187,F57&gt;725.01,F57&lt;1400),L195)+IF(AND(C57=W187,F57&gt;1401.01,F57&lt;2200),L196)+IF(AND(C57=W188,F57&lt;150),L190)+IF(AND(C57=W188,F57&gt;150.01,F57&lt;230),L191)+IF(AND(C57=W188,F57&gt;230.01,F57&lt;325),L192)+IF(AND(C57=W188,F57&gt;325.01,F57&lt;475),L193)+IF(AND(C57=W188,F57&gt;475.01,F57&lt;725),L194)+IF(AND(C57=W188,F57&gt;725.01,F57&lt;1400),L195)+IF(AND(C57=W188,F57&gt;1401.01,F57&lt;2200),L196)</f>
        <v>600</v>
      </c>
      <c r="E57" s="8" t="s">
        <v>199</v>
      </c>
      <c r="F57" s="252">
        <f>+IF(C57=W186,C12*2)+IF(C57=W187,C12)+IF(C57=W188,C12)</f>
        <v>306</v>
      </c>
      <c r="G57" s="252">
        <f>IF(D57=L183,R183)+IF(D57=L184,R184)+IF(D57=L185,R185)+IF(D57=L186,R186)+IF(D57=L187,R187)+IF(D57=L188,R188)+IF(D57=L189,R189)+IF(D57=L190,R190)+IF(D57=L191,R191)+IF(D57=L192,R192)+IF(D57=L193,R193)+IF(D57=L194,R194)+IF(D57=L195,R195)+IF(D57=L196,R196)</f>
        <v>6773</v>
      </c>
      <c r="H57" s="432"/>
      <c r="I57" s="86"/>
      <c r="J57" s="86"/>
      <c r="K57" s="328"/>
      <c r="L57" s="16" t="s">
        <v>258</v>
      </c>
      <c r="M57" s="199" t="s">
        <v>169</v>
      </c>
      <c r="N57" s="201" t="s">
        <v>89</v>
      </c>
      <c r="O57" s="200" t="s">
        <v>261</v>
      </c>
      <c r="P57" s="216" t="s">
        <v>259</v>
      </c>
      <c r="Q57" s="200" t="s">
        <v>262</v>
      </c>
      <c r="R57" s="217" t="s">
        <v>260</v>
      </c>
      <c r="S57" s="204" t="s">
        <v>91</v>
      </c>
      <c r="T57" s="315" t="s">
        <v>212</v>
      </c>
      <c r="U57" s="16"/>
      <c r="V57" s="16"/>
      <c r="W57" s="16"/>
      <c r="X57" s="16"/>
      <c r="Y57" s="327"/>
      <c r="Z57" s="327"/>
      <c r="AA57" s="327"/>
      <c r="AB57" s="327"/>
      <c r="AC57" s="327"/>
      <c r="AD57" s="16"/>
      <c r="AE57" s="17"/>
      <c r="CE57" s="75"/>
      <c r="CF57" s="75"/>
      <c r="CG57" s="75"/>
      <c r="CH57" s="75"/>
      <c r="CI57" s="75"/>
      <c r="CJ57" s="75"/>
      <c r="CK57" s="75"/>
      <c r="CL57" s="75"/>
      <c r="CM57" s="75"/>
      <c r="CN57" s="75"/>
      <c r="CO57" s="75"/>
      <c r="CP57" s="75"/>
      <c r="CQ57" s="75"/>
      <c r="CR57" s="75"/>
      <c r="CS57" s="75"/>
      <c r="CT57" s="75"/>
      <c r="CU57" s="75"/>
      <c r="CV57" s="75"/>
      <c r="CW57" s="75"/>
      <c r="CX57" s="75"/>
      <c r="CY57" s="75"/>
      <c r="CZ57" s="75"/>
      <c r="DA57" s="75"/>
      <c r="DB57" s="75"/>
      <c r="DC57" s="75"/>
      <c r="DD57" s="75"/>
      <c r="DE57" s="75"/>
      <c r="DF57" s="75"/>
    </row>
    <row r="58" spans="2:115" ht="13.5" thickBot="1" x14ac:dyDescent="0.25">
      <c r="B58" s="427" t="s">
        <v>41</v>
      </c>
      <c r="C58" s="400"/>
      <c r="D58" s="95"/>
      <c r="E58" s="95"/>
      <c r="F58" s="408">
        <v>0.02</v>
      </c>
      <c r="G58" s="409">
        <f ca="1">G64*F58</f>
        <v>752.6</v>
      </c>
      <c r="H58" s="435"/>
      <c r="I58" s="86"/>
      <c r="J58" s="86"/>
      <c r="K58" s="328"/>
      <c r="L58" s="16"/>
      <c r="M58" s="61" t="s">
        <v>96</v>
      </c>
      <c r="N58" s="3">
        <v>6.3120000000000003</v>
      </c>
      <c r="O58" s="209">
        <v>80</v>
      </c>
      <c r="P58" s="210">
        <f>CEILING(O58*N58,25)</f>
        <v>525</v>
      </c>
      <c r="Q58" s="209">
        <v>85</v>
      </c>
      <c r="R58" s="210">
        <f>Q58*N58</f>
        <v>536.52</v>
      </c>
      <c r="S58" s="103" t="s">
        <v>92</v>
      </c>
      <c r="T58" s="315" t="s">
        <v>213</v>
      </c>
      <c r="U58" s="16"/>
      <c r="V58" s="16"/>
      <c r="W58" s="16"/>
      <c r="X58" s="16"/>
      <c r="Y58" s="327"/>
      <c r="Z58" s="327"/>
      <c r="AA58" s="327"/>
      <c r="AB58" s="327"/>
      <c r="AC58" s="327"/>
      <c r="AD58" s="16"/>
      <c r="AE58" s="17"/>
      <c r="CE58" s="75"/>
      <c r="CF58" s="75"/>
      <c r="CG58" s="75"/>
      <c r="CH58" s="75"/>
      <c r="CI58" s="75"/>
      <c r="CJ58" s="75"/>
      <c r="CK58" s="75"/>
      <c r="CL58" s="75"/>
      <c r="CM58" s="75"/>
      <c r="CN58" s="75"/>
      <c r="CO58" s="75"/>
      <c r="CP58" s="75"/>
      <c r="CQ58" s="75"/>
      <c r="CR58" s="75"/>
      <c r="CS58" s="75"/>
      <c r="CT58" s="75"/>
      <c r="CU58" s="75"/>
      <c r="CV58" s="75"/>
      <c r="CW58" s="75"/>
      <c r="CX58" s="75"/>
      <c r="CY58" s="75"/>
      <c r="CZ58" s="75"/>
      <c r="DA58" s="75"/>
      <c r="DB58" s="75"/>
      <c r="DC58" s="75"/>
      <c r="DD58" s="75"/>
      <c r="DE58" s="75"/>
      <c r="DF58" s="75"/>
    </row>
    <row r="59" spans="2:115" ht="13.5" thickBot="1" x14ac:dyDescent="0.25">
      <c r="B59" s="412" t="s">
        <v>63</v>
      </c>
      <c r="C59" s="437"/>
      <c r="D59" s="418"/>
      <c r="E59" s="418"/>
      <c r="F59" s="418"/>
      <c r="G59" s="407">
        <f ca="1">CEILING((SUM(G57:G58)),1)</f>
        <v>7526</v>
      </c>
      <c r="H59" s="407">
        <f ca="1">CEILING((G59/$C$11),1)</f>
        <v>837</v>
      </c>
      <c r="I59" s="86"/>
      <c r="J59" s="86"/>
      <c r="K59" s="328"/>
      <c r="L59" s="16"/>
      <c r="M59" s="61" t="s">
        <v>97</v>
      </c>
      <c r="N59" s="3">
        <v>7.2</v>
      </c>
      <c r="O59" s="209">
        <v>80</v>
      </c>
      <c r="P59" s="210">
        <f>CEILING(O59*N59,25)</f>
        <v>600</v>
      </c>
      <c r="Q59" s="209">
        <v>85</v>
      </c>
      <c r="R59" s="210">
        <f>Q59*N59</f>
        <v>612</v>
      </c>
      <c r="S59" s="103" t="s">
        <v>92</v>
      </c>
      <c r="T59" s="315" t="s">
        <v>214</v>
      </c>
      <c r="U59" s="16"/>
      <c r="V59" s="16"/>
      <c r="W59" s="16"/>
      <c r="X59" s="16"/>
      <c r="Y59" s="327"/>
      <c r="Z59" s="327"/>
      <c r="AA59" s="327"/>
      <c r="AB59" s="327"/>
      <c r="AC59" s="327"/>
      <c r="AD59" s="16"/>
      <c r="AE59" s="17"/>
      <c r="CE59" s="75"/>
      <c r="CF59" s="75"/>
      <c r="CG59" s="75"/>
      <c r="CH59" s="75"/>
      <c r="CI59" s="75"/>
      <c r="CR59" s="75"/>
      <c r="CS59" s="75"/>
      <c r="CT59" s="75"/>
      <c r="CU59" s="75"/>
      <c r="CV59" s="75"/>
      <c r="CW59" s="75"/>
      <c r="CX59" s="75"/>
      <c r="CY59" s="75"/>
      <c r="CZ59" s="75"/>
      <c r="DA59" s="75"/>
      <c r="DB59" s="75"/>
      <c r="DC59" s="75"/>
      <c r="DD59" s="75"/>
      <c r="DE59" s="75"/>
      <c r="DF59" s="75"/>
    </row>
    <row r="60" spans="2:115" ht="13.5" customHeight="1" thickBot="1" x14ac:dyDescent="0.25">
      <c r="B60" s="135" t="s">
        <v>142</v>
      </c>
      <c r="C60" s="410"/>
      <c r="D60" s="410"/>
      <c r="E60" s="410"/>
      <c r="F60" s="411">
        <v>0.2</v>
      </c>
      <c r="G60" s="404">
        <f ca="1">G64*F60</f>
        <v>7526</v>
      </c>
      <c r="H60" s="436"/>
      <c r="J60" s="86"/>
      <c r="K60" s="323"/>
      <c r="L60" s="197"/>
      <c r="M60" s="218" t="s">
        <v>98</v>
      </c>
      <c r="N60" s="219">
        <v>8.1999999999999993</v>
      </c>
      <c r="O60" s="209">
        <v>80</v>
      </c>
      <c r="P60" s="210">
        <f>CEILING(O60*N60,25)</f>
        <v>675</v>
      </c>
      <c r="Q60" s="209">
        <v>85</v>
      </c>
      <c r="R60" s="210">
        <f>Q60*N60</f>
        <v>696.99999999999989</v>
      </c>
      <c r="S60" s="220" t="s">
        <v>92</v>
      </c>
      <c r="T60" s="285" t="s">
        <v>215</v>
      </c>
      <c r="U60" s="197"/>
      <c r="V60" s="197"/>
      <c r="W60" s="16"/>
      <c r="X60" s="197"/>
      <c r="Y60" s="327"/>
      <c r="Z60" s="327"/>
      <c r="AA60" s="327"/>
      <c r="AB60" s="327"/>
      <c r="AC60" s="327"/>
      <c r="AD60" s="16"/>
      <c r="AE60" s="17"/>
      <c r="CF60" s="75"/>
      <c r="CG60" s="75"/>
      <c r="CH60" s="75"/>
      <c r="CI60" s="75"/>
      <c r="CJ60" s="75"/>
    </row>
    <row r="61" spans="2:115" ht="12.75" customHeight="1" x14ac:dyDescent="0.2">
      <c r="B61" s="36" t="s">
        <v>121</v>
      </c>
      <c r="C61" s="57"/>
      <c r="D61" s="3"/>
      <c r="E61" s="3"/>
      <c r="F61" s="79">
        <v>0</v>
      </c>
      <c r="G61" s="252">
        <f>F61</f>
        <v>0</v>
      </c>
      <c r="H61" s="431"/>
      <c r="J61" s="16"/>
      <c r="K61" s="323"/>
      <c r="L61" s="197"/>
      <c r="M61" s="197"/>
      <c r="N61" s="197"/>
      <c r="O61" s="197"/>
      <c r="P61" s="197"/>
      <c r="Q61" s="197"/>
      <c r="R61" s="197"/>
      <c r="S61" s="197"/>
      <c r="T61" s="197"/>
      <c r="U61" s="197"/>
      <c r="V61" s="197"/>
      <c r="W61" s="197"/>
      <c r="X61" s="327"/>
      <c r="Y61" s="240"/>
      <c r="Z61" s="240"/>
      <c r="AA61" s="240"/>
      <c r="AB61" s="327"/>
      <c r="AC61" s="16"/>
      <c r="AD61" s="16"/>
      <c r="AE61" s="17"/>
      <c r="CF61" s="75"/>
      <c r="CG61" s="75"/>
      <c r="CH61" s="75"/>
      <c r="CI61" s="75"/>
      <c r="CJ61" s="75"/>
      <c r="CK61" s="75"/>
      <c r="CL61" s="75"/>
      <c r="CM61" s="75"/>
      <c r="CN61" s="75"/>
      <c r="CO61" s="75"/>
      <c r="CP61" s="75"/>
      <c r="CQ61" s="75"/>
      <c r="CR61" s="75"/>
    </row>
    <row r="62" spans="2:115" ht="12.75" customHeight="1" thickBot="1" x14ac:dyDescent="0.25">
      <c r="B62" s="62" t="s">
        <v>144</v>
      </c>
      <c r="C62" s="3"/>
      <c r="D62" s="3"/>
      <c r="E62" s="3"/>
      <c r="F62" s="3"/>
      <c r="G62" s="391">
        <f ca="1">SUM(G59:G61)</f>
        <v>15052</v>
      </c>
      <c r="H62" s="432"/>
      <c r="J62" s="16"/>
      <c r="K62" s="323"/>
      <c r="L62" s="197"/>
      <c r="M62" s="197"/>
      <c r="N62" s="197"/>
      <c r="O62" s="197"/>
      <c r="P62" s="197"/>
      <c r="Q62" s="197">
        <f>IF(AND(C14=T59,C9&lt;=5),R58)+IF(AND(C14=T59,C9&gt;5,C9&lt;=6),R59)+IF(AND(C14=T59,C9&gt;6),R60)</f>
        <v>0</v>
      </c>
      <c r="R62" s="197"/>
      <c r="S62" s="197"/>
      <c r="T62" s="197"/>
      <c r="U62" s="197"/>
      <c r="V62" s="197"/>
      <c r="W62" s="197"/>
      <c r="X62" s="327"/>
      <c r="Y62" s="240"/>
      <c r="Z62" s="240"/>
      <c r="AA62" s="240"/>
      <c r="AB62" s="327"/>
      <c r="AC62" s="16"/>
      <c r="AD62" s="16"/>
      <c r="AE62" s="17"/>
      <c r="CF62" s="75"/>
      <c r="CG62" s="75"/>
      <c r="CH62" s="75"/>
      <c r="CI62" s="75"/>
      <c r="CJ62" s="75"/>
      <c r="CS62" s="75"/>
      <c r="CT62" s="75"/>
      <c r="CU62" s="75"/>
      <c r="CV62" s="75"/>
      <c r="CW62" s="75"/>
      <c r="CX62" s="75"/>
      <c r="CY62" s="75"/>
      <c r="CZ62" s="75"/>
      <c r="DA62" s="75"/>
      <c r="DB62" s="75"/>
      <c r="DC62" s="75"/>
      <c r="DD62" s="75"/>
      <c r="DE62" s="75"/>
      <c r="DF62" s="75"/>
      <c r="DG62" s="75"/>
    </row>
    <row r="63" spans="2:115" ht="13.5" thickBot="1" x14ac:dyDescent="0.25">
      <c r="B63" s="147" t="s">
        <v>0</v>
      </c>
      <c r="C63" s="148"/>
      <c r="D63" s="95"/>
      <c r="E63" s="95"/>
      <c r="F63" s="148"/>
      <c r="G63" s="149">
        <f>IF(AND(C8=M9,C57=O8),O9)+IF(AND(C8=M10,C57=O8),O10)+IF(AND(C8=M11,C57=O8),O11)+IF(AND(C8=M9,C57=P8),P9)+IF(AND(C8=M10,C57=P8),P10)+IF(AND(C8=M11,C57=P8),P11)+IF(AND(C8=M9,C57=Q8),Q9)+IF(AND(C8=M10,C57=Q8),Q10)+IF(AND(C8=M11,C57=Q8),Q11)+IF(AND(C8=M9,C57=R8),R9)+IF(AND(C8=M10,C57=R8),R10)+IF(AND(C8=M11,C57=R8),R11)</f>
        <v>0.4</v>
      </c>
      <c r="H63" s="435"/>
      <c r="J63" s="16"/>
      <c r="K63" s="323"/>
      <c r="L63" s="197" t="s">
        <v>263</v>
      </c>
      <c r="M63" s="199" t="s">
        <v>35</v>
      </c>
      <c r="N63" s="460"/>
      <c r="O63" s="460"/>
      <c r="P63" s="460"/>
      <c r="Q63" s="461"/>
      <c r="R63" s="197"/>
      <c r="S63" s="197"/>
      <c r="T63" s="197"/>
      <c r="U63" s="197"/>
      <c r="V63" s="197"/>
      <c r="W63" s="197"/>
      <c r="X63" s="327"/>
      <c r="Y63" s="240"/>
      <c r="Z63" s="240"/>
      <c r="AA63" s="240"/>
      <c r="AB63" s="327"/>
      <c r="AC63" s="16"/>
      <c r="AD63" s="16"/>
      <c r="AE63" s="17"/>
      <c r="CF63" s="75"/>
      <c r="CG63" s="75"/>
      <c r="CH63" s="75"/>
      <c r="CI63" s="75"/>
      <c r="CJ63" s="75"/>
    </row>
    <row r="64" spans="2:115" ht="13.5" thickBot="1" x14ac:dyDescent="0.25">
      <c r="B64" s="412" t="s">
        <v>148</v>
      </c>
      <c r="C64" s="441"/>
      <c r="D64" s="441"/>
      <c r="E64" s="441"/>
      <c r="F64" s="441"/>
      <c r="G64" s="407">
        <f ca="1">G62/G63</f>
        <v>37630</v>
      </c>
      <c r="H64" s="407">
        <f ca="1">CEILING((G64/$C$11),1)</f>
        <v>4182</v>
      </c>
      <c r="J64" s="16"/>
      <c r="K64" s="323"/>
      <c r="L64" s="197"/>
      <c r="M64" s="462">
        <v>4</v>
      </c>
      <c r="N64" s="459">
        <v>875</v>
      </c>
      <c r="O64" s="459">
        <f>N64*10%</f>
        <v>87.5</v>
      </c>
      <c r="P64" s="370">
        <f>N64+O64</f>
        <v>962.5</v>
      </c>
      <c r="Q64" s="463" t="s">
        <v>75</v>
      </c>
      <c r="R64" s="197"/>
      <c r="S64" s="197"/>
      <c r="T64" s="197"/>
      <c r="U64" s="197"/>
      <c r="V64" s="197"/>
      <c r="W64" s="197"/>
      <c r="X64" s="327"/>
      <c r="Y64" s="240"/>
      <c r="Z64" s="240"/>
      <c r="AA64" s="240"/>
      <c r="AB64" s="327"/>
      <c r="AC64" s="16"/>
      <c r="AD64" s="16"/>
      <c r="AE64" s="17"/>
      <c r="CE64" s="75"/>
      <c r="CF64" s="75"/>
      <c r="CG64" s="75"/>
      <c r="CH64" s="75"/>
      <c r="CI64" s="75"/>
    </row>
    <row r="65" spans="2:87" ht="12.75" x14ac:dyDescent="0.2">
      <c r="B65" s="135" t="s">
        <v>127</v>
      </c>
      <c r="C65" s="438"/>
      <c r="D65" s="438"/>
      <c r="E65" s="438"/>
      <c r="F65" s="438"/>
      <c r="G65" s="439">
        <f>IF(AND(C57=W186,E57=W184),18000)+IF(AND(C57=W187,E57=W184),34000)+IF(AND(C57=W188,E57=W184),34000)</f>
        <v>0</v>
      </c>
      <c r="H65" s="440"/>
      <c r="J65" s="16"/>
      <c r="K65" s="323"/>
      <c r="L65" s="197"/>
      <c r="M65" s="462">
        <v>6</v>
      </c>
      <c r="N65" s="459">
        <v>1200</v>
      </c>
      <c r="O65" s="459">
        <f>N65*10%</f>
        <v>120</v>
      </c>
      <c r="P65" s="370">
        <f>N65+O65</f>
        <v>1320</v>
      </c>
      <c r="Q65" s="463" t="s">
        <v>75</v>
      </c>
      <c r="R65" s="197"/>
      <c r="S65" s="197"/>
      <c r="T65" s="197"/>
      <c r="U65" s="197"/>
      <c r="V65" s="197"/>
      <c r="W65" s="197"/>
      <c r="X65" s="327"/>
      <c r="Y65" s="240"/>
      <c r="Z65" s="240"/>
      <c r="AA65" s="240"/>
      <c r="AB65" s="327"/>
      <c r="AC65" s="16"/>
      <c r="AD65" s="16"/>
      <c r="AE65" s="17"/>
      <c r="CE65" s="75"/>
      <c r="CF65" s="75"/>
      <c r="CG65" s="75"/>
      <c r="CH65" s="75"/>
      <c r="CI65" s="75"/>
    </row>
    <row r="66" spans="2:87" ht="13.5" thickBot="1" x14ac:dyDescent="0.25">
      <c r="B66" s="427" t="s">
        <v>208</v>
      </c>
      <c r="C66" s="442"/>
      <c r="D66" s="442"/>
      <c r="E66" s="442"/>
      <c r="F66" s="442"/>
      <c r="G66" s="443">
        <f>IF(C57=W188,20000,0)</f>
        <v>0</v>
      </c>
      <c r="H66" s="444"/>
      <c r="J66" s="16"/>
      <c r="K66" s="323"/>
      <c r="L66" s="197"/>
      <c r="M66" s="464">
        <v>8</v>
      </c>
      <c r="N66" s="3">
        <v>1350</v>
      </c>
      <c r="O66" s="3">
        <f>N66*10%</f>
        <v>135</v>
      </c>
      <c r="P66" s="370">
        <f>N66+O66</f>
        <v>1485</v>
      </c>
      <c r="Q66" s="103" t="s">
        <v>75</v>
      </c>
      <c r="R66" s="197"/>
      <c r="S66" s="197"/>
      <c r="T66" s="197"/>
      <c r="U66" s="197"/>
      <c r="V66" s="197"/>
      <c r="W66" s="197"/>
      <c r="X66" s="327"/>
      <c r="Y66" s="240"/>
      <c r="Z66" s="240"/>
      <c r="AA66" s="240"/>
      <c r="AB66" s="327"/>
      <c r="AC66" s="16"/>
      <c r="AD66" s="16"/>
      <c r="AE66" s="17"/>
      <c r="CE66" s="75"/>
      <c r="CF66" s="75"/>
      <c r="CG66" s="75"/>
      <c r="CH66" s="75"/>
      <c r="CI66" s="75"/>
    </row>
    <row r="67" spans="2:87" ht="13.5" thickBot="1" x14ac:dyDescent="0.25">
      <c r="B67" s="412" t="s">
        <v>148</v>
      </c>
      <c r="C67" s="441"/>
      <c r="D67" s="441"/>
      <c r="E67" s="441"/>
      <c r="F67" s="441"/>
      <c r="G67" s="407">
        <f ca="1">+SUM(G64:G66)</f>
        <v>37630</v>
      </c>
      <c r="H67" s="407">
        <f ca="1">CEILING((G67/$C$11),1)</f>
        <v>4182</v>
      </c>
      <c r="J67" s="16"/>
      <c r="K67" s="323"/>
      <c r="L67" s="197"/>
      <c r="M67" s="464">
        <v>10</v>
      </c>
      <c r="N67" s="3">
        <v>2200</v>
      </c>
      <c r="O67" s="3">
        <f>N67*10%</f>
        <v>220</v>
      </c>
      <c r="P67" s="370">
        <f>SUM(N67:O67)</f>
        <v>2420</v>
      </c>
      <c r="Q67" s="103" t="s">
        <v>75</v>
      </c>
      <c r="R67" s="197"/>
      <c r="S67" s="197"/>
      <c r="T67" s="197"/>
      <c r="U67" s="197"/>
      <c r="V67" s="197"/>
      <c r="W67" s="197"/>
      <c r="X67" s="327"/>
      <c r="Y67" s="240"/>
      <c r="Z67" s="240"/>
      <c r="AA67" s="240"/>
      <c r="AB67" s="327"/>
      <c r="AC67" s="16"/>
      <c r="AD67" s="16"/>
      <c r="AE67" s="17"/>
      <c r="CE67" s="75"/>
      <c r="CF67" s="75"/>
      <c r="CG67" s="75"/>
      <c r="CH67" s="75"/>
      <c r="CI67" s="75"/>
    </row>
    <row r="68" spans="2:87" ht="13.5" thickBot="1" x14ac:dyDescent="0.25">
      <c r="J68" s="16"/>
      <c r="K68" s="323"/>
      <c r="L68" s="197"/>
      <c r="M68" s="465">
        <v>12</v>
      </c>
      <c r="N68" s="187">
        <v>2700</v>
      </c>
      <c r="O68" s="187">
        <f>N68*10%</f>
        <v>270</v>
      </c>
      <c r="P68" s="466">
        <f>SUM(N68:O68)</f>
        <v>2970</v>
      </c>
      <c r="Q68" s="235" t="s">
        <v>75</v>
      </c>
      <c r="R68" s="197"/>
      <c r="S68" s="197"/>
      <c r="T68" s="197"/>
      <c r="U68" s="197"/>
      <c r="V68" s="197"/>
      <c r="W68" s="197"/>
      <c r="X68" s="327"/>
      <c r="Y68" s="240"/>
      <c r="Z68" s="240"/>
      <c r="AA68" s="240"/>
      <c r="AB68" s="327"/>
      <c r="AC68" s="16"/>
      <c r="AD68" s="16"/>
      <c r="AE68" s="17"/>
      <c r="CE68" s="75"/>
      <c r="CF68" s="75"/>
      <c r="CG68" s="75"/>
    </row>
    <row r="69" spans="2:87" ht="14.25" x14ac:dyDescent="0.2">
      <c r="B69" s="445" t="s">
        <v>131</v>
      </c>
      <c r="C69" s="446" t="s">
        <v>91</v>
      </c>
      <c r="D69" s="446" t="s">
        <v>139</v>
      </c>
      <c r="E69" s="446" t="s">
        <v>31</v>
      </c>
      <c r="F69" s="446" t="s">
        <v>10</v>
      </c>
      <c r="G69" s="446" t="s">
        <v>42</v>
      </c>
      <c r="H69" s="447">
        <f>SUM(G70+G71+G72+G73+G74+G75+G76+G77+G78)</f>
        <v>0</v>
      </c>
      <c r="J69" s="16"/>
      <c r="K69" s="323"/>
      <c r="L69" s="197"/>
      <c r="M69" s="197"/>
      <c r="N69" s="197"/>
      <c r="O69" s="197"/>
      <c r="P69" s="197"/>
      <c r="Q69" s="197"/>
      <c r="R69" s="197"/>
      <c r="S69" s="197"/>
      <c r="T69" s="197"/>
      <c r="U69" s="197"/>
      <c r="V69" s="197"/>
      <c r="W69" s="197"/>
      <c r="X69" s="327"/>
      <c r="Y69" s="240"/>
      <c r="Z69" s="240"/>
      <c r="AA69" s="240"/>
      <c r="AB69" s="327"/>
      <c r="AC69" s="16"/>
      <c r="AD69" s="16"/>
      <c r="AE69" s="17"/>
      <c r="CE69" s="75"/>
      <c r="CF69" s="75"/>
      <c r="CG69" s="75"/>
    </row>
    <row r="70" spans="2:87" ht="13.5" thickBot="1" x14ac:dyDescent="0.25">
      <c r="B70" s="80" t="s">
        <v>132</v>
      </c>
      <c r="C70" s="6" t="s">
        <v>13</v>
      </c>
      <c r="D70" s="252">
        <v>3200</v>
      </c>
      <c r="E70" s="8" t="s">
        <v>23</v>
      </c>
      <c r="F70" s="57">
        <v>1</v>
      </c>
      <c r="G70" s="252">
        <f>IF(E70=P13,F70*D70,0)</f>
        <v>0</v>
      </c>
      <c r="H70" s="448"/>
      <c r="J70" s="16"/>
      <c r="K70" s="323"/>
      <c r="L70" s="197"/>
      <c r="M70" s="197"/>
      <c r="N70" s="197"/>
      <c r="O70" s="197"/>
      <c r="P70" s="197"/>
      <c r="Q70" s="197"/>
      <c r="R70" s="197"/>
      <c r="S70" s="197"/>
      <c r="T70" s="197"/>
      <c r="U70" s="197"/>
      <c r="V70" s="197"/>
      <c r="W70" s="197"/>
      <c r="X70" s="327"/>
      <c r="Y70" s="240"/>
      <c r="Z70" s="240"/>
      <c r="AA70" s="240"/>
      <c r="AB70" s="327"/>
      <c r="AC70" s="16"/>
      <c r="AD70" s="16"/>
      <c r="AE70" s="17"/>
      <c r="CE70" s="75"/>
      <c r="CF70" s="75"/>
      <c r="CG70" s="75"/>
      <c r="CH70" s="75"/>
      <c r="CI70" s="75"/>
    </row>
    <row r="71" spans="2:87" ht="12.75" x14ac:dyDescent="0.2">
      <c r="B71" s="80" t="s">
        <v>133</v>
      </c>
      <c r="C71" s="6" t="s">
        <v>13</v>
      </c>
      <c r="D71" s="252">
        <v>6500</v>
      </c>
      <c r="E71" s="8" t="s">
        <v>23</v>
      </c>
      <c r="F71" s="57">
        <v>1</v>
      </c>
      <c r="G71" s="252">
        <f>IF(E71=P13,F71*D71,0)</f>
        <v>0</v>
      </c>
      <c r="H71" s="448"/>
      <c r="J71" s="16"/>
      <c r="K71" s="323"/>
      <c r="L71" s="197" t="s">
        <v>264</v>
      </c>
      <c r="M71" s="199" t="s">
        <v>72</v>
      </c>
      <c r="N71" s="469">
        <v>12</v>
      </c>
      <c r="O71" s="469" t="s">
        <v>44</v>
      </c>
      <c r="P71" s="470">
        <v>2000</v>
      </c>
      <c r="Q71" s="471" t="s">
        <v>45</v>
      </c>
      <c r="R71" s="197"/>
      <c r="S71" s="197"/>
      <c r="T71" s="197"/>
      <c r="U71" s="197"/>
      <c r="V71" s="197"/>
      <c r="W71" s="197"/>
      <c r="X71" s="327"/>
      <c r="Y71" s="240"/>
      <c r="Z71" s="240"/>
      <c r="AA71" s="240"/>
      <c r="AB71" s="327"/>
      <c r="AC71" s="16"/>
      <c r="AD71" s="16"/>
      <c r="AE71" s="17"/>
      <c r="BS71" s="75"/>
      <c r="BT71" s="75"/>
      <c r="BU71" s="75"/>
      <c r="BV71" s="75"/>
      <c r="BW71" s="75"/>
      <c r="BX71" s="75"/>
      <c r="BY71" s="75"/>
      <c r="BZ71" s="75"/>
      <c r="CA71" s="75"/>
      <c r="CB71" s="75"/>
      <c r="CC71" s="75"/>
      <c r="CD71" s="75"/>
    </row>
    <row r="72" spans="2:87" ht="12.75" x14ac:dyDescent="0.2">
      <c r="B72" s="80" t="s">
        <v>134</v>
      </c>
      <c r="C72" s="6" t="s">
        <v>13</v>
      </c>
      <c r="D72" s="252">
        <v>2500</v>
      </c>
      <c r="E72" s="8" t="s">
        <v>23</v>
      </c>
      <c r="F72" s="57">
        <v>1</v>
      </c>
      <c r="G72" s="252">
        <f>IF(E72=P13,D72*F72,0)</f>
        <v>0</v>
      </c>
      <c r="H72" s="448"/>
      <c r="J72" s="16"/>
      <c r="K72" s="323"/>
      <c r="L72" s="197"/>
      <c r="M72" s="728" t="s">
        <v>73</v>
      </c>
      <c r="N72" s="467">
        <v>24</v>
      </c>
      <c r="O72" s="467" t="s">
        <v>44</v>
      </c>
      <c r="P72" s="223">
        <v>2500</v>
      </c>
      <c r="Q72" s="472" t="s">
        <v>45</v>
      </c>
      <c r="R72" s="197"/>
      <c r="S72" s="197"/>
      <c r="T72" s="197"/>
      <c r="U72" s="197"/>
      <c r="V72" s="197"/>
      <c r="W72" s="197"/>
      <c r="X72" s="327"/>
      <c r="Y72" s="240"/>
      <c r="Z72" s="240"/>
      <c r="AA72" s="240"/>
      <c r="AB72" s="327"/>
      <c r="AC72" s="16"/>
      <c r="AD72" s="16"/>
      <c r="AE72" s="17"/>
      <c r="BS72" s="75"/>
      <c r="BT72" s="75"/>
      <c r="BU72" s="75"/>
      <c r="BV72" s="75"/>
      <c r="BW72" s="75"/>
      <c r="BX72" s="75"/>
      <c r="BY72" s="75"/>
      <c r="BZ72" s="75"/>
      <c r="CA72" s="75"/>
      <c r="CB72" s="75"/>
      <c r="CC72" s="75"/>
      <c r="CD72" s="75"/>
    </row>
    <row r="73" spans="2:87" ht="15.75" customHeight="1" x14ac:dyDescent="0.2">
      <c r="B73" s="80" t="s">
        <v>135</v>
      </c>
      <c r="C73" s="6" t="s">
        <v>13</v>
      </c>
      <c r="D73" s="252">
        <v>4000</v>
      </c>
      <c r="E73" s="8" t="s">
        <v>23</v>
      </c>
      <c r="F73" s="57">
        <v>2</v>
      </c>
      <c r="G73" s="252">
        <f>IF(E73=P13,F73*D73,0)</f>
        <v>0</v>
      </c>
      <c r="H73" s="448"/>
      <c r="J73" s="16"/>
      <c r="K73" s="323"/>
      <c r="L73" s="197"/>
      <c r="M73" s="728"/>
      <c r="N73" s="467">
        <v>36</v>
      </c>
      <c r="O73" s="467" t="s">
        <v>44</v>
      </c>
      <c r="P73" s="223">
        <v>3000</v>
      </c>
      <c r="Q73" s="472" t="s">
        <v>45</v>
      </c>
      <c r="R73" s="197"/>
      <c r="S73" s="197"/>
      <c r="T73" s="197"/>
      <c r="U73" s="197"/>
      <c r="V73" s="197"/>
      <c r="W73" s="197"/>
      <c r="X73" s="327"/>
      <c r="Y73" s="240"/>
      <c r="Z73" s="240"/>
      <c r="AA73" s="240"/>
      <c r="AB73" s="327"/>
      <c r="AC73" s="16"/>
      <c r="AD73" s="16"/>
      <c r="AE73" s="17"/>
      <c r="BS73" s="75"/>
      <c r="BT73" s="75"/>
      <c r="BU73" s="75"/>
      <c r="BV73" s="75"/>
      <c r="BW73" s="75"/>
      <c r="BX73" s="75"/>
      <c r="BY73" s="75"/>
      <c r="BZ73" s="75"/>
      <c r="CA73" s="75"/>
      <c r="CB73" s="75"/>
      <c r="CC73" s="75"/>
      <c r="CD73" s="75"/>
      <c r="CE73" s="75"/>
      <c r="CF73" s="75"/>
      <c r="CG73" s="75"/>
    </row>
    <row r="74" spans="2:87" ht="15.75" customHeight="1" x14ac:dyDescent="0.2">
      <c r="B74" s="80" t="s">
        <v>136</v>
      </c>
      <c r="C74" s="6" t="s">
        <v>13</v>
      </c>
      <c r="D74" s="252">
        <v>8500</v>
      </c>
      <c r="E74" s="8" t="s">
        <v>23</v>
      </c>
      <c r="F74" s="57">
        <v>1</v>
      </c>
      <c r="G74" s="252">
        <f>IF(E74=P13,F74*D74,0)</f>
        <v>0</v>
      </c>
      <c r="H74" s="448"/>
      <c r="J74" s="16"/>
      <c r="K74" s="323"/>
      <c r="L74" s="197"/>
      <c r="M74" s="473"/>
      <c r="N74" s="468">
        <v>45</v>
      </c>
      <c r="O74" s="467" t="s">
        <v>44</v>
      </c>
      <c r="P74" s="223">
        <v>4000</v>
      </c>
      <c r="Q74" s="472" t="s">
        <v>45</v>
      </c>
      <c r="R74" s="197"/>
      <c r="S74" s="197"/>
      <c r="T74" s="197"/>
      <c r="U74" s="197"/>
      <c r="V74" s="197"/>
      <c r="W74" s="197"/>
      <c r="X74" s="327"/>
      <c r="Y74" s="240"/>
      <c r="Z74" s="240"/>
      <c r="AA74" s="240"/>
      <c r="AB74" s="327"/>
      <c r="AC74" s="16"/>
      <c r="AD74" s="16"/>
      <c r="AE74" s="17"/>
      <c r="BS74" s="75"/>
      <c r="BT74" s="75"/>
      <c r="BU74" s="75"/>
      <c r="BV74" s="75"/>
      <c r="BW74" s="75"/>
      <c r="BX74" s="75"/>
      <c r="BY74" s="75"/>
      <c r="BZ74" s="75"/>
      <c r="CA74" s="75"/>
      <c r="CB74" s="75"/>
      <c r="CC74" s="75"/>
      <c r="CD74" s="75"/>
    </row>
    <row r="75" spans="2:87" ht="15.75" customHeight="1" thickBot="1" x14ac:dyDescent="0.25">
      <c r="B75" s="80" t="s">
        <v>137</v>
      </c>
      <c r="C75" s="6" t="s">
        <v>13</v>
      </c>
      <c r="D75" s="252">
        <v>1750</v>
      </c>
      <c r="E75" s="8" t="s">
        <v>23</v>
      </c>
      <c r="F75" s="57">
        <v>4</v>
      </c>
      <c r="G75" s="252">
        <f>IF(E75=P13,F75*D75,0)</f>
        <v>0</v>
      </c>
      <c r="H75" s="448"/>
      <c r="J75" s="16"/>
      <c r="K75" s="323"/>
      <c r="L75" s="197"/>
      <c r="M75" s="474"/>
      <c r="N75" s="475">
        <v>48</v>
      </c>
      <c r="O75" s="476" t="s">
        <v>44</v>
      </c>
      <c r="P75" s="231">
        <v>6000</v>
      </c>
      <c r="Q75" s="477" t="s">
        <v>45</v>
      </c>
      <c r="R75" s="197"/>
      <c r="S75" s="197"/>
      <c r="T75" s="197"/>
      <c r="U75" s="197"/>
      <c r="V75" s="197"/>
      <c r="W75" s="197"/>
      <c r="X75" s="327"/>
      <c r="Y75" s="240"/>
      <c r="Z75" s="240"/>
      <c r="AA75" s="240"/>
      <c r="AB75" s="327"/>
      <c r="AC75" s="16"/>
      <c r="AD75" s="16"/>
      <c r="AE75" s="17"/>
      <c r="BS75" s="75"/>
      <c r="BT75" s="75"/>
      <c r="BU75" s="75"/>
      <c r="BV75" s="75"/>
      <c r="BW75" s="75"/>
      <c r="BX75" s="75"/>
      <c r="BY75" s="75"/>
      <c r="BZ75" s="75"/>
      <c r="CA75" s="75"/>
      <c r="CB75" s="75"/>
      <c r="CC75" s="75"/>
      <c r="CD75" s="75"/>
    </row>
    <row r="76" spans="2:87" ht="12.75" x14ac:dyDescent="0.2">
      <c r="B76" s="80" t="s">
        <v>138</v>
      </c>
      <c r="C76" s="6" t="s">
        <v>54</v>
      </c>
      <c r="D76" s="252">
        <v>16000</v>
      </c>
      <c r="E76" s="8" t="s">
        <v>23</v>
      </c>
      <c r="F76" s="57">
        <v>2</v>
      </c>
      <c r="G76" s="252">
        <f>IF(E76=P13,F76*D76,0)</f>
        <v>0</v>
      </c>
      <c r="H76" s="448"/>
      <c r="J76" s="16"/>
      <c r="K76" s="323"/>
      <c r="L76" s="197"/>
      <c r="M76" s="197"/>
      <c r="N76" s="197"/>
      <c r="O76" s="197"/>
      <c r="P76" s="197"/>
      <c r="Q76" s="197"/>
      <c r="R76" s="197"/>
      <c r="S76" s="197"/>
      <c r="T76" s="197"/>
      <c r="U76" s="197"/>
      <c r="V76" s="197"/>
      <c r="W76" s="197"/>
      <c r="X76" s="327"/>
      <c r="Y76" s="240"/>
      <c r="Z76" s="240"/>
      <c r="AA76" s="240"/>
      <c r="AB76" s="327"/>
      <c r="AC76" s="16"/>
      <c r="AD76" s="16"/>
      <c r="AE76" s="17"/>
      <c r="BS76" s="75"/>
      <c r="BT76" s="75"/>
      <c r="BU76" s="75"/>
      <c r="BV76" s="75"/>
      <c r="BW76" s="75"/>
      <c r="BX76" s="75"/>
      <c r="BY76" s="75"/>
      <c r="BZ76" s="75"/>
      <c r="CA76" s="75"/>
      <c r="CB76" s="75"/>
      <c r="CC76" s="75"/>
      <c r="CD76" s="75"/>
    </row>
    <row r="77" spans="2:87" ht="13.5" thickBot="1" x14ac:dyDescent="0.25">
      <c r="B77" s="80" t="s">
        <v>143</v>
      </c>
      <c r="C77" s="6" t="s">
        <v>52</v>
      </c>
      <c r="D77" s="252">
        <v>850</v>
      </c>
      <c r="E77" s="8" t="s">
        <v>23</v>
      </c>
      <c r="F77" s="5">
        <f>C11+1</f>
        <v>10</v>
      </c>
      <c r="G77" s="252">
        <f>IF(E77=P13,F77*D77,0)</f>
        <v>0</v>
      </c>
      <c r="H77" s="448"/>
      <c r="J77" s="16"/>
      <c r="K77" s="323"/>
      <c r="L77" s="197"/>
      <c r="M77" s="197"/>
      <c r="N77" s="197"/>
      <c r="O77" s="197"/>
      <c r="P77" s="197"/>
      <c r="Q77" s="197"/>
      <c r="R77" s="197"/>
      <c r="S77" s="197"/>
      <c r="T77" s="197"/>
      <c r="U77" s="197"/>
      <c r="V77" s="197"/>
      <c r="W77" s="197"/>
      <c r="X77" s="327"/>
      <c r="Y77" s="240"/>
      <c r="Z77" s="240"/>
      <c r="AA77" s="240"/>
      <c r="AB77" s="327"/>
      <c r="AC77" s="16"/>
      <c r="AD77" s="16"/>
      <c r="AE77" s="17"/>
      <c r="BS77" s="75"/>
      <c r="BT77" s="75"/>
      <c r="BU77" s="75"/>
      <c r="BV77" s="75"/>
      <c r="BW77" s="75"/>
      <c r="BX77" s="75"/>
      <c r="BY77" s="75"/>
      <c r="BZ77" s="75"/>
      <c r="CA77" s="75"/>
      <c r="CB77" s="75"/>
      <c r="CC77" s="75"/>
      <c r="CD77" s="75"/>
    </row>
    <row r="78" spans="2:87" ht="15.75" customHeight="1" thickBot="1" x14ac:dyDescent="0.25">
      <c r="B78" s="85" t="s">
        <v>141</v>
      </c>
      <c r="C78" s="81" t="s">
        <v>54</v>
      </c>
      <c r="D78" s="261">
        <f>CEILING((IF(OR(C58=M187,C58=M189,C58=M190),5000/0.6)+IF(NOT(OR(C58=M187,C58=M189,C58=M190)),9000/0.6)),1)</f>
        <v>15000</v>
      </c>
      <c r="E78" s="82" t="s">
        <v>23</v>
      </c>
      <c r="F78" s="83">
        <v>1</v>
      </c>
      <c r="G78" s="261">
        <f>IF(E78=P13,D78,0)</f>
        <v>0</v>
      </c>
      <c r="H78" s="235"/>
      <c r="J78" s="16"/>
      <c r="K78" s="323"/>
      <c r="L78" s="197" t="s">
        <v>265</v>
      </c>
      <c r="M78" s="199" t="s">
        <v>171</v>
      </c>
      <c r="N78" s="316" t="s">
        <v>270</v>
      </c>
      <c r="O78" s="316" t="s">
        <v>76</v>
      </c>
      <c r="P78" s="316" t="s">
        <v>77</v>
      </c>
      <c r="Q78" s="316" t="s">
        <v>266</v>
      </c>
      <c r="R78" s="317" t="s">
        <v>71</v>
      </c>
      <c r="S78" s="316" t="s">
        <v>267</v>
      </c>
      <c r="T78" s="317" t="s">
        <v>170</v>
      </c>
      <c r="U78" s="318" t="s">
        <v>49</v>
      </c>
      <c r="V78" s="197"/>
      <c r="W78" s="197"/>
      <c r="X78" s="327"/>
      <c r="Y78" s="240"/>
      <c r="Z78" s="240"/>
      <c r="AA78" s="240"/>
      <c r="AB78" s="327"/>
      <c r="AC78" s="16"/>
      <c r="AD78" s="16"/>
      <c r="AE78" s="17"/>
      <c r="BS78" s="75"/>
      <c r="BT78" s="75"/>
      <c r="BU78" s="75"/>
      <c r="BV78" s="75"/>
      <c r="BW78" s="75"/>
      <c r="BX78" s="75"/>
      <c r="BY78" s="75"/>
      <c r="BZ78" s="75"/>
      <c r="CA78" s="75"/>
      <c r="CB78" s="75"/>
      <c r="CC78" s="75"/>
      <c r="CD78" s="75"/>
    </row>
    <row r="79" spans="2:87" thickBot="1" x14ac:dyDescent="0.3">
      <c r="J79" s="16"/>
      <c r="K79" s="323"/>
      <c r="L79" s="197"/>
      <c r="M79" s="227"/>
      <c r="N79" s="222">
        <v>400</v>
      </c>
      <c r="O79" s="222">
        <v>5</v>
      </c>
      <c r="P79" s="222">
        <v>9</v>
      </c>
      <c r="Q79" s="223">
        <v>55</v>
      </c>
      <c r="R79" s="210">
        <f t="shared" ref="R79:R84" si="3">P79*Q79</f>
        <v>495</v>
      </c>
      <c r="S79" s="223">
        <v>85</v>
      </c>
      <c r="T79" s="210">
        <f t="shared" ref="T79:T84" si="4">P79*S79</f>
        <v>765</v>
      </c>
      <c r="U79" s="228" t="s">
        <v>79</v>
      </c>
      <c r="V79" s="197" t="s">
        <v>269</v>
      </c>
      <c r="W79" s="197"/>
      <c r="X79" s="327"/>
      <c r="Y79" s="240"/>
      <c r="Z79" s="240"/>
      <c r="AA79" s="240"/>
      <c r="AB79" s="327"/>
      <c r="AC79" s="16"/>
      <c r="AD79" s="16"/>
      <c r="AE79" s="17"/>
      <c r="BS79" s="75"/>
      <c r="BT79" s="75"/>
      <c r="BU79" s="75"/>
      <c r="BV79" s="75"/>
      <c r="BW79" s="75"/>
      <c r="BX79" s="75"/>
      <c r="BY79" s="75"/>
      <c r="BZ79" s="75"/>
      <c r="CA79" s="75"/>
      <c r="CB79" s="75"/>
      <c r="CC79" s="75"/>
      <c r="CD79" s="75"/>
    </row>
    <row r="80" spans="2:87" ht="12.75" x14ac:dyDescent="0.2">
      <c r="B80" s="449" t="s">
        <v>140</v>
      </c>
      <c r="C80" s="76"/>
      <c r="D80" s="76"/>
      <c r="E80" s="76"/>
      <c r="F80" s="76"/>
      <c r="G80" s="450">
        <f ca="1">G53+G67+H69</f>
        <v>124190.71428571428</v>
      </c>
      <c r="H80" s="450">
        <f ca="1">CEILING((G80/$C$11),1)</f>
        <v>13799</v>
      </c>
      <c r="J80" s="16"/>
      <c r="K80" s="323"/>
      <c r="L80" s="197"/>
      <c r="M80" s="229"/>
      <c r="N80" s="222">
        <v>450</v>
      </c>
      <c r="O80" s="222">
        <v>5</v>
      </c>
      <c r="P80" s="222">
        <v>11</v>
      </c>
      <c r="Q80" s="223">
        <v>55</v>
      </c>
      <c r="R80" s="210">
        <f t="shared" si="3"/>
        <v>605</v>
      </c>
      <c r="S80" s="223">
        <v>85</v>
      </c>
      <c r="T80" s="210">
        <f t="shared" si="4"/>
        <v>935</v>
      </c>
      <c r="U80" s="228" t="s">
        <v>79</v>
      </c>
      <c r="V80" s="197" t="s">
        <v>268</v>
      </c>
      <c r="W80" s="197"/>
      <c r="X80" s="240"/>
      <c r="Y80" s="240"/>
      <c r="Z80" s="240"/>
      <c r="AA80" s="240"/>
      <c r="AB80" s="327"/>
      <c r="AC80" s="16"/>
      <c r="AD80" s="16"/>
      <c r="AE80" s="17"/>
      <c r="BS80" s="75"/>
      <c r="BT80" s="75"/>
      <c r="BU80" s="75"/>
      <c r="BV80" s="75"/>
      <c r="BW80" s="75"/>
      <c r="BX80" s="75"/>
      <c r="BY80" s="75"/>
      <c r="BZ80" s="75"/>
      <c r="CA80" s="75"/>
      <c r="CB80" s="75"/>
      <c r="CC80" s="75"/>
      <c r="CD80" s="75"/>
    </row>
    <row r="81" spans="2:82" ht="12.75" x14ac:dyDescent="0.2">
      <c r="B81" s="61" t="s">
        <v>185</v>
      </c>
      <c r="C81" s="246" t="s">
        <v>186</v>
      </c>
      <c r="D81" s="247" t="s">
        <v>23</v>
      </c>
      <c r="E81" s="248">
        <f>+IF(D81=T131,U131)+IF(D81=T132,U132)+IF(D81=T133,U133)+IF(D81=T134,U134)+IF(D81=T135,U135)</f>
        <v>0</v>
      </c>
      <c r="F81" s="3">
        <v>1</v>
      </c>
      <c r="G81" s="252">
        <f ca="1">+E81*G80</f>
        <v>0</v>
      </c>
      <c r="H81" s="103"/>
      <c r="J81" s="16"/>
      <c r="K81" s="323"/>
      <c r="L81" s="197"/>
      <c r="M81" s="229"/>
      <c r="N81" s="222">
        <v>525</v>
      </c>
      <c r="O81" s="222">
        <v>6</v>
      </c>
      <c r="P81" s="222">
        <v>17</v>
      </c>
      <c r="Q81" s="223">
        <v>55</v>
      </c>
      <c r="R81" s="210">
        <f t="shared" si="3"/>
        <v>935</v>
      </c>
      <c r="S81" s="223">
        <v>85</v>
      </c>
      <c r="T81" s="210">
        <f t="shared" si="4"/>
        <v>1445</v>
      </c>
      <c r="U81" s="228" t="s">
        <v>79</v>
      </c>
      <c r="V81" s="240"/>
      <c r="W81" s="240"/>
      <c r="X81" s="16"/>
      <c r="Y81" s="16"/>
      <c r="Z81" s="240"/>
      <c r="AA81" s="240"/>
      <c r="AB81" s="327"/>
      <c r="AC81" s="16"/>
      <c r="AD81" s="16"/>
      <c r="AE81" s="17"/>
      <c r="BS81" s="75"/>
      <c r="BT81" s="75"/>
      <c r="BU81" s="75"/>
      <c r="BV81" s="75"/>
      <c r="BW81" s="75"/>
      <c r="BX81" s="75"/>
      <c r="BY81" s="75"/>
      <c r="BZ81" s="75"/>
      <c r="CA81" s="75"/>
      <c r="CB81" s="75"/>
      <c r="CC81" s="75"/>
      <c r="CD81" s="75"/>
    </row>
    <row r="82" spans="2:82" ht="13.5" thickBot="1" x14ac:dyDescent="0.25">
      <c r="B82" s="451" t="s">
        <v>191</v>
      </c>
      <c r="C82" s="433"/>
      <c r="D82" s="433"/>
      <c r="E82" s="433"/>
      <c r="F82" s="433"/>
      <c r="G82" s="434">
        <f ca="1">SUM(G80:G81)</f>
        <v>124190.71428571428</v>
      </c>
      <c r="H82" s="434">
        <f ca="1">CEILING((G82/$C$11),1)</f>
        <v>13799</v>
      </c>
      <c r="J82" s="16"/>
      <c r="K82" s="323"/>
      <c r="L82" s="197"/>
      <c r="M82" s="229"/>
      <c r="N82" s="222">
        <v>600</v>
      </c>
      <c r="O82" s="222">
        <v>8</v>
      </c>
      <c r="P82" s="222">
        <v>29</v>
      </c>
      <c r="Q82" s="223">
        <v>55</v>
      </c>
      <c r="R82" s="210">
        <f t="shared" si="3"/>
        <v>1595</v>
      </c>
      <c r="S82" s="223">
        <v>85</v>
      </c>
      <c r="T82" s="210">
        <f t="shared" si="4"/>
        <v>2465</v>
      </c>
      <c r="U82" s="228" t="s">
        <v>79</v>
      </c>
      <c r="V82" s="240"/>
      <c r="W82" s="240"/>
      <c r="X82" s="16"/>
      <c r="Y82" s="16"/>
      <c r="Z82" s="240"/>
      <c r="AA82" s="240"/>
      <c r="AB82" s="327"/>
      <c r="AC82" s="16"/>
      <c r="AD82" s="16"/>
      <c r="AE82" s="17"/>
      <c r="AX82" s="75"/>
      <c r="AY82" s="75"/>
      <c r="AZ82" s="75"/>
      <c r="BP82" s="75"/>
      <c r="BQ82" s="75"/>
      <c r="BR82" s="75"/>
      <c r="BS82" s="75"/>
      <c r="BT82" s="75"/>
      <c r="BU82" s="75"/>
      <c r="BV82" s="75"/>
      <c r="BW82" s="75"/>
      <c r="BX82" s="75"/>
      <c r="BY82" s="75"/>
      <c r="BZ82" s="75"/>
      <c r="CA82" s="75"/>
      <c r="CB82" s="75"/>
      <c r="CC82" s="75"/>
      <c r="CD82" s="75"/>
    </row>
    <row r="83" spans="2:82" ht="12.75" x14ac:dyDescent="0.2">
      <c r="J83" s="16"/>
      <c r="K83" s="323"/>
      <c r="L83" s="197"/>
      <c r="M83" s="229"/>
      <c r="N83" s="222">
        <v>675</v>
      </c>
      <c r="O83" s="222">
        <v>8</v>
      </c>
      <c r="P83" s="222">
        <v>35</v>
      </c>
      <c r="Q83" s="223">
        <v>55</v>
      </c>
      <c r="R83" s="210">
        <f t="shared" si="3"/>
        <v>1925</v>
      </c>
      <c r="S83" s="223">
        <v>85</v>
      </c>
      <c r="T83" s="210">
        <f t="shared" si="4"/>
        <v>2975</v>
      </c>
      <c r="U83" s="228" t="s">
        <v>79</v>
      </c>
      <c r="V83" s="240"/>
      <c r="W83" s="240"/>
      <c r="X83" s="16"/>
      <c r="Y83" s="16"/>
      <c r="Z83" s="240"/>
      <c r="AA83" s="240"/>
      <c r="AB83" s="327"/>
      <c r="AC83" s="16"/>
      <c r="AD83" s="16"/>
      <c r="AE83" s="17"/>
      <c r="AX83" s="75"/>
      <c r="AY83" s="75"/>
      <c r="AZ83" s="75"/>
      <c r="BP83" s="75"/>
      <c r="BQ83" s="75"/>
      <c r="BR83" s="75"/>
      <c r="BS83" s="75"/>
      <c r="BT83" s="75"/>
      <c r="BU83" s="75"/>
      <c r="BV83" s="75"/>
      <c r="BW83" s="75"/>
      <c r="BX83" s="75"/>
      <c r="BY83" s="75"/>
      <c r="BZ83" s="75"/>
      <c r="CA83" s="75"/>
      <c r="CB83" s="75"/>
      <c r="CC83" s="75"/>
      <c r="CD83" s="75"/>
    </row>
    <row r="84" spans="2:82" ht="13.5" thickBot="1" x14ac:dyDescent="0.25">
      <c r="J84" s="16"/>
      <c r="K84" s="323"/>
      <c r="L84" s="331"/>
      <c r="M84" s="230"/>
      <c r="N84" s="231">
        <v>750</v>
      </c>
      <c r="O84" s="231">
        <v>8</v>
      </c>
      <c r="P84" s="231">
        <v>45</v>
      </c>
      <c r="Q84" s="231">
        <v>55</v>
      </c>
      <c r="R84" s="213">
        <f t="shared" si="3"/>
        <v>2475</v>
      </c>
      <c r="S84" s="223">
        <v>85</v>
      </c>
      <c r="T84" s="210">
        <f t="shared" si="4"/>
        <v>3825</v>
      </c>
      <c r="U84" s="232" t="s">
        <v>79</v>
      </c>
      <c r="V84" s="240"/>
      <c r="W84" s="240"/>
      <c r="X84" s="16"/>
      <c r="Y84" s="16"/>
      <c r="Z84" s="240"/>
      <c r="AA84" s="240"/>
      <c r="AB84" s="327"/>
      <c r="AC84" s="16"/>
      <c r="AD84" s="16"/>
      <c r="AE84" s="17"/>
      <c r="AX84" s="75"/>
      <c r="AY84" s="75"/>
      <c r="AZ84" s="75"/>
      <c r="BA84" s="75"/>
      <c r="BB84" s="75"/>
      <c r="BC84" s="75"/>
      <c r="BD84" s="75"/>
      <c r="BE84" s="75"/>
      <c r="BF84" s="75"/>
      <c r="BH84" s="75"/>
      <c r="BI84" s="75"/>
      <c r="BJ84" s="75"/>
      <c r="BK84" s="75"/>
      <c r="BL84" s="75"/>
      <c r="BM84" s="75"/>
      <c r="BN84" s="75"/>
      <c r="BO84" s="75"/>
      <c r="BP84" s="75"/>
      <c r="BQ84" s="75"/>
      <c r="BR84" s="75"/>
      <c r="BS84" s="75"/>
      <c r="BT84" s="75"/>
      <c r="BU84" s="75"/>
      <c r="BV84" s="75"/>
      <c r="BW84" s="75"/>
      <c r="BX84" s="75"/>
      <c r="BY84" s="75"/>
      <c r="BZ84" s="75"/>
      <c r="CA84" s="75"/>
      <c r="CB84" s="75"/>
      <c r="CC84" s="75"/>
      <c r="CD84" s="75"/>
    </row>
    <row r="85" spans="2:82" ht="12.75" x14ac:dyDescent="0.2">
      <c r="J85" s="16"/>
      <c r="K85" s="323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327"/>
      <c r="W85" s="327"/>
      <c r="X85" s="16"/>
      <c r="Y85" s="327"/>
      <c r="Z85" s="327"/>
      <c r="AA85" s="327"/>
      <c r="AB85" s="327"/>
      <c r="AC85" s="197"/>
      <c r="AD85" s="197"/>
      <c r="AE85" s="332"/>
      <c r="AX85" s="75"/>
      <c r="AY85" s="75"/>
      <c r="AZ85" s="75"/>
      <c r="BA85" s="75"/>
      <c r="BB85" s="75"/>
      <c r="BC85" s="75"/>
      <c r="BD85" s="75"/>
      <c r="BE85" s="75"/>
      <c r="BF85" s="75"/>
      <c r="BG85" s="75"/>
      <c r="BH85" s="75"/>
      <c r="BI85" s="75"/>
      <c r="BJ85" s="75"/>
      <c r="BK85" s="75"/>
      <c r="BL85" s="75"/>
      <c r="BM85" s="75"/>
      <c r="BN85" s="75"/>
      <c r="BO85" s="75"/>
      <c r="BP85" s="75"/>
      <c r="BQ85" s="75"/>
      <c r="BR85" s="75"/>
    </row>
    <row r="86" spans="2:82" ht="12.75" x14ac:dyDescent="0.2">
      <c r="J86" s="16"/>
      <c r="K86" s="323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327"/>
      <c r="W86" s="327"/>
      <c r="X86" s="327"/>
      <c r="Y86" s="327"/>
      <c r="Z86" s="327"/>
      <c r="AA86" s="327"/>
      <c r="AB86" s="327"/>
      <c r="AC86" s="16"/>
      <c r="AD86" s="197"/>
      <c r="AE86" s="332"/>
      <c r="AX86" s="75"/>
      <c r="AY86" s="75"/>
      <c r="AZ86" s="75"/>
      <c r="BA86" s="75"/>
      <c r="BB86" s="75"/>
      <c r="BC86" s="75"/>
      <c r="BD86" s="75"/>
      <c r="BE86" s="75"/>
      <c r="BF86" s="75"/>
      <c r="BG86" s="75"/>
      <c r="BH86" s="75"/>
      <c r="BI86" s="75"/>
      <c r="BJ86" s="75"/>
      <c r="BK86" s="75"/>
      <c r="BL86" s="75"/>
      <c r="BM86" s="75"/>
      <c r="BN86" s="75"/>
      <c r="BO86" s="75"/>
      <c r="BP86" s="75"/>
      <c r="BQ86" s="75"/>
      <c r="BR86" s="75"/>
    </row>
    <row r="87" spans="2:82" ht="13.5" thickBot="1" x14ac:dyDescent="0.25">
      <c r="J87" s="16"/>
      <c r="K87" s="323"/>
      <c r="L87" s="16"/>
      <c r="M87" s="16"/>
      <c r="N87" s="16"/>
      <c r="O87" s="16"/>
      <c r="P87" s="16"/>
      <c r="Q87" s="16"/>
      <c r="R87" s="197"/>
      <c r="S87" s="197"/>
      <c r="T87" s="197"/>
      <c r="U87" s="197"/>
      <c r="V87" s="240"/>
      <c r="W87" s="240"/>
      <c r="X87" s="240"/>
      <c r="Y87" s="240"/>
      <c r="Z87" s="240"/>
      <c r="AA87" s="240"/>
      <c r="AB87" s="327"/>
      <c r="AC87" s="16"/>
      <c r="AD87" s="197"/>
      <c r="AE87" s="332"/>
      <c r="AX87" s="75"/>
      <c r="AY87" s="75"/>
      <c r="AZ87" s="75"/>
      <c r="BA87" s="75"/>
      <c r="BB87" s="75"/>
      <c r="BC87" s="75"/>
      <c r="BD87" s="75"/>
      <c r="BE87" s="75"/>
      <c r="BF87" s="75"/>
      <c r="BG87" s="75"/>
      <c r="BH87" s="75"/>
      <c r="BI87" s="75"/>
      <c r="BJ87" s="75"/>
      <c r="BK87" s="75"/>
      <c r="BL87" s="75"/>
      <c r="BM87" s="75"/>
      <c r="BN87" s="75"/>
      <c r="BO87" s="75"/>
      <c r="BP87" s="75"/>
      <c r="BQ87" s="75"/>
      <c r="BR87" s="75"/>
      <c r="BS87" s="75"/>
      <c r="BT87" s="75"/>
      <c r="BU87" s="75"/>
      <c r="BV87" s="75"/>
      <c r="BW87" s="75"/>
      <c r="BX87" s="75"/>
      <c r="BY87" s="75"/>
      <c r="BZ87" s="75"/>
      <c r="CA87" s="75"/>
      <c r="CB87" s="75"/>
      <c r="CC87" s="75"/>
      <c r="CD87" s="75"/>
    </row>
    <row r="88" spans="2:82" ht="12.75" x14ac:dyDescent="0.2">
      <c r="J88" s="16"/>
      <c r="K88" s="323"/>
      <c r="L88" s="16" t="s">
        <v>271</v>
      </c>
      <c r="M88" s="199" t="s">
        <v>37</v>
      </c>
      <c r="N88" s="224" t="s">
        <v>74</v>
      </c>
      <c r="O88" s="224"/>
      <c r="P88" s="224"/>
      <c r="Q88" s="226"/>
      <c r="R88" s="43"/>
      <c r="S88" s="43"/>
      <c r="T88" s="43"/>
      <c r="U88" s="43"/>
      <c r="V88" s="241"/>
      <c r="W88" s="241"/>
      <c r="X88" s="327"/>
      <c r="Y88" s="327"/>
      <c r="Z88" s="327"/>
      <c r="AA88" s="327"/>
      <c r="AB88" s="327"/>
      <c r="AC88" s="16"/>
      <c r="AD88" s="197"/>
      <c r="AE88" s="332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  <c r="AX88" s="75"/>
      <c r="AY88" s="75"/>
      <c r="AZ88" s="75"/>
      <c r="BA88" s="75"/>
      <c r="BB88" s="75"/>
      <c r="BC88" s="75"/>
      <c r="BD88" s="75"/>
      <c r="BE88" s="75"/>
      <c r="BF88" s="75"/>
      <c r="BG88" s="75"/>
      <c r="BH88" s="75"/>
      <c r="BI88" s="75"/>
      <c r="BJ88" s="75"/>
      <c r="BK88" s="75"/>
      <c r="BL88" s="75"/>
      <c r="BM88" s="75"/>
      <c r="BN88" s="75"/>
      <c r="BO88" s="75"/>
      <c r="BP88" s="75"/>
      <c r="BQ88" s="75"/>
      <c r="BR88" s="75"/>
    </row>
    <row r="89" spans="2:82" ht="15" x14ac:dyDescent="0.25">
      <c r="J89" s="16"/>
      <c r="K89" s="323"/>
      <c r="L89" s="16"/>
      <c r="M89" s="227"/>
      <c r="N89" s="222">
        <v>12</v>
      </c>
      <c r="O89" s="222" t="s">
        <v>44</v>
      </c>
      <c r="P89" s="370">
        <v>1500</v>
      </c>
      <c r="Q89" s="228" t="s">
        <v>45</v>
      </c>
      <c r="R89" s="43"/>
      <c r="S89" s="43"/>
      <c r="T89" s="43"/>
      <c r="U89" s="43"/>
      <c r="V89" s="43"/>
      <c r="W89" s="43"/>
      <c r="X89" s="327"/>
      <c r="Y89" s="327"/>
      <c r="Z89" s="327"/>
      <c r="AA89" s="327"/>
      <c r="AB89" s="240"/>
      <c r="AC89" s="197"/>
      <c r="AD89" s="197"/>
      <c r="AE89" s="332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R89" s="75"/>
      <c r="AX89" s="75"/>
      <c r="AY89" s="75"/>
      <c r="AZ89" s="75"/>
      <c r="BA89" s="75"/>
      <c r="BB89" s="75"/>
      <c r="BC89" s="75"/>
      <c r="BD89" s="75"/>
      <c r="BE89" s="75"/>
      <c r="BF89" s="75"/>
      <c r="BG89" s="75"/>
      <c r="BH89" s="75"/>
      <c r="BI89" s="75"/>
      <c r="BJ89" s="75"/>
      <c r="BK89" s="75"/>
      <c r="BL89" s="75"/>
      <c r="BM89" s="75"/>
      <c r="BN89" s="75"/>
      <c r="BO89" s="75"/>
      <c r="BP89" s="75"/>
      <c r="BQ89" s="75"/>
      <c r="BR89" s="75"/>
    </row>
    <row r="90" spans="2:82" ht="15" x14ac:dyDescent="0.25">
      <c r="J90" s="16"/>
      <c r="K90" s="323"/>
      <c r="L90" s="16"/>
      <c r="M90" s="227"/>
      <c r="N90" s="222">
        <v>24</v>
      </c>
      <c r="O90" s="222" t="s">
        <v>44</v>
      </c>
      <c r="P90" s="370">
        <v>2000</v>
      </c>
      <c r="Q90" s="228" t="s">
        <v>45</v>
      </c>
      <c r="R90" s="16"/>
      <c r="S90" s="16"/>
      <c r="T90" s="16"/>
      <c r="U90" s="16"/>
      <c r="V90" s="16"/>
      <c r="W90" s="16"/>
      <c r="X90" s="327"/>
      <c r="Y90" s="327"/>
      <c r="Z90" s="327"/>
      <c r="AA90" s="327"/>
      <c r="AB90" s="327"/>
      <c r="AC90" s="197"/>
      <c r="AD90" s="197"/>
      <c r="AE90" s="332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</row>
    <row r="91" spans="2:82" ht="12.75" customHeight="1" x14ac:dyDescent="0.2">
      <c r="J91" s="16"/>
      <c r="K91" s="323"/>
      <c r="L91" s="16"/>
      <c r="M91" s="481"/>
      <c r="N91" s="222">
        <v>36</v>
      </c>
      <c r="O91" s="222" t="s">
        <v>44</v>
      </c>
      <c r="P91" s="370">
        <v>2500</v>
      </c>
      <c r="Q91" s="228" t="s">
        <v>45</v>
      </c>
      <c r="R91" s="16"/>
      <c r="S91" s="16"/>
      <c r="T91" s="16"/>
      <c r="U91" s="16"/>
      <c r="V91" s="16"/>
      <c r="W91" s="16"/>
      <c r="X91" s="327"/>
      <c r="Y91" s="327"/>
      <c r="Z91" s="327"/>
      <c r="AA91" s="327"/>
      <c r="AB91" s="327"/>
      <c r="AC91" s="197"/>
      <c r="AD91" s="197"/>
      <c r="AE91" s="332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BA91" s="75"/>
      <c r="BB91" s="75"/>
      <c r="BC91" s="75"/>
      <c r="BD91" s="75"/>
      <c r="BE91" s="75"/>
      <c r="BF91" s="75"/>
      <c r="BG91" s="75"/>
      <c r="BH91" s="75"/>
      <c r="BI91" s="75"/>
      <c r="BJ91" s="75"/>
      <c r="BK91" s="75"/>
      <c r="BL91" s="75"/>
      <c r="BM91" s="75"/>
      <c r="BN91" s="75"/>
      <c r="BO91" s="75"/>
    </row>
    <row r="92" spans="2:82" ht="12.75" x14ac:dyDescent="0.2">
      <c r="J92" s="16"/>
      <c r="K92" s="323"/>
      <c r="L92" s="86"/>
      <c r="M92" s="233"/>
      <c r="N92" s="478" t="s">
        <v>46</v>
      </c>
      <c r="O92" s="222" t="s">
        <v>44</v>
      </c>
      <c r="P92" s="370">
        <v>3500</v>
      </c>
      <c r="Q92" s="228" t="s">
        <v>45</v>
      </c>
      <c r="R92" s="16"/>
      <c r="S92" s="16"/>
      <c r="T92" s="16"/>
      <c r="U92" s="16"/>
      <c r="V92" s="16"/>
      <c r="W92" s="16"/>
      <c r="X92" s="327"/>
      <c r="Y92" s="327"/>
      <c r="Z92" s="327"/>
      <c r="AA92" s="327"/>
      <c r="AB92" s="197"/>
      <c r="AC92" s="197"/>
      <c r="AD92" s="197"/>
      <c r="AE92" s="332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X92" s="75"/>
      <c r="AY92" s="75"/>
      <c r="AZ92" s="75"/>
      <c r="BG92" s="75"/>
      <c r="BP92" s="75"/>
      <c r="BQ92" s="75"/>
      <c r="BR92" s="75"/>
    </row>
    <row r="93" spans="2:82" ht="13.5" thickBot="1" x14ac:dyDescent="0.25">
      <c r="J93" s="16"/>
      <c r="K93" s="323"/>
      <c r="L93" s="105"/>
      <c r="M93" s="239"/>
      <c r="N93" s="482" t="s">
        <v>101</v>
      </c>
      <c r="O93" s="231" t="s">
        <v>44</v>
      </c>
      <c r="P93" s="466">
        <v>6000</v>
      </c>
      <c r="Q93" s="483" t="s">
        <v>13</v>
      </c>
      <c r="R93" s="16"/>
      <c r="S93" s="16"/>
      <c r="T93" s="16"/>
      <c r="U93" s="16"/>
      <c r="V93" s="16"/>
      <c r="W93" s="16"/>
      <c r="X93" s="327"/>
      <c r="Y93" s="327"/>
      <c r="Z93" s="327"/>
      <c r="AA93" s="327"/>
      <c r="AB93" s="327"/>
      <c r="AC93" s="16"/>
      <c r="AD93" s="16"/>
      <c r="AE93" s="17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</row>
    <row r="94" spans="2:82" ht="12.75" x14ac:dyDescent="0.2">
      <c r="J94" s="16"/>
      <c r="K94" s="323"/>
      <c r="L94" s="105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327"/>
      <c r="Y94" s="327"/>
      <c r="Z94" s="327"/>
      <c r="AA94" s="327"/>
      <c r="AB94" s="327"/>
      <c r="AC94" s="16"/>
      <c r="AD94" s="16"/>
      <c r="AE94" s="17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BA94" s="75"/>
      <c r="BB94" s="75"/>
      <c r="BC94" s="75"/>
      <c r="BD94" s="75"/>
      <c r="BE94" s="75"/>
      <c r="BF94" s="75"/>
      <c r="BH94" s="75"/>
      <c r="BI94" s="75"/>
      <c r="BJ94" s="75"/>
      <c r="BK94" s="75"/>
      <c r="BL94" s="75"/>
      <c r="BM94" s="75"/>
      <c r="BN94" s="75"/>
      <c r="BO94" s="75"/>
    </row>
    <row r="95" spans="2:82" ht="13.5" thickBot="1" x14ac:dyDescent="0.25">
      <c r="J95" s="16"/>
      <c r="K95" s="323"/>
      <c r="L95" s="197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327"/>
      <c r="Y95" s="327"/>
      <c r="Z95" s="327"/>
      <c r="AA95" s="327"/>
      <c r="AB95" s="327"/>
      <c r="AC95" s="16"/>
      <c r="AD95" s="16"/>
      <c r="AE95" s="17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BG95" s="75"/>
    </row>
    <row r="96" spans="2:82" ht="12.75" customHeight="1" thickBot="1" x14ac:dyDescent="0.25">
      <c r="J96" s="16"/>
      <c r="K96" s="323"/>
      <c r="L96" s="197" t="s">
        <v>272</v>
      </c>
      <c r="M96" s="20" t="s">
        <v>273</v>
      </c>
      <c r="N96" s="16"/>
      <c r="O96" s="16"/>
      <c r="P96" s="16"/>
      <c r="Q96" s="16"/>
      <c r="R96" s="16"/>
      <c r="S96" s="16"/>
      <c r="T96" s="16"/>
      <c r="U96" s="16"/>
      <c r="V96" s="327"/>
      <c r="W96" s="327"/>
      <c r="X96" s="327"/>
      <c r="Y96" s="327"/>
      <c r="Z96" s="327"/>
      <c r="AA96" s="327"/>
      <c r="AB96" s="327"/>
      <c r="AC96" s="16"/>
      <c r="AD96" s="16"/>
      <c r="AE96" s="17"/>
      <c r="AS96" s="75"/>
      <c r="AT96" s="75"/>
      <c r="AU96" s="75"/>
      <c r="AV96" s="75"/>
      <c r="AW96" s="75"/>
    </row>
    <row r="97" spans="10:49" ht="12.75" x14ac:dyDescent="0.2">
      <c r="J97" s="16"/>
      <c r="K97" s="323"/>
      <c r="L97" s="197"/>
      <c r="M97" s="61" t="s">
        <v>276</v>
      </c>
      <c r="N97" s="3" t="s">
        <v>277</v>
      </c>
      <c r="O97" s="3" t="s">
        <v>278</v>
      </c>
      <c r="P97" s="236" t="s">
        <v>274</v>
      </c>
      <c r="Q97" s="3" t="s">
        <v>279</v>
      </c>
      <c r="R97" s="236" t="s">
        <v>275</v>
      </c>
      <c r="S97" s="236" t="s">
        <v>274</v>
      </c>
      <c r="T97" s="170"/>
      <c r="U97" s="170"/>
      <c r="V97" s="241"/>
      <c r="W97" s="241"/>
      <c r="X97" s="327"/>
      <c r="Y97" s="327"/>
      <c r="Z97" s="327"/>
      <c r="AA97" s="327"/>
      <c r="AB97" s="327"/>
      <c r="AC97" s="16"/>
      <c r="AD97" s="16"/>
      <c r="AE97" s="17"/>
      <c r="AS97" s="75"/>
      <c r="AT97" s="75"/>
      <c r="AU97" s="75"/>
      <c r="AV97" s="75"/>
      <c r="AW97" s="75"/>
    </row>
    <row r="98" spans="10:49" ht="15.75" customHeight="1" x14ac:dyDescent="0.2">
      <c r="J98" s="16"/>
      <c r="K98" s="323"/>
      <c r="L98" s="197"/>
      <c r="M98" s="233">
        <v>400</v>
      </c>
      <c r="N98" s="222">
        <v>8</v>
      </c>
      <c r="O98" s="3">
        <v>100</v>
      </c>
      <c r="P98" s="210">
        <f t="shared" ref="P98:P103" si="5">N98*275</f>
        <v>2200</v>
      </c>
      <c r="Q98" s="3">
        <v>90</v>
      </c>
      <c r="R98" s="209">
        <f t="shared" ref="R98:R103" si="6">+P98*0.9</f>
        <v>1980</v>
      </c>
      <c r="S98" s="236" t="s">
        <v>275</v>
      </c>
      <c r="T98" s="170"/>
      <c r="U98" s="170"/>
      <c r="V98" s="241"/>
      <c r="W98" s="241"/>
      <c r="X98" s="327"/>
      <c r="Y98" s="327"/>
      <c r="Z98" s="327"/>
      <c r="AA98" s="327"/>
      <c r="AB98" s="327"/>
      <c r="AC98" s="16"/>
      <c r="AD98" s="16"/>
      <c r="AE98" s="17"/>
      <c r="AS98" s="75"/>
      <c r="AT98" s="75"/>
      <c r="AU98" s="75"/>
      <c r="AV98" s="75"/>
      <c r="AW98" s="75"/>
    </row>
    <row r="99" spans="10:49" ht="15.75" customHeight="1" x14ac:dyDescent="0.2">
      <c r="J99" s="16"/>
      <c r="K99" s="323"/>
      <c r="L99" s="197"/>
      <c r="M99" s="233">
        <v>450</v>
      </c>
      <c r="N99" s="222">
        <v>10</v>
      </c>
      <c r="O99" s="3">
        <v>100</v>
      </c>
      <c r="P99" s="210">
        <f t="shared" si="5"/>
        <v>2750</v>
      </c>
      <c r="Q99" s="3">
        <v>90</v>
      </c>
      <c r="R99" s="209">
        <f t="shared" si="6"/>
        <v>2475</v>
      </c>
      <c r="S99" s="16"/>
      <c r="T99" s="47"/>
      <c r="U99" s="47"/>
      <c r="V99" s="241"/>
      <c r="W99" s="241"/>
      <c r="X99" s="327"/>
      <c r="Y99" s="327"/>
      <c r="Z99" s="327"/>
      <c r="AA99" s="327"/>
      <c r="AB99" s="327"/>
      <c r="AC99" s="16"/>
      <c r="AD99" s="16"/>
      <c r="AE99" s="17"/>
      <c r="AS99" s="75"/>
      <c r="AT99" s="75"/>
      <c r="AU99" s="75"/>
      <c r="AV99" s="75"/>
      <c r="AW99" s="75"/>
    </row>
    <row r="100" spans="10:49" ht="15.75" customHeight="1" x14ac:dyDescent="0.2">
      <c r="J100" s="16"/>
      <c r="K100" s="323"/>
      <c r="L100" s="197"/>
      <c r="M100" s="233">
        <v>525</v>
      </c>
      <c r="N100" s="222">
        <v>12</v>
      </c>
      <c r="O100" s="3">
        <v>100</v>
      </c>
      <c r="P100" s="210">
        <f t="shared" si="5"/>
        <v>3300</v>
      </c>
      <c r="Q100" s="3">
        <v>90</v>
      </c>
      <c r="R100" s="209">
        <f t="shared" si="6"/>
        <v>2970</v>
      </c>
      <c r="S100" s="16"/>
      <c r="T100" s="241"/>
      <c r="U100" s="241"/>
      <c r="V100" s="241"/>
      <c r="W100" s="241"/>
      <c r="X100" s="327"/>
      <c r="Y100" s="327"/>
      <c r="Z100" s="327"/>
      <c r="AA100" s="327"/>
      <c r="AB100" s="327"/>
      <c r="AC100" s="16"/>
      <c r="AD100" s="16"/>
      <c r="AE100" s="17"/>
      <c r="AS100" s="75"/>
      <c r="AT100" s="75"/>
      <c r="AU100" s="75"/>
      <c r="AV100" s="75"/>
      <c r="AW100" s="75"/>
    </row>
    <row r="101" spans="10:49" ht="15.75" customHeight="1" x14ac:dyDescent="0.2">
      <c r="J101" s="16"/>
      <c r="K101" s="323"/>
      <c r="L101" s="16"/>
      <c r="M101" s="233">
        <v>600</v>
      </c>
      <c r="N101" s="222">
        <v>16</v>
      </c>
      <c r="O101" s="3">
        <v>100</v>
      </c>
      <c r="P101" s="210">
        <f t="shared" si="5"/>
        <v>4400</v>
      </c>
      <c r="Q101" s="3">
        <v>90</v>
      </c>
      <c r="R101" s="209">
        <f t="shared" si="6"/>
        <v>3960</v>
      </c>
      <c r="S101" s="16"/>
      <c r="T101" s="241"/>
      <c r="U101" s="241"/>
      <c r="V101" s="241"/>
      <c r="W101" s="241"/>
      <c r="X101" s="327"/>
      <c r="Y101" s="327"/>
      <c r="Z101" s="327"/>
      <c r="AA101" s="327"/>
      <c r="AB101" s="327"/>
      <c r="AC101" s="16"/>
      <c r="AD101" s="16"/>
      <c r="AE101" s="17"/>
      <c r="AS101" s="75"/>
      <c r="AT101" s="75"/>
      <c r="AU101" s="75"/>
      <c r="AV101" s="75"/>
      <c r="AW101" s="75"/>
    </row>
    <row r="102" spans="10:49" ht="15.75" customHeight="1" x14ac:dyDescent="0.2">
      <c r="J102" s="16"/>
      <c r="K102" s="323"/>
      <c r="L102" s="16"/>
      <c r="M102" s="233">
        <v>675</v>
      </c>
      <c r="N102" s="222">
        <v>18</v>
      </c>
      <c r="O102" s="3">
        <v>100</v>
      </c>
      <c r="P102" s="210">
        <f t="shared" si="5"/>
        <v>4950</v>
      </c>
      <c r="Q102" s="3">
        <v>90</v>
      </c>
      <c r="R102" s="209">
        <f t="shared" si="6"/>
        <v>4455</v>
      </c>
      <c r="S102" s="16"/>
      <c r="T102" s="241"/>
      <c r="U102" s="241"/>
      <c r="V102" s="241"/>
      <c r="W102" s="241"/>
      <c r="X102" s="327"/>
      <c r="Y102" s="327"/>
      <c r="Z102" s="327"/>
      <c r="AA102" s="327"/>
      <c r="AB102" s="240"/>
      <c r="AC102" s="197"/>
      <c r="AD102" s="197"/>
      <c r="AE102" s="332"/>
    </row>
    <row r="103" spans="10:49" ht="15.75" customHeight="1" thickBot="1" x14ac:dyDescent="0.25">
      <c r="J103" s="16"/>
      <c r="K103" s="323"/>
      <c r="L103" s="197"/>
      <c r="M103" s="234">
        <v>750</v>
      </c>
      <c r="N103" s="187">
        <v>20</v>
      </c>
      <c r="O103" s="3">
        <v>100</v>
      </c>
      <c r="P103" s="210">
        <f t="shared" si="5"/>
        <v>5500</v>
      </c>
      <c r="Q103" s="3">
        <v>90</v>
      </c>
      <c r="R103" s="209">
        <f t="shared" si="6"/>
        <v>4950</v>
      </c>
      <c r="S103" s="16"/>
      <c r="T103" s="327"/>
      <c r="U103" s="241"/>
      <c r="V103" s="241"/>
      <c r="W103" s="241"/>
      <c r="X103" s="241"/>
      <c r="Y103" s="241"/>
      <c r="Z103" s="241"/>
      <c r="AA103" s="241"/>
      <c r="AB103" s="240"/>
      <c r="AC103" s="197"/>
      <c r="AD103" s="197"/>
      <c r="AE103" s="332"/>
    </row>
    <row r="104" spans="10:49" ht="15.75" customHeight="1" x14ac:dyDescent="0.2">
      <c r="J104" s="16"/>
      <c r="K104" s="323"/>
      <c r="L104" s="16"/>
      <c r="M104" s="16"/>
      <c r="N104" s="16"/>
      <c r="O104" s="16"/>
      <c r="P104" s="16"/>
      <c r="Q104" s="16"/>
      <c r="R104" s="327"/>
      <c r="S104" s="16"/>
      <c r="T104" s="16"/>
      <c r="U104" s="16"/>
      <c r="V104" s="16"/>
      <c r="W104" s="241"/>
      <c r="X104" s="241"/>
      <c r="Y104" s="241"/>
      <c r="Z104" s="241"/>
      <c r="AA104" s="241"/>
      <c r="AB104" s="240"/>
      <c r="AC104" s="197"/>
      <c r="AD104" s="197"/>
      <c r="AE104" s="332"/>
      <c r="AT104" s="75"/>
      <c r="AU104" s="75"/>
      <c r="AV104" s="75"/>
      <c r="AW104" s="75"/>
    </row>
    <row r="105" spans="10:49" ht="15.75" customHeight="1" thickBot="1" x14ac:dyDescent="0.25">
      <c r="J105" s="16"/>
      <c r="K105" s="323"/>
      <c r="L105" s="16"/>
      <c r="M105" s="16"/>
      <c r="N105" s="16"/>
      <c r="O105" s="16"/>
      <c r="P105" s="16"/>
      <c r="Q105" s="16"/>
      <c r="R105" s="327"/>
      <c r="S105" s="16"/>
      <c r="T105" s="16"/>
      <c r="U105" s="16"/>
      <c r="V105" s="16"/>
      <c r="W105" s="241"/>
      <c r="X105" s="241"/>
      <c r="Y105" s="241"/>
      <c r="Z105" s="241"/>
      <c r="AA105" s="241"/>
      <c r="AB105" s="240"/>
      <c r="AC105" s="197"/>
      <c r="AD105" s="197"/>
      <c r="AE105" s="332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</row>
    <row r="106" spans="10:49" ht="15.75" customHeight="1" x14ac:dyDescent="0.2">
      <c r="J106" s="16"/>
      <c r="K106" s="323"/>
      <c r="L106" s="16" t="s">
        <v>280</v>
      </c>
      <c r="M106" s="199" t="s">
        <v>43</v>
      </c>
      <c r="N106" s="470" t="s">
        <v>74</v>
      </c>
      <c r="O106" s="470"/>
      <c r="P106" s="470"/>
      <c r="Q106" s="485"/>
      <c r="R106" s="327"/>
      <c r="S106" s="16"/>
      <c r="T106" s="16"/>
      <c r="U106" s="16"/>
      <c r="V106" s="16"/>
      <c r="W106" s="243"/>
      <c r="X106" s="327"/>
      <c r="Y106" s="242"/>
      <c r="Z106" s="242"/>
      <c r="AA106" s="327"/>
      <c r="AB106" s="240"/>
      <c r="AC106" s="197"/>
      <c r="AD106" s="197"/>
      <c r="AE106" s="332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</row>
    <row r="107" spans="10:49" ht="15.75" customHeight="1" x14ac:dyDescent="0.2">
      <c r="J107" s="16"/>
      <c r="K107" s="323"/>
      <c r="L107" s="16"/>
      <c r="M107" s="486"/>
      <c r="N107" s="223">
        <v>12</v>
      </c>
      <c r="O107" s="223" t="s">
        <v>44</v>
      </c>
      <c r="P107" s="223">
        <f>1000+500</f>
        <v>1500</v>
      </c>
      <c r="Q107" s="487" t="s">
        <v>45</v>
      </c>
      <c r="R107" s="327"/>
      <c r="S107" s="16"/>
      <c r="T107" s="16"/>
      <c r="U107" s="16"/>
      <c r="V107" s="16"/>
      <c r="W107" s="243"/>
      <c r="X107" s="327"/>
      <c r="Y107" s="242"/>
      <c r="Z107" s="242"/>
      <c r="AA107" s="327"/>
      <c r="AB107" s="240"/>
      <c r="AC107" s="197"/>
      <c r="AD107" s="197"/>
      <c r="AE107" s="332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  <c r="AP107" s="75"/>
      <c r="AQ107" s="75"/>
      <c r="AR107" s="75"/>
    </row>
    <row r="108" spans="10:49" ht="15.75" customHeight="1" x14ac:dyDescent="0.2">
      <c r="J108" s="16"/>
      <c r="K108" s="323"/>
      <c r="L108" s="86"/>
      <c r="M108" s="486"/>
      <c r="N108" s="223">
        <v>24</v>
      </c>
      <c r="O108" s="223" t="s">
        <v>44</v>
      </c>
      <c r="P108" s="223">
        <f>2000+500</f>
        <v>2500</v>
      </c>
      <c r="Q108" s="487" t="s">
        <v>45</v>
      </c>
      <c r="R108" s="327"/>
      <c r="S108" s="327"/>
      <c r="T108" s="327"/>
      <c r="U108" s="243"/>
      <c r="V108" s="243"/>
      <c r="W108" s="111"/>
      <c r="X108" s="327"/>
      <c r="Y108" s="242"/>
      <c r="Z108" s="242"/>
      <c r="AA108" s="327"/>
      <c r="AB108" s="240"/>
      <c r="AC108" s="197"/>
      <c r="AD108" s="197"/>
      <c r="AE108" s="332"/>
      <c r="AF108" s="75"/>
      <c r="AG108" s="75"/>
      <c r="AH108" s="75"/>
      <c r="AI108" s="75"/>
      <c r="AJ108" s="75"/>
      <c r="AK108" s="75"/>
      <c r="AL108" s="75"/>
      <c r="AM108" s="75"/>
      <c r="AN108" s="75"/>
      <c r="AO108" s="75"/>
      <c r="AP108" s="75"/>
      <c r="AQ108" s="75"/>
      <c r="AR108" s="75"/>
    </row>
    <row r="109" spans="10:49" ht="15.75" customHeight="1" x14ac:dyDescent="0.2">
      <c r="J109" s="16"/>
      <c r="K109" s="323"/>
      <c r="L109" s="86"/>
      <c r="M109" s="488"/>
      <c r="N109" s="223">
        <v>36</v>
      </c>
      <c r="O109" s="480" t="s">
        <v>44</v>
      </c>
      <c r="P109" s="480">
        <f>3000+500</f>
        <v>3500</v>
      </c>
      <c r="Q109" s="489" t="s">
        <v>45</v>
      </c>
      <c r="R109" s="327"/>
      <c r="S109" s="327"/>
      <c r="T109" s="16"/>
      <c r="U109" s="16"/>
      <c r="V109" s="16"/>
      <c r="W109" s="16"/>
      <c r="X109" s="16"/>
      <c r="Y109" s="16"/>
      <c r="Z109" s="16"/>
      <c r="AA109" s="16"/>
      <c r="AB109" s="240"/>
      <c r="AC109" s="197"/>
      <c r="AD109" s="197"/>
      <c r="AE109" s="332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  <c r="AP109" s="75"/>
      <c r="AQ109" s="75"/>
      <c r="AR109" s="75"/>
    </row>
    <row r="110" spans="10:49" ht="15.75" customHeight="1" thickBot="1" x14ac:dyDescent="0.25">
      <c r="J110" s="16"/>
      <c r="K110" s="323"/>
      <c r="L110" s="86"/>
      <c r="M110" s="490"/>
      <c r="N110" s="491" t="s">
        <v>46</v>
      </c>
      <c r="O110" s="492" t="s">
        <v>44</v>
      </c>
      <c r="P110" s="492">
        <f>3500+500</f>
        <v>4000</v>
      </c>
      <c r="Q110" s="483" t="s">
        <v>45</v>
      </c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327"/>
      <c r="AC110" s="16"/>
      <c r="AD110" s="16"/>
      <c r="AE110" s="17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75"/>
      <c r="AR110" s="75"/>
    </row>
    <row r="111" spans="10:49" ht="15.75" customHeight="1" x14ac:dyDescent="0.2">
      <c r="J111" s="16"/>
      <c r="K111" s="323"/>
      <c r="L111" s="86"/>
      <c r="M111" s="324"/>
      <c r="N111" s="324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327"/>
      <c r="AC111" s="16"/>
      <c r="AD111" s="16"/>
      <c r="AE111" s="17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  <c r="AP111" s="75"/>
      <c r="AQ111" s="75"/>
      <c r="AR111" s="75"/>
      <c r="AS111" s="75"/>
    </row>
    <row r="112" spans="10:49" ht="15.75" customHeight="1" thickBot="1" x14ac:dyDescent="0.25">
      <c r="J112" s="16"/>
      <c r="K112" s="323"/>
      <c r="L112" s="8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240"/>
      <c r="AC112" s="197"/>
      <c r="AD112" s="197"/>
      <c r="AE112" s="332"/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  <c r="AP112" s="75"/>
      <c r="AQ112" s="75"/>
      <c r="AR112" s="75"/>
      <c r="AS112" s="75"/>
    </row>
    <row r="113" spans="10:45" ht="15.75" customHeight="1" x14ac:dyDescent="0.2">
      <c r="J113" s="16"/>
      <c r="K113" s="323"/>
      <c r="L113" s="86" t="s">
        <v>281</v>
      </c>
      <c r="M113" s="199" t="s">
        <v>48</v>
      </c>
      <c r="N113" s="470" t="s">
        <v>74</v>
      </c>
      <c r="O113" s="470"/>
      <c r="P113" s="470"/>
      <c r="Q113" s="470"/>
      <c r="R113" s="485"/>
      <c r="S113" s="16"/>
      <c r="T113" s="16"/>
      <c r="U113" s="16"/>
      <c r="V113" s="16"/>
      <c r="W113" s="16"/>
      <c r="X113" s="16"/>
      <c r="Y113" s="16"/>
      <c r="Z113" s="16"/>
      <c r="AA113" s="16"/>
      <c r="AB113" s="327"/>
      <c r="AC113" s="16"/>
      <c r="AD113" s="16"/>
      <c r="AE113" s="17"/>
      <c r="AS113" s="75"/>
    </row>
    <row r="114" spans="10:45" ht="15.75" customHeight="1" x14ac:dyDescent="0.2">
      <c r="J114" s="16"/>
      <c r="K114" s="323"/>
      <c r="L114" s="86"/>
      <c r="M114" s="488"/>
      <c r="N114" s="223">
        <v>12</v>
      </c>
      <c r="O114" s="223" t="s">
        <v>44</v>
      </c>
      <c r="P114" s="223">
        <f>500+150</f>
        <v>650</v>
      </c>
      <c r="Q114" s="223" t="s">
        <v>47</v>
      </c>
      <c r="R114" s="487"/>
      <c r="S114" s="16"/>
      <c r="T114" s="16"/>
      <c r="U114" s="31"/>
      <c r="V114" s="31"/>
      <c r="W114" s="31"/>
      <c r="X114" s="16"/>
      <c r="Y114" s="16"/>
      <c r="Z114" s="16"/>
      <c r="AA114" s="324"/>
      <c r="AB114" s="327"/>
      <c r="AC114" s="16"/>
      <c r="AD114" s="16"/>
      <c r="AE114" s="17"/>
      <c r="AS114" s="75"/>
    </row>
    <row r="115" spans="10:45" ht="15.75" customHeight="1" x14ac:dyDescent="0.2">
      <c r="J115" s="16"/>
      <c r="K115" s="323"/>
      <c r="L115" s="86"/>
      <c r="M115" s="488"/>
      <c r="N115" s="223">
        <v>24</v>
      </c>
      <c r="O115" s="223" t="s">
        <v>44</v>
      </c>
      <c r="P115" s="223">
        <f>450+150</f>
        <v>600</v>
      </c>
      <c r="Q115" s="223" t="s">
        <v>47</v>
      </c>
      <c r="R115" s="487"/>
      <c r="S115" s="16"/>
      <c r="T115" s="16"/>
      <c r="U115" s="31"/>
      <c r="V115" s="31"/>
      <c r="W115" s="31"/>
      <c r="X115" s="16"/>
      <c r="Y115" s="16"/>
      <c r="Z115" s="16"/>
      <c r="AA115" s="324"/>
      <c r="AB115" s="327"/>
      <c r="AC115" s="16"/>
      <c r="AD115" s="16"/>
      <c r="AE115" s="17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  <c r="AP115" s="75"/>
      <c r="AQ115" s="75"/>
      <c r="AR115" s="75"/>
      <c r="AS115" s="75"/>
    </row>
    <row r="116" spans="10:45" ht="15.75" customHeight="1" x14ac:dyDescent="0.2">
      <c r="J116" s="16"/>
      <c r="K116" s="323"/>
      <c r="L116" s="86"/>
      <c r="M116" s="486"/>
      <c r="N116" s="223">
        <v>36</v>
      </c>
      <c r="O116" s="223" t="s">
        <v>44</v>
      </c>
      <c r="P116" s="223">
        <f>400+150</f>
        <v>550</v>
      </c>
      <c r="Q116" s="223" t="s">
        <v>47</v>
      </c>
      <c r="R116" s="487"/>
      <c r="S116" s="16"/>
      <c r="T116" s="16"/>
      <c r="U116" s="31"/>
      <c r="V116" s="31"/>
      <c r="W116" s="31"/>
      <c r="X116" s="16"/>
      <c r="Y116" s="16"/>
      <c r="Z116" s="16"/>
      <c r="AA116" s="16"/>
      <c r="AB116" s="327"/>
      <c r="AC116" s="16"/>
      <c r="AD116" s="16"/>
      <c r="AE116" s="17"/>
      <c r="AS116" s="75"/>
    </row>
    <row r="117" spans="10:45" ht="15.75" customHeight="1" x14ac:dyDescent="0.2">
      <c r="J117" s="16"/>
      <c r="K117" s="323"/>
      <c r="L117" s="86"/>
      <c r="M117" s="486"/>
      <c r="N117" s="484" t="s">
        <v>46</v>
      </c>
      <c r="O117" s="223" t="s">
        <v>44</v>
      </c>
      <c r="P117" s="223">
        <f>400+150</f>
        <v>550</v>
      </c>
      <c r="Q117" s="223" t="s">
        <v>47</v>
      </c>
      <c r="R117" s="487"/>
      <c r="S117" s="16"/>
      <c r="T117" s="16"/>
      <c r="U117" s="117"/>
      <c r="V117" s="117"/>
      <c r="W117" s="117"/>
      <c r="X117" s="16"/>
      <c r="Y117" s="16"/>
      <c r="Z117" s="16"/>
      <c r="AA117" s="333" t="s">
        <v>12</v>
      </c>
      <c r="AB117" s="327"/>
      <c r="AC117" s="16"/>
      <c r="AD117" s="16"/>
      <c r="AE117" s="17"/>
      <c r="AS117" s="75"/>
    </row>
    <row r="118" spans="10:45" ht="15.75" customHeight="1" x14ac:dyDescent="0.2">
      <c r="J118" s="16"/>
      <c r="K118" s="323"/>
      <c r="L118" s="86"/>
      <c r="M118" s="488"/>
      <c r="N118" s="479" t="s">
        <v>101</v>
      </c>
      <c r="O118" s="480" t="s">
        <v>44</v>
      </c>
      <c r="P118" s="480">
        <f>500+150</f>
        <v>650</v>
      </c>
      <c r="Q118" s="223" t="s">
        <v>47</v>
      </c>
      <c r="R118" s="487"/>
      <c r="S118" s="16"/>
      <c r="T118" s="16"/>
      <c r="U118" s="16"/>
      <c r="V118" s="16"/>
      <c r="W118" s="16"/>
      <c r="X118" s="16"/>
      <c r="Y118" s="16"/>
      <c r="Z118" s="16"/>
      <c r="AA118" s="333" t="s">
        <v>13</v>
      </c>
      <c r="AB118" s="327"/>
      <c r="AC118" s="16"/>
      <c r="AD118" s="16"/>
      <c r="AE118" s="17"/>
      <c r="AS118" s="75"/>
    </row>
    <row r="119" spans="10:45" ht="15.75" customHeight="1" x14ac:dyDescent="0.2">
      <c r="J119" s="16"/>
      <c r="K119" s="323"/>
      <c r="L119" s="86"/>
      <c r="M119" s="495" t="s">
        <v>83</v>
      </c>
      <c r="N119" s="493">
        <v>0.03</v>
      </c>
      <c r="O119" s="223" t="s">
        <v>84</v>
      </c>
      <c r="P119" s="223" t="s">
        <v>85</v>
      </c>
      <c r="Q119" s="223"/>
      <c r="R119" s="487"/>
      <c r="S119" s="16"/>
      <c r="T119" s="16"/>
      <c r="U119" s="16"/>
      <c r="V119" s="16"/>
      <c r="W119" s="16"/>
      <c r="X119" s="16"/>
      <c r="Y119" s="16"/>
      <c r="Z119" s="16"/>
      <c r="AA119" s="333"/>
      <c r="AB119" s="327"/>
      <c r="AC119" s="16"/>
      <c r="AD119" s="16"/>
      <c r="AE119" s="17"/>
    </row>
    <row r="120" spans="10:45" ht="15.75" customHeight="1" x14ac:dyDescent="0.2">
      <c r="J120" s="16"/>
      <c r="K120" s="323"/>
      <c r="L120" s="86"/>
      <c r="M120" s="486"/>
      <c r="N120" s="493">
        <v>0.05</v>
      </c>
      <c r="O120" s="223" t="s">
        <v>86</v>
      </c>
      <c r="P120" s="223" t="s">
        <v>87</v>
      </c>
      <c r="Q120" s="223"/>
      <c r="R120" s="487"/>
      <c r="S120" s="16"/>
      <c r="T120" s="16"/>
      <c r="U120" s="16"/>
      <c r="V120" s="16"/>
      <c r="W120" s="16"/>
      <c r="X120" s="16"/>
      <c r="Y120" s="16"/>
      <c r="Z120" s="16"/>
      <c r="AA120" s="333"/>
      <c r="AB120" s="327"/>
      <c r="AC120" s="16"/>
      <c r="AD120" s="16"/>
      <c r="AE120" s="17"/>
    </row>
    <row r="121" spans="10:45" ht="15.75" customHeight="1" x14ac:dyDescent="0.2">
      <c r="J121" s="16"/>
      <c r="K121" s="323"/>
      <c r="L121" s="86"/>
      <c r="M121" s="486"/>
      <c r="N121" s="493">
        <v>0.08</v>
      </c>
      <c r="O121" s="223" t="s">
        <v>86</v>
      </c>
      <c r="P121" s="494" t="s">
        <v>88</v>
      </c>
      <c r="Q121" s="494"/>
      <c r="R121" s="496"/>
      <c r="S121" s="16"/>
      <c r="T121" s="16"/>
      <c r="U121" s="16"/>
      <c r="V121" s="16"/>
      <c r="W121" s="16"/>
      <c r="X121" s="16"/>
      <c r="Y121" s="16"/>
      <c r="Z121" s="16"/>
      <c r="AA121" s="333"/>
      <c r="AB121" s="327"/>
      <c r="AC121" s="16"/>
      <c r="AD121" s="16"/>
      <c r="AE121" s="17"/>
      <c r="AS121" s="75"/>
    </row>
    <row r="122" spans="10:45" ht="15.75" customHeight="1" x14ac:dyDescent="0.2">
      <c r="J122" s="16"/>
      <c r="K122" s="323"/>
      <c r="L122" s="86"/>
      <c r="M122" s="486"/>
      <c r="N122" s="223"/>
      <c r="O122" s="223"/>
      <c r="P122" s="494"/>
      <c r="Q122" s="494"/>
      <c r="R122" s="496"/>
      <c r="S122" s="16"/>
      <c r="T122" s="16"/>
      <c r="U122" s="16"/>
      <c r="V122" s="16"/>
      <c r="W122" s="16"/>
      <c r="X122" s="16"/>
      <c r="Y122" s="16"/>
      <c r="Z122" s="16"/>
      <c r="AA122" s="333"/>
      <c r="AB122" s="327"/>
      <c r="AC122" s="16"/>
      <c r="AD122" s="16"/>
      <c r="AE122" s="17"/>
      <c r="AS122" s="75"/>
    </row>
    <row r="123" spans="10:45" ht="15.75" customHeight="1" thickBot="1" x14ac:dyDescent="0.25">
      <c r="J123" s="16"/>
      <c r="K123" s="323"/>
      <c r="L123" s="86"/>
      <c r="M123" s="497"/>
      <c r="N123" s="231"/>
      <c r="O123" s="231"/>
      <c r="P123" s="498"/>
      <c r="Q123" s="498"/>
      <c r="R123" s="499"/>
      <c r="S123" s="16"/>
      <c r="T123" s="16"/>
      <c r="U123" s="16"/>
      <c r="V123" s="16"/>
      <c r="W123" s="16"/>
      <c r="X123" s="16"/>
      <c r="Y123" s="16"/>
      <c r="Z123" s="16"/>
      <c r="AA123" s="333"/>
      <c r="AB123" s="327"/>
      <c r="AC123" s="16"/>
      <c r="AD123" s="16"/>
      <c r="AE123" s="17"/>
      <c r="AS123" s="75"/>
    </row>
    <row r="124" spans="10:45" ht="15.75" customHeight="1" x14ac:dyDescent="0.2">
      <c r="J124" s="16"/>
      <c r="K124" s="323"/>
      <c r="L124" s="8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333"/>
      <c r="AB124" s="327"/>
      <c r="AC124" s="16"/>
      <c r="AD124" s="16"/>
      <c r="AE124" s="17"/>
      <c r="AS124" s="75"/>
    </row>
    <row r="125" spans="10:45" ht="15.75" customHeight="1" thickBot="1" x14ac:dyDescent="0.25">
      <c r="J125" s="16"/>
      <c r="K125" s="21"/>
      <c r="L125" s="334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335"/>
      <c r="AB125" s="336"/>
      <c r="AC125" s="18"/>
      <c r="AD125" s="18"/>
      <c r="AE125" s="34"/>
      <c r="AS125" s="75"/>
    </row>
    <row r="126" spans="10:45" ht="15.75" customHeight="1" x14ac:dyDescent="0.2">
      <c r="J126" s="16"/>
      <c r="K126" s="16"/>
      <c r="L126" s="86"/>
      <c r="AA126" s="9"/>
      <c r="AS126" s="75"/>
    </row>
    <row r="127" spans="10:45" ht="15.75" customHeight="1" x14ac:dyDescent="0.2">
      <c r="J127" s="16"/>
      <c r="K127" s="727" t="s">
        <v>283</v>
      </c>
      <c r="L127" s="727"/>
      <c r="M127" s="727"/>
      <c r="N127" s="727"/>
      <c r="O127" s="727"/>
      <c r="P127" s="727"/>
      <c r="Q127" s="727"/>
      <c r="R127" s="727"/>
      <c r="S127" s="727"/>
      <c r="T127" s="727"/>
      <c r="U127" s="727"/>
      <c r="V127" s="727"/>
      <c r="W127" s="727"/>
      <c r="X127" s="727"/>
      <c r="Y127" s="727"/>
      <c r="Z127" s="727"/>
      <c r="AA127" s="727"/>
      <c r="AB127" s="727"/>
      <c r="AC127" s="727"/>
      <c r="AD127" s="727"/>
      <c r="AE127" s="727"/>
      <c r="AS127" s="75"/>
    </row>
    <row r="128" spans="10:45" ht="15.75" customHeight="1" thickBot="1" x14ac:dyDescent="0.25">
      <c r="J128" s="16"/>
      <c r="K128" s="338"/>
      <c r="L128" s="339"/>
      <c r="M128" s="340"/>
      <c r="N128" s="340"/>
      <c r="O128" s="340"/>
      <c r="P128" s="340"/>
      <c r="Q128" s="340"/>
      <c r="R128" s="340"/>
      <c r="S128" s="340"/>
      <c r="T128" s="340"/>
      <c r="U128" s="340"/>
      <c r="V128" s="340"/>
      <c r="W128" s="340"/>
      <c r="X128" s="340"/>
      <c r="Y128" s="340"/>
      <c r="Z128" s="340"/>
      <c r="AA128" s="341"/>
      <c r="AB128" s="342"/>
      <c r="AC128" s="340"/>
      <c r="AD128" s="340"/>
      <c r="AE128" s="343"/>
      <c r="AS128" s="75"/>
    </row>
    <row r="129" spans="10:45" ht="15.75" customHeight="1" x14ac:dyDescent="0.2">
      <c r="J129" s="16"/>
      <c r="K129" s="344"/>
      <c r="L129" s="86" t="s">
        <v>216</v>
      </c>
      <c r="M129" s="337" t="s">
        <v>289</v>
      </c>
      <c r="N129" s="197"/>
      <c r="O129" s="197"/>
      <c r="P129" s="39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333"/>
      <c r="AB129" s="327"/>
      <c r="AC129" s="16"/>
      <c r="AD129" s="16"/>
      <c r="AE129" s="287"/>
      <c r="AS129" s="75"/>
    </row>
    <row r="130" spans="10:45" ht="15.75" customHeight="1" x14ac:dyDescent="0.2">
      <c r="J130" s="16"/>
      <c r="K130" s="344"/>
      <c r="L130" s="86"/>
      <c r="M130" s="221" t="s">
        <v>59</v>
      </c>
      <c r="N130" s="16"/>
      <c r="O130" s="320"/>
      <c r="P130" s="16"/>
      <c r="Q130" s="16"/>
      <c r="R130" s="16"/>
      <c r="S130" s="16"/>
      <c r="T130" s="729" t="s">
        <v>185</v>
      </c>
      <c r="U130" s="730"/>
      <c r="V130" s="16"/>
      <c r="W130" s="16"/>
      <c r="X130" s="16"/>
      <c r="Y130" s="16"/>
      <c r="Z130" s="16"/>
      <c r="AA130" s="333"/>
      <c r="AB130" s="327"/>
      <c r="AC130" s="16"/>
      <c r="AD130" s="16"/>
      <c r="AE130" s="287"/>
      <c r="AS130" s="75"/>
    </row>
    <row r="131" spans="10:45" ht="15.75" customHeight="1" x14ac:dyDescent="0.2">
      <c r="J131" s="16"/>
      <c r="K131" s="344"/>
      <c r="L131" s="86"/>
      <c r="M131" s="221" t="s">
        <v>60</v>
      </c>
      <c r="N131" s="16"/>
      <c r="O131" s="197"/>
      <c r="P131" s="16"/>
      <c r="Q131" s="16"/>
      <c r="R131" s="16"/>
      <c r="S131" s="16"/>
      <c r="T131" s="3" t="s">
        <v>187</v>
      </c>
      <c r="U131" s="3">
        <v>0.05</v>
      </c>
      <c r="V131" s="16"/>
      <c r="W131" s="16"/>
      <c r="X131" s="16"/>
      <c r="Y131" s="16"/>
      <c r="Z131" s="16"/>
      <c r="AA131" s="333"/>
      <c r="AB131" s="327"/>
      <c r="AC131" s="16"/>
      <c r="AD131" s="16"/>
      <c r="AE131" s="287"/>
    </row>
    <row r="132" spans="10:45" ht="15.75" customHeight="1" x14ac:dyDescent="0.2">
      <c r="J132" s="16"/>
      <c r="K132" s="344"/>
      <c r="L132" s="86"/>
      <c r="M132" s="221" t="s">
        <v>23</v>
      </c>
      <c r="N132" s="16"/>
      <c r="O132" s="16"/>
      <c r="P132" s="16"/>
      <c r="Q132" s="16"/>
      <c r="R132" s="16"/>
      <c r="S132" s="16"/>
      <c r="T132" s="3" t="s">
        <v>188</v>
      </c>
      <c r="U132" s="3">
        <v>0.1</v>
      </c>
      <c r="V132" s="16"/>
      <c r="W132" s="16"/>
      <c r="X132" s="16"/>
      <c r="Y132" s="16"/>
      <c r="Z132" s="16"/>
      <c r="AA132" s="333"/>
      <c r="AB132" s="327"/>
      <c r="AC132" s="16"/>
      <c r="AD132" s="16"/>
      <c r="AE132" s="287"/>
    </row>
    <row r="133" spans="10:45" ht="15.75" customHeight="1" thickBot="1" x14ac:dyDescent="0.25">
      <c r="J133" s="16"/>
      <c r="K133" s="344"/>
      <c r="L133" s="86"/>
      <c r="M133" s="16"/>
      <c r="N133" s="16"/>
      <c r="O133" s="16"/>
      <c r="P133" s="16"/>
      <c r="Q133" s="16"/>
      <c r="R133" s="16"/>
      <c r="S133" s="16"/>
      <c r="T133" s="3" t="s">
        <v>189</v>
      </c>
      <c r="U133" s="3">
        <v>0.15</v>
      </c>
      <c r="V133" s="16"/>
      <c r="W133" s="16"/>
      <c r="X133" s="16"/>
      <c r="Y133" s="16"/>
      <c r="Z133" s="16"/>
      <c r="AA133" s="333"/>
      <c r="AB133" s="327"/>
      <c r="AC133" s="16"/>
      <c r="AD133" s="16"/>
      <c r="AE133" s="287"/>
    </row>
    <row r="134" spans="10:45" ht="15.75" customHeight="1" thickBot="1" x14ac:dyDescent="0.25">
      <c r="J134" s="16"/>
      <c r="K134" s="344"/>
      <c r="L134" s="86" t="s">
        <v>217</v>
      </c>
      <c r="M134" s="20" t="s">
        <v>287</v>
      </c>
      <c r="N134" s="20" t="s">
        <v>286</v>
      </c>
      <c r="O134" s="20" t="s">
        <v>288</v>
      </c>
      <c r="P134" s="16"/>
      <c r="Q134" s="16"/>
      <c r="R134" s="16"/>
      <c r="S134" s="16"/>
      <c r="T134" s="3" t="s">
        <v>190</v>
      </c>
      <c r="U134" s="3">
        <v>0.2</v>
      </c>
      <c r="V134" s="16"/>
      <c r="W134" s="16"/>
      <c r="X134" s="324"/>
      <c r="Y134" s="324"/>
      <c r="Z134" s="324"/>
      <c r="AA134" s="324"/>
      <c r="AB134" s="327"/>
      <c r="AC134" s="16"/>
      <c r="AD134" s="16"/>
      <c r="AE134" s="287"/>
    </row>
    <row r="135" spans="10:45" ht="15.75" customHeight="1" x14ac:dyDescent="0.2">
      <c r="J135" s="16"/>
      <c r="K135" s="344"/>
      <c r="L135" s="86"/>
      <c r="M135" s="3" t="s">
        <v>284</v>
      </c>
      <c r="N135" s="3">
        <v>850</v>
      </c>
      <c r="O135" s="221" t="s">
        <v>61</v>
      </c>
      <c r="P135" s="16"/>
      <c r="Q135" s="16"/>
      <c r="R135" s="16"/>
      <c r="S135" s="16"/>
      <c r="T135" s="244" t="s">
        <v>23</v>
      </c>
      <c r="U135" s="3">
        <v>0</v>
      </c>
      <c r="V135" s="16"/>
      <c r="W135" s="16"/>
      <c r="X135" s="324"/>
      <c r="Y135" s="324"/>
      <c r="Z135" s="324"/>
      <c r="AA135" s="324"/>
      <c r="AB135" s="327"/>
      <c r="AC135" s="16"/>
      <c r="AD135" s="16"/>
      <c r="AE135" s="287"/>
    </row>
    <row r="136" spans="10:45" ht="15.75" customHeight="1" x14ac:dyDescent="0.2">
      <c r="J136" s="16"/>
      <c r="K136" s="344"/>
      <c r="L136" s="86"/>
      <c r="M136" s="3" t="s">
        <v>285</v>
      </c>
      <c r="N136" s="3">
        <v>750</v>
      </c>
      <c r="O136" s="221" t="s">
        <v>62</v>
      </c>
      <c r="P136" s="16"/>
      <c r="Q136" s="16"/>
      <c r="R136" s="16"/>
      <c r="S136" s="16"/>
      <c r="T136" s="16"/>
      <c r="U136" s="16"/>
      <c r="V136" s="16"/>
      <c r="W136" s="16"/>
      <c r="X136" s="324"/>
      <c r="Y136" s="324"/>
      <c r="Z136" s="324"/>
      <c r="AA136" s="324"/>
      <c r="AB136" s="327"/>
      <c r="AC136" s="16"/>
      <c r="AD136" s="16"/>
      <c r="AE136" s="287"/>
    </row>
    <row r="137" spans="10:45" ht="15.75" customHeight="1" x14ac:dyDescent="0.2">
      <c r="J137" s="16"/>
      <c r="K137" s="344"/>
      <c r="L137" s="86"/>
      <c r="M137" s="3" t="s">
        <v>290</v>
      </c>
      <c r="N137" s="3">
        <v>700</v>
      </c>
      <c r="O137" s="221" t="s">
        <v>23</v>
      </c>
      <c r="P137" s="16"/>
      <c r="Q137" s="16"/>
      <c r="R137" s="16"/>
      <c r="S137" s="16"/>
      <c r="T137" s="16"/>
      <c r="U137" s="16"/>
      <c r="V137" s="16"/>
      <c r="W137" s="16"/>
      <c r="X137" s="324"/>
      <c r="Y137" s="324"/>
      <c r="Z137" s="324"/>
      <c r="AA137" s="324"/>
      <c r="AB137" s="327"/>
      <c r="AC137" s="16"/>
      <c r="AD137" s="16"/>
      <c r="AE137" s="287"/>
    </row>
    <row r="138" spans="10:45" ht="15.75" customHeight="1" thickBot="1" x14ac:dyDescent="0.25">
      <c r="J138" s="16"/>
      <c r="K138" s="344"/>
      <c r="L138" s="86"/>
      <c r="M138" s="16"/>
      <c r="N138" s="16"/>
      <c r="O138" s="16"/>
      <c r="P138" s="16"/>
      <c r="Q138" s="16"/>
      <c r="R138" s="16"/>
      <c r="S138" s="111"/>
      <c r="T138" s="111"/>
      <c r="U138" s="111"/>
      <c r="V138" s="111"/>
      <c r="W138" s="111"/>
      <c r="X138" s="324"/>
      <c r="Y138" s="324"/>
      <c r="Z138" s="324"/>
      <c r="AA138" s="324"/>
      <c r="AB138" s="327"/>
      <c r="AC138" s="16"/>
      <c r="AD138" s="16"/>
      <c r="AE138" s="287"/>
    </row>
    <row r="139" spans="10:45" ht="15.75" customHeight="1" x14ac:dyDescent="0.2">
      <c r="J139" s="16"/>
      <c r="K139" s="344"/>
      <c r="L139" s="16" t="s">
        <v>254</v>
      </c>
      <c r="M139" s="337" t="s">
        <v>291</v>
      </c>
      <c r="N139" s="337" t="s">
        <v>286</v>
      </c>
      <c r="O139" s="16"/>
      <c r="P139" s="16"/>
      <c r="Q139" s="16"/>
      <c r="R139" s="111"/>
      <c r="S139" s="111"/>
      <c r="T139" s="111"/>
      <c r="U139" s="111"/>
      <c r="V139" s="111"/>
      <c r="W139" s="111"/>
      <c r="X139" s="324"/>
      <c r="Y139" s="324"/>
      <c r="Z139" s="324"/>
      <c r="AA139" s="324"/>
      <c r="AB139" s="327"/>
      <c r="AC139" s="16"/>
      <c r="AD139" s="16"/>
      <c r="AE139" s="287"/>
    </row>
    <row r="140" spans="10:45" ht="15.75" customHeight="1" x14ac:dyDescent="0.2">
      <c r="J140" s="16"/>
      <c r="K140" s="344"/>
      <c r="L140" s="16"/>
      <c r="M140" s="221" t="s">
        <v>292</v>
      </c>
      <c r="N140" s="319">
        <v>550</v>
      </c>
      <c r="O140" s="16"/>
      <c r="P140" s="16"/>
      <c r="Q140" s="16"/>
      <c r="R140" s="111"/>
      <c r="S140" s="111"/>
      <c r="T140" s="111"/>
      <c r="U140" s="111"/>
      <c r="V140" s="111"/>
      <c r="W140" s="111"/>
      <c r="X140" s="324"/>
      <c r="Y140" s="324"/>
      <c r="Z140" s="324"/>
      <c r="AA140" s="324"/>
      <c r="AB140" s="327"/>
      <c r="AC140" s="16"/>
      <c r="AD140" s="16"/>
      <c r="AE140" s="287"/>
    </row>
    <row r="141" spans="10:45" ht="15.75" customHeight="1" x14ac:dyDescent="0.2">
      <c r="J141" s="16"/>
      <c r="K141" s="344"/>
      <c r="L141" s="16"/>
      <c r="M141" s="221" t="s">
        <v>293</v>
      </c>
      <c r="N141" s="319">
        <v>850</v>
      </c>
      <c r="O141" s="16"/>
      <c r="P141" s="16"/>
      <c r="Q141" s="16"/>
      <c r="R141" s="117"/>
      <c r="S141" s="117"/>
      <c r="T141" s="117"/>
      <c r="U141" s="117"/>
      <c r="V141" s="117"/>
      <c r="W141" s="117"/>
      <c r="X141" s="324"/>
      <c r="Y141" s="324"/>
      <c r="Z141" s="324"/>
      <c r="AA141" s="324"/>
      <c r="AB141" s="327"/>
      <c r="AC141" s="16"/>
      <c r="AD141" s="16"/>
      <c r="AE141" s="287"/>
    </row>
    <row r="142" spans="10:45" ht="15.75" customHeight="1" x14ac:dyDescent="0.2">
      <c r="J142" s="16"/>
      <c r="K142" s="344"/>
      <c r="L142" s="16"/>
      <c r="M142" s="221" t="s">
        <v>294</v>
      </c>
      <c r="N142" s="319">
        <v>750</v>
      </c>
      <c r="O142" s="16"/>
      <c r="P142" s="16"/>
      <c r="Q142" s="16"/>
      <c r="R142" s="117"/>
      <c r="S142" s="117"/>
      <c r="T142" s="117"/>
      <c r="U142" s="117"/>
      <c r="V142" s="117"/>
      <c r="W142" s="117"/>
      <c r="X142" s="324"/>
      <c r="Y142" s="324"/>
      <c r="Z142" s="324"/>
      <c r="AA142" s="324"/>
      <c r="AB142" s="327"/>
      <c r="AC142" s="16"/>
      <c r="AD142" s="16"/>
      <c r="AE142" s="287"/>
    </row>
    <row r="143" spans="10:45" ht="15.75" customHeight="1" x14ac:dyDescent="0.2">
      <c r="J143" s="16"/>
      <c r="K143" s="344"/>
      <c r="L143" s="16"/>
      <c r="M143" s="221" t="s">
        <v>295</v>
      </c>
      <c r="N143" s="319">
        <v>750</v>
      </c>
      <c r="O143" s="16"/>
      <c r="P143" s="16"/>
      <c r="Q143" s="16"/>
      <c r="R143" s="16"/>
      <c r="S143" s="324"/>
      <c r="T143" s="324"/>
      <c r="U143" s="324"/>
      <c r="V143" s="324"/>
      <c r="W143" s="324"/>
      <c r="X143" s="324"/>
      <c r="Y143" s="324"/>
      <c r="Z143" s="324"/>
      <c r="AA143" s="324"/>
      <c r="AB143" s="16"/>
      <c r="AC143" s="16"/>
      <c r="AD143" s="16"/>
      <c r="AE143" s="287"/>
    </row>
    <row r="144" spans="10:45" ht="15.75" customHeight="1" x14ac:dyDescent="0.2">
      <c r="J144" s="16"/>
      <c r="K144" s="344"/>
      <c r="L144" s="16"/>
      <c r="M144" s="3" t="s">
        <v>23</v>
      </c>
      <c r="N144" s="3">
        <v>0</v>
      </c>
      <c r="O144" s="16"/>
      <c r="P144" s="16"/>
      <c r="Q144" s="16"/>
      <c r="R144" s="16"/>
      <c r="S144" s="324"/>
      <c r="T144" s="324"/>
      <c r="U144" s="324"/>
      <c r="V144" s="324"/>
      <c r="W144" s="324"/>
      <c r="X144" s="324"/>
      <c r="Y144" s="111"/>
      <c r="Z144" s="111"/>
      <c r="AA144" s="324"/>
      <c r="AB144" s="16"/>
      <c r="AC144" s="16"/>
      <c r="AD144" s="16"/>
      <c r="AE144" s="287"/>
    </row>
    <row r="145" spans="10:31" ht="15.75" customHeight="1" x14ac:dyDescent="0.2">
      <c r="J145" s="16"/>
      <c r="K145" s="344"/>
      <c r="L145" s="16"/>
      <c r="M145" s="16"/>
      <c r="N145" s="16"/>
      <c r="O145" s="16"/>
      <c r="P145" s="16"/>
      <c r="Q145" s="16"/>
      <c r="R145" s="16"/>
      <c r="S145" s="324"/>
      <c r="T145" s="324"/>
      <c r="U145" s="324"/>
      <c r="V145" s="324"/>
      <c r="W145" s="324"/>
      <c r="X145" s="324"/>
      <c r="Y145" s="111"/>
      <c r="Z145" s="111"/>
      <c r="AA145" s="324"/>
      <c r="AB145" s="16"/>
      <c r="AC145" s="16"/>
      <c r="AD145" s="16"/>
      <c r="AE145" s="287"/>
    </row>
    <row r="146" spans="10:31" ht="15.75" customHeight="1" x14ac:dyDescent="0.2">
      <c r="J146" s="287"/>
      <c r="K146" s="344"/>
      <c r="L146" s="16"/>
      <c r="M146" s="16"/>
      <c r="N146" s="16"/>
      <c r="O146" s="16"/>
      <c r="P146" s="16"/>
      <c r="Q146" s="16"/>
      <c r="R146" s="16"/>
      <c r="S146" s="324"/>
      <c r="T146" s="324"/>
      <c r="U146" s="324"/>
      <c r="V146" s="324"/>
      <c r="W146" s="324"/>
      <c r="X146" s="324"/>
      <c r="Y146" s="111"/>
      <c r="Z146" s="111"/>
      <c r="AA146" s="324"/>
      <c r="AB146" s="16"/>
      <c r="AC146" s="16"/>
      <c r="AD146" s="16"/>
      <c r="AE146" s="287"/>
    </row>
    <row r="147" spans="10:31" ht="15.75" customHeight="1" x14ac:dyDescent="0.2">
      <c r="J147" s="16"/>
      <c r="K147" s="344"/>
      <c r="L147" s="16" t="s">
        <v>255</v>
      </c>
      <c r="M147" s="723" t="s">
        <v>178</v>
      </c>
      <c r="N147" s="724"/>
      <c r="O147" s="16"/>
      <c r="P147" s="16"/>
      <c r="Q147" s="16"/>
      <c r="R147" s="16"/>
      <c r="S147" s="324"/>
      <c r="T147" s="324"/>
      <c r="U147" s="324"/>
      <c r="V147" s="324"/>
      <c r="W147" s="324"/>
      <c r="X147" s="324"/>
      <c r="Y147" s="111"/>
      <c r="Z147" s="111"/>
      <c r="AA147" s="324"/>
      <c r="AB147" s="16"/>
      <c r="AC147" s="16"/>
      <c r="AD147" s="16"/>
      <c r="AE147" s="287"/>
    </row>
    <row r="148" spans="10:31" ht="15.75" customHeight="1" x14ac:dyDescent="0.2">
      <c r="J148" s="16"/>
      <c r="K148" s="344"/>
      <c r="L148" s="16"/>
      <c r="M148" s="244" t="s">
        <v>66</v>
      </c>
      <c r="N148" s="244">
        <v>40000</v>
      </c>
      <c r="O148" s="244" t="s">
        <v>31</v>
      </c>
      <c r="P148" s="16"/>
      <c r="Q148" s="16"/>
      <c r="R148" s="16"/>
      <c r="S148" s="324"/>
      <c r="T148" s="324"/>
      <c r="U148" s="324"/>
      <c r="V148" s="324"/>
      <c r="W148" s="324"/>
      <c r="X148" s="324"/>
      <c r="Y148" s="111"/>
      <c r="Z148" s="111"/>
      <c r="AA148" s="324"/>
      <c r="AB148" s="327"/>
      <c r="AC148" s="16"/>
      <c r="AD148" s="16"/>
      <c r="AE148" s="287"/>
    </row>
    <row r="149" spans="10:31" ht="15.75" customHeight="1" x14ac:dyDescent="0.2">
      <c r="J149" s="16"/>
      <c r="K149" s="344"/>
      <c r="L149" s="16"/>
      <c r="M149" s="244" t="s">
        <v>68</v>
      </c>
      <c r="N149" s="244">
        <v>45000</v>
      </c>
      <c r="O149" s="244" t="s">
        <v>23</v>
      </c>
      <c r="P149" s="16"/>
      <c r="Q149" s="16"/>
      <c r="R149" s="16"/>
      <c r="S149" s="324"/>
      <c r="T149" s="324"/>
      <c r="U149" s="324"/>
      <c r="V149" s="324"/>
      <c r="W149" s="324"/>
      <c r="X149" s="324"/>
      <c r="Y149" s="111"/>
      <c r="Z149" s="111"/>
      <c r="AA149" s="324"/>
      <c r="AB149" s="327"/>
      <c r="AC149" s="16"/>
      <c r="AD149" s="16"/>
      <c r="AE149" s="287"/>
    </row>
    <row r="150" spans="10:31" ht="15.75" customHeight="1" x14ac:dyDescent="0.2">
      <c r="J150" s="16"/>
      <c r="K150" s="344"/>
      <c r="L150" s="16"/>
      <c r="M150" s="221" t="s">
        <v>67</v>
      </c>
      <c r="N150" s="244">
        <v>50000</v>
      </c>
      <c r="O150" s="16"/>
      <c r="P150" s="16"/>
      <c r="Q150" s="16"/>
      <c r="R150" s="16"/>
      <c r="S150" s="324"/>
      <c r="T150" s="324"/>
      <c r="U150" s="324"/>
      <c r="V150" s="324"/>
      <c r="W150" s="324"/>
      <c r="X150" s="324"/>
      <c r="Y150" s="111"/>
      <c r="Z150" s="111"/>
      <c r="AA150" s="324"/>
      <c r="AB150" s="327"/>
      <c r="AC150" s="16"/>
      <c r="AD150" s="16"/>
      <c r="AE150" s="287"/>
    </row>
    <row r="151" spans="10:31" ht="15.75" customHeight="1" x14ac:dyDescent="0.2">
      <c r="J151" s="16"/>
      <c r="K151" s="344"/>
      <c r="L151" s="16"/>
      <c r="M151" s="16"/>
      <c r="N151" s="16"/>
      <c r="O151" s="16"/>
      <c r="P151" s="16"/>
      <c r="Q151" s="16"/>
      <c r="R151" s="16"/>
      <c r="S151" s="324"/>
      <c r="T151" s="324"/>
      <c r="U151" s="324"/>
      <c r="V151" s="324"/>
      <c r="W151" s="324"/>
      <c r="X151" s="324"/>
      <c r="Y151" s="111"/>
      <c r="Z151" s="111"/>
      <c r="AA151" s="324"/>
      <c r="AB151" s="327"/>
      <c r="AC151" s="16"/>
      <c r="AD151" s="16"/>
      <c r="AE151" s="287"/>
    </row>
    <row r="152" spans="10:31" ht="15.75" customHeight="1" x14ac:dyDescent="0.2">
      <c r="J152" s="16"/>
      <c r="K152" s="344"/>
      <c r="L152" s="16" t="s">
        <v>256</v>
      </c>
      <c r="M152" s="731" t="s">
        <v>161</v>
      </c>
      <c r="N152" s="731"/>
      <c r="O152" s="731"/>
      <c r="P152" s="16"/>
      <c r="Q152" s="16"/>
      <c r="R152" s="16"/>
      <c r="S152" s="324"/>
      <c r="T152" s="324"/>
      <c r="U152" s="324"/>
      <c r="V152" s="324"/>
      <c r="W152" s="324"/>
      <c r="X152" s="324"/>
      <c r="Y152" s="193"/>
      <c r="Z152" s="193"/>
      <c r="AA152" s="324"/>
      <c r="AB152" s="327"/>
      <c r="AC152" s="16"/>
      <c r="AD152" s="16"/>
      <c r="AE152" s="287"/>
    </row>
    <row r="153" spans="10:31" ht="15.75" customHeight="1" x14ac:dyDescent="0.2">
      <c r="J153" s="16"/>
      <c r="K153" s="344"/>
      <c r="L153" s="16"/>
      <c r="M153" s="192" t="s">
        <v>159</v>
      </c>
      <c r="N153" s="192"/>
      <c r="O153" s="189" t="s">
        <v>160</v>
      </c>
      <c r="P153" s="16"/>
      <c r="Q153" s="16"/>
      <c r="R153" s="16"/>
      <c r="S153" s="324"/>
      <c r="T153" s="324"/>
      <c r="U153" s="324"/>
      <c r="V153" s="324"/>
      <c r="W153" s="324"/>
      <c r="X153" s="324"/>
      <c r="Y153" s="193"/>
      <c r="Z153" s="193"/>
      <c r="AA153" s="324"/>
      <c r="AB153" s="327"/>
      <c r="AC153" s="16"/>
      <c r="AD153" s="16"/>
      <c r="AE153" s="287"/>
    </row>
    <row r="154" spans="10:31" ht="15.75" customHeight="1" x14ac:dyDescent="0.2">
      <c r="J154" s="16"/>
      <c r="K154" s="344"/>
      <c r="L154" s="16"/>
      <c r="M154" s="3">
        <v>2.0099999999999998</v>
      </c>
      <c r="N154" s="190">
        <v>3.01</v>
      </c>
      <c r="O154" s="191">
        <v>9</v>
      </c>
      <c r="P154" s="16"/>
      <c r="Q154" s="16"/>
      <c r="R154" s="16"/>
      <c r="S154" s="324"/>
      <c r="T154" s="324"/>
      <c r="U154" s="324"/>
      <c r="V154" s="324"/>
      <c r="W154" s="324"/>
      <c r="X154" s="324"/>
      <c r="Y154" s="193"/>
      <c r="Z154" s="193"/>
      <c r="AA154" s="324"/>
      <c r="AB154" s="327"/>
      <c r="AC154" s="16"/>
      <c r="AD154" s="16"/>
      <c r="AE154" s="287"/>
    </row>
    <row r="155" spans="10:31" ht="15.75" customHeight="1" x14ac:dyDescent="0.2">
      <c r="J155" s="16"/>
      <c r="K155" s="344"/>
      <c r="L155" s="16"/>
      <c r="M155" s="3">
        <v>3.01</v>
      </c>
      <c r="N155" s="190">
        <v>4.01</v>
      </c>
      <c r="O155" s="191">
        <v>14</v>
      </c>
      <c r="P155" s="16"/>
      <c r="Q155" s="16"/>
      <c r="R155" s="16"/>
      <c r="S155" s="324"/>
      <c r="T155" s="324"/>
      <c r="U155" s="324"/>
      <c r="V155" s="324"/>
      <c r="W155" s="324"/>
      <c r="X155" s="324"/>
      <c r="Y155" s="193"/>
      <c r="Z155" s="193"/>
      <c r="AA155" s="324"/>
      <c r="AB155" s="327"/>
      <c r="AC155" s="16"/>
      <c r="AD155" s="16"/>
      <c r="AE155" s="287"/>
    </row>
    <row r="156" spans="10:31" ht="15.75" customHeight="1" x14ac:dyDescent="0.2">
      <c r="J156" s="16"/>
      <c r="K156" s="344"/>
      <c r="L156" s="16"/>
      <c r="M156" s="3">
        <v>4.01</v>
      </c>
      <c r="N156" s="190">
        <v>5.01</v>
      </c>
      <c r="O156" s="191">
        <v>18</v>
      </c>
      <c r="P156" s="16"/>
      <c r="Q156" s="16"/>
      <c r="R156" s="16"/>
      <c r="S156" s="324"/>
      <c r="T156" s="324"/>
      <c r="U156" s="324"/>
      <c r="V156" s="324"/>
      <c r="W156" s="324"/>
      <c r="X156" s="324"/>
      <c r="Y156" s="193"/>
      <c r="Z156" s="193"/>
      <c r="AA156" s="324"/>
      <c r="AB156" s="327"/>
      <c r="AC156" s="16"/>
      <c r="AD156" s="16"/>
      <c r="AE156" s="287"/>
    </row>
    <row r="157" spans="10:31" ht="15.75" customHeight="1" x14ac:dyDescent="0.2">
      <c r="J157" s="16"/>
      <c r="K157" s="344"/>
      <c r="L157" s="16"/>
      <c r="M157" s="3">
        <v>5.01</v>
      </c>
      <c r="N157" s="190">
        <v>6.01</v>
      </c>
      <c r="O157" s="191">
        <v>23</v>
      </c>
      <c r="P157" s="16"/>
      <c r="Q157" s="16"/>
      <c r="R157" s="16"/>
      <c r="S157" s="324"/>
      <c r="T157" s="324"/>
      <c r="U157" s="324"/>
      <c r="V157" s="324"/>
      <c r="W157" s="324"/>
      <c r="X157" s="324"/>
      <c r="Y157" s="193"/>
      <c r="Z157" s="193"/>
      <c r="AA157" s="324"/>
      <c r="AB157" s="327"/>
      <c r="AC157" s="16"/>
      <c r="AD157" s="16"/>
      <c r="AE157" s="287"/>
    </row>
    <row r="158" spans="10:31" ht="15.75" customHeight="1" x14ac:dyDescent="0.2">
      <c r="J158" s="16"/>
      <c r="K158" s="344"/>
      <c r="L158" s="16"/>
      <c r="M158" s="3">
        <v>6.01</v>
      </c>
      <c r="N158" s="190">
        <v>7.01</v>
      </c>
      <c r="O158" s="191">
        <v>28</v>
      </c>
      <c r="P158" s="16"/>
      <c r="Q158" s="16"/>
      <c r="R158" s="16"/>
      <c r="S158" s="324"/>
      <c r="T158" s="324"/>
      <c r="U158" s="324"/>
      <c r="V158" s="324"/>
      <c r="W158" s="324"/>
      <c r="X158" s="324"/>
      <c r="Y158" s="193"/>
      <c r="Z158" s="193"/>
      <c r="AA158" s="324"/>
      <c r="AB158" s="327"/>
      <c r="AC158" s="16"/>
      <c r="AD158" s="16"/>
      <c r="AE158" s="287"/>
    </row>
    <row r="159" spans="10:31" ht="15.75" customHeight="1" x14ac:dyDescent="0.2">
      <c r="J159" s="16"/>
      <c r="K159" s="344"/>
      <c r="L159" s="16"/>
      <c r="M159" s="3">
        <v>7.01</v>
      </c>
      <c r="N159" s="190">
        <v>8.01</v>
      </c>
      <c r="O159" s="191">
        <v>32</v>
      </c>
      <c r="P159" s="16"/>
      <c r="Q159" s="16"/>
      <c r="R159" s="16"/>
      <c r="S159" s="324"/>
      <c r="T159" s="324"/>
      <c r="U159" s="324"/>
      <c r="V159" s="324"/>
      <c r="W159" s="324"/>
      <c r="X159" s="324"/>
      <c r="Y159" s="193"/>
      <c r="Z159" s="193"/>
      <c r="AA159" s="324"/>
      <c r="AB159" s="327"/>
      <c r="AC159" s="16"/>
      <c r="AD159" s="16"/>
      <c r="AE159" s="287"/>
    </row>
    <row r="160" spans="10:31" ht="15.75" customHeight="1" x14ac:dyDescent="0.2">
      <c r="J160" s="16"/>
      <c r="K160" s="344"/>
      <c r="L160" s="16"/>
      <c r="M160" s="3">
        <v>8.01</v>
      </c>
      <c r="N160" s="190">
        <v>9.01</v>
      </c>
      <c r="O160" s="191">
        <v>37</v>
      </c>
      <c r="P160" s="16"/>
      <c r="Q160" s="16"/>
      <c r="R160" s="16"/>
      <c r="S160" s="324"/>
      <c r="T160" s="324"/>
      <c r="U160" s="324"/>
      <c r="V160" s="324"/>
      <c r="W160" s="324"/>
      <c r="X160" s="324"/>
      <c r="Y160" s="193"/>
      <c r="Z160" s="193"/>
      <c r="AA160" s="324"/>
      <c r="AB160" s="327"/>
      <c r="AC160" s="16"/>
      <c r="AD160" s="16"/>
      <c r="AE160" s="287"/>
    </row>
    <row r="161" spans="10:31" ht="15.75" customHeight="1" x14ac:dyDescent="0.2">
      <c r="J161" s="16"/>
      <c r="K161" s="344"/>
      <c r="L161" s="16"/>
      <c r="M161" s="3">
        <v>9.01</v>
      </c>
      <c r="N161" s="190">
        <v>10.01</v>
      </c>
      <c r="O161" s="191">
        <v>42</v>
      </c>
      <c r="P161" s="16"/>
      <c r="Q161" s="16"/>
      <c r="R161" s="16"/>
      <c r="S161" s="324"/>
      <c r="T161" s="324"/>
      <c r="U161" s="324"/>
      <c r="V161" s="324"/>
      <c r="W161" s="324"/>
      <c r="X161" s="324"/>
      <c r="Y161" s="193"/>
      <c r="Z161" s="193"/>
      <c r="AA161" s="324"/>
      <c r="AB161" s="327"/>
      <c r="AC161" s="16"/>
      <c r="AD161" s="16"/>
      <c r="AE161" s="287"/>
    </row>
    <row r="162" spans="10:31" ht="15.75" customHeight="1" x14ac:dyDescent="0.2">
      <c r="J162" s="16"/>
      <c r="K162" s="344"/>
      <c r="L162" s="16"/>
      <c r="M162" s="3">
        <v>10.01</v>
      </c>
      <c r="N162" s="190">
        <v>11.01</v>
      </c>
      <c r="O162" s="191">
        <v>46</v>
      </c>
      <c r="P162" s="16"/>
      <c r="Q162" s="16"/>
      <c r="R162" s="16"/>
      <c r="S162" s="324"/>
      <c r="T162" s="324"/>
      <c r="U162" s="324"/>
      <c r="V162" s="324"/>
      <c r="W162" s="324"/>
      <c r="X162" s="324"/>
      <c r="Y162" s="16"/>
      <c r="Z162" s="16"/>
      <c r="AA162" s="324"/>
      <c r="AB162" s="327"/>
      <c r="AC162" s="16"/>
      <c r="AD162" s="16"/>
      <c r="AE162" s="287"/>
    </row>
    <row r="163" spans="10:31" ht="15.75" customHeight="1" x14ac:dyDescent="0.2">
      <c r="J163" s="16"/>
      <c r="K163" s="344"/>
      <c r="L163" s="16"/>
      <c r="M163" s="3">
        <v>11.01</v>
      </c>
      <c r="N163" s="190">
        <v>12.01</v>
      </c>
      <c r="O163" s="191">
        <v>51</v>
      </c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324"/>
      <c r="AB163" s="327"/>
      <c r="AC163" s="16"/>
      <c r="AD163" s="16"/>
      <c r="AE163" s="287"/>
    </row>
    <row r="164" spans="10:31" ht="15.75" customHeight="1" x14ac:dyDescent="0.2">
      <c r="J164" s="16"/>
      <c r="K164" s="344"/>
      <c r="L164" s="16"/>
      <c r="M164" s="3">
        <v>12.01</v>
      </c>
      <c r="N164" s="190">
        <v>13.01</v>
      </c>
      <c r="O164" s="191">
        <v>56</v>
      </c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324"/>
      <c r="AB164" s="327"/>
      <c r="AC164" s="16"/>
      <c r="AD164" s="16"/>
      <c r="AE164" s="287"/>
    </row>
    <row r="165" spans="10:31" ht="15.75" customHeight="1" x14ac:dyDescent="0.2">
      <c r="J165" s="16"/>
      <c r="K165" s="344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324"/>
      <c r="AB165" s="327"/>
      <c r="AC165" s="16"/>
      <c r="AD165" s="16"/>
      <c r="AE165" s="287"/>
    </row>
    <row r="166" spans="10:31" ht="15.75" customHeight="1" x14ac:dyDescent="0.2">
      <c r="J166" s="16"/>
      <c r="K166" s="344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324"/>
      <c r="AB166" s="327"/>
      <c r="AC166" s="16"/>
      <c r="AD166" s="16"/>
      <c r="AE166" s="287"/>
    </row>
    <row r="167" spans="10:31" ht="15.75" customHeight="1" x14ac:dyDescent="0.2">
      <c r="J167" s="16"/>
      <c r="K167" s="344"/>
      <c r="L167" s="16" t="s">
        <v>257</v>
      </c>
      <c r="M167" s="731" t="s">
        <v>209</v>
      </c>
      <c r="N167" s="731"/>
      <c r="O167" s="731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324"/>
      <c r="AB167" s="327"/>
      <c r="AC167" s="16"/>
      <c r="AD167" s="16"/>
      <c r="AE167" s="287"/>
    </row>
    <row r="168" spans="10:31" ht="15.75" customHeight="1" x14ac:dyDescent="0.2">
      <c r="J168" s="16"/>
      <c r="K168" s="344"/>
      <c r="L168" s="16"/>
      <c r="M168" s="244" t="s">
        <v>296</v>
      </c>
      <c r="N168" s="244" t="s">
        <v>297</v>
      </c>
      <c r="O168" s="244" t="s">
        <v>298</v>
      </c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324"/>
      <c r="AB168" s="327"/>
      <c r="AC168" s="16"/>
      <c r="AD168" s="16"/>
      <c r="AE168" s="287"/>
    </row>
    <row r="169" spans="10:31" ht="15.75" customHeight="1" x14ac:dyDescent="0.2">
      <c r="J169" s="16"/>
      <c r="K169" s="344"/>
      <c r="L169" s="16"/>
      <c r="M169" s="244">
        <v>8</v>
      </c>
      <c r="N169" s="244">
        <v>8</v>
      </c>
      <c r="O169" s="244">
        <v>55000</v>
      </c>
      <c r="P169" s="244" t="s">
        <v>31</v>
      </c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324"/>
      <c r="AB169" s="327"/>
      <c r="AC169" s="16"/>
      <c r="AD169" s="16"/>
      <c r="AE169" s="287"/>
    </row>
    <row r="170" spans="10:31" ht="15.75" customHeight="1" x14ac:dyDescent="0.2">
      <c r="J170" s="16"/>
      <c r="K170" s="344"/>
      <c r="L170" s="16"/>
      <c r="M170" s="221">
        <v>10</v>
      </c>
      <c r="N170" s="244">
        <v>10</v>
      </c>
      <c r="O170" s="244">
        <v>95000</v>
      </c>
      <c r="P170" s="244" t="s">
        <v>23</v>
      </c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324"/>
      <c r="AB170" s="327"/>
      <c r="AC170" s="16"/>
      <c r="AD170" s="16"/>
      <c r="AE170" s="287"/>
    </row>
    <row r="171" spans="10:31" ht="15.75" customHeight="1" x14ac:dyDescent="0.2">
      <c r="J171" s="16"/>
      <c r="K171" s="345"/>
      <c r="L171" s="346"/>
      <c r="M171" s="346"/>
      <c r="N171" s="346"/>
      <c r="O171" s="346"/>
      <c r="P171" s="346"/>
      <c r="Q171" s="346"/>
      <c r="R171" s="346"/>
      <c r="S171" s="346"/>
      <c r="T171" s="346"/>
      <c r="U171" s="346"/>
      <c r="V171" s="346"/>
      <c r="W171" s="346"/>
      <c r="X171" s="346"/>
      <c r="Y171" s="346"/>
      <c r="Z171" s="346"/>
      <c r="AA171" s="347"/>
      <c r="AB171" s="348"/>
      <c r="AC171" s="346"/>
      <c r="AD171" s="346"/>
      <c r="AE171" s="349"/>
    </row>
    <row r="172" spans="10:31" ht="15.75" customHeight="1" x14ac:dyDescent="0.2">
      <c r="J172" s="16"/>
      <c r="K172" s="727" t="s">
        <v>299</v>
      </c>
      <c r="L172" s="727"/>
      <c r="M172" s="727"/>
      <c r="N172" s="727"/>
      <c r="O172" s="727"/>
      <c r="P172" s="727"/>
      <c r="Q172" s="727"/>
      <c r="R172" s="727"/>
      <c r="S172" s="727"/>
      <c r="T172" s="727"/>
      <c r="U172" s="727"/>
      <c r="V172" s="727"/>
      <c r="W172" s="727"/>
      <c r="X172" s="727"/>
      <c r="Y172" s="727"/>
      <c r="Z172" s="727"/>
      <c r="AA172" s="727"/>
      <c r="AB172" s="727"/>
      <c r="AC172" s="727"/>
      <c r="AD172" s="727"/>
      <c r="AE172" s="727"/>
    </row>
    <row r="173" spans="10:31" ht="15.75" customHeight="1" x14ac:dyDescent="0.2">
      <c r="J173" s="16"/>
      <c r="K173" s="344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324"/>
      <c r="AB173" s="327"/>
      <c r="AC173" s="16"/>
      <c r="AD173" s="16"/>
      <c r="AE173" s="287"/>
    </row>
    <row r="174" spans="10:31" ht="15.75" customHeight="1" x14ac:dyDescent="0.2">
      <c r="J174" s="16"/>
      <c r="K174" s="344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324"/>
      <c r="AB174" s="327"/>
      <c r="AC174" s="16"/>
      <c r="AD174" s="16"/>
      <c r="AE174" s="287"/>
    </row>
    <row r="175" spans="10:31" ht="15.75" customHeight="1" x14ac:dyDescent="0.2">
      <c r="K175" s="344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324"/>
      <c r="AB175" s="327"/>
      <c r="AC175" s="16"/>
      <c r="AD175" s="16"/>
      <c r="AE175" s="287"/>
    </row>
    <row r="176" spans="10:31" ht="15.75" customHeight="1" x14ac:dyDescent="0.2">
      <c r="K176" s="344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324"/>
      <c r="AB176" s="327"/>
      <c r="AC176" s="16"/>
      <c r="AD176" s="16"/>
      <c r="AE176" s="287"/>
    </row>
    <row r="177" spans="11:31" ht="15.75" customHeight="1" x14ac:dyDescent="0.2">
      <c r="K177" s="344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324"/>
      <c r="AB177" s="327"/>
      <c r="AC177" s="16"/>
      <c r="AD177" s="16"/>
      <c r="AE177" s="287"/>
    </row>
    <row r="178" spans="11:31" ht="15.75" customHeight="1" x14ac:dyDescent="0.2">
      <c r="K178" s="344"/>
      <c r="L178" s="16"/>
      <c r="M178" s="16"/>
      <c r="N178" s="16"/>
      <c r="O178" s="16"/>
      <c r="P178" s="16"/>
      <c r="Q178" s="16">
        <f>(O183+P183)*26%</f>
        <v>1885</v>
      </c>
      <c r="R178" s="16"/>
      <c r="S178" s="16"/>
      <c r="T178" s="16"/>
      <c r="U178" s="16"/>
      <c r="V178" s="16"/>
      <c r="W178" s="16"/>
      <c r="X178" s="16"/>
      <c r="Y178" s="16"/>
      <c r="Z178" s="16"/>
      <c r="AA178" s="324"/>
      <c r="AB178" s="327"/>
      <c r="AC178" s="16"/>
      <c r="AD178" s="16"/>
      <c r="AE178" s="287"/>
    </row>
    <row r="179" spans="11:31" ht="15.75" customHeight="1" x14ac:dyDescent="0.2">
      <c r="K179" s="344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324"/>
      <c r="AB179" s="327"/>
      <c r="AC179" s="16"/>
      <c r="AD179" s="16"/>
      <c r="AE179" s="287"/>
    </row>
    <row r="180" spans="11:31" ht="15.75" customHeight="1" x14ac:dyDescent="0.2">
      <c r="K180" s="344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324"/>
      <c r="AB180" s="327"/>
      <c r="AC180" s="16"/>
      <c r="AD180" s="16"/>
      <c r="AE180" s="287"/>
    </row>
    <row r="181" spans="11:31" ht="15.75" customHeight="1" x14ac:dyDescent="0.2">
      <c r="K181" s="344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324"/>
      <c r="AB181" s="327"/>
      <c r="AC181" s="16"/>
      <c r="AD181" s="16"/>
      <c r="AE181" s="287"/>
    </row>
    <row r="182" spans="11:31" ht="15.75" customHeight="1" x14ac:dyDescent="0.2">
      <c r="K182" s="350"/>
      <c r="L182" s="308" t="s">
        <v>207</v>
      </c>
      <c r="M182" s="351" t="s">
        <v>111</v>
      </c>
      <c r="N182" s="358"/>
      <c r="O182" s="351" t="s">
        <v>116</v>
      </c>
      <c r="P182" s="351" t="s">
        <v>33</v>
      </c>
      <c r="Q182" s="351" t="s">
        <v>117</v>
      </c>
      <c r="R182" s="351" t="s">
        <v>118</v>
      </c>
      <c r="S182" s="351" t="s">
        <v>0</v>
      </c>
      <c r="T182" s="16"/>
      <c r="U182" s="16"/>
      <c r="V182" s="16"/>
      <c r="W182" s="16"/>
      <c r="X182" s="16"/>
      <c r="Y182" s="16"/>
      <c r="Z182" s="196"/>
      <c r="AA182" s="196"/>
      <c r="AB182" s="327"/>
      <c r="AC182" s="16"/>
      <c r="AD182" s="16"/>
      <c r="AE182" s="287"/>
    </row>
    <row r="183" spans="11:31" ht="15.75" customHeight="1" x14ac:dyDescent="0.2">
      <c r="K183" s="350"/>
      <c r="L183" s="349">
        <v>600</v>
      </c>
      <c r="M183" s="362" t="s">
        <v>112</v>
      </c>
      <c r="N183" s="363">
        <v>100</v>
      </c>
      <c r="O183" s="363">
        <f t="shared" ref="O183:O188" si="7">N183*C$19</f>
        <v>6500</v>
      </c>
      <c r="P183" s="363">
        <v>750</v>
      </c>
      <c r="Q183" s="363">
        <v>1522.5</v>
      </c>
      <c r="R183" s="363">
        <v>6773</v>
      </c>
      <c r="S183" s="363">
        <v>0.4</v>
      </c>
      <c r="T183" s="3">
        <v>0</v>
      </c>
      <c r="U183" s="3">
        <v>550</v>
      </c>
      <c r="V183" s="16"/>
      <c r="W183" s="16" t="s">
        <v>199</v>
      </c>
      <c r="X183" s="16"/>
      <c r="Y183" s="16"/>
      <c r="Z183" s="179"/>
      <c r="AA183" s="179"/>
      <c r="AB183" s="327"/>
      <c r="AC183" s="16"/>
      <c r="AD183" s="16"/>
      <c r="AE183" s="287"/>
    </row>
    <row r="184" spans="11:31" ht="15.75" customHeight="1" x14ac:dyDescent="0.2">
      <c r="K184" s="350"/>
      <c r="L184" s="285">
        <v>800</v>
      </c>
      <c r="M184" s="362" t="s">
        <v>113</v>
      </c>
      <c r="N184" s="363">
        <v>140</v>
      </c>
      <c r="O184" s="363">
        <f t="shared" si="7"/>
        <v>9100</v>
      </c>
      <c r="P184" s="363">
        <v>1000</v>
      </c>
      <c r="Q184" s="363">
        <v>2117</v>
      </c>
      <c r="R184" s="363">
        <v>9417</v>
      </c>
      <c r="S184" s="363">
        <v>0.4</v>
      </c>
      <c r="T184" s="3">
        <v>550.01</v>
      </c>
      <c r="U184" s="3">
        <v>750</v>
      </c>
      <c r="V184" s="16"/>
      <c r="W184" s="16" t="s">
        <v>127</v>
      </c>
      <c r="X184" s="16"/>
      <c r="Y184" s="16"/>
      <c r="Z184" s="179"/>
      <c r="AA184" s="179"/>
      <c r="AB184" s="327"/>
      <c r="AC184" s="16"/>
      <c r="AD184" s="16"/>
      <c r="AE184" s="287"/>
    </row>
    <row r="185" spans="11:31" ht="15.75" customHeight="1" x14ac:dyDescent="0.2">
      <c r="K185" s="350"/>
      <c r="L185" s="285">
        <v>1000</v>
      </c>
      <c r="M185" s="362" t="s">
        <v>114</v>
      </c>
      <c r="N185" s="363">
        <v>160</v>
      </c>
      <c r="O185" s="363">
        <f t="shared" si="7"/>
        <v>10400</v>
      </c>
      <c r="P185" s="363">
        <v>1000</v>
      </c>
      <c r="Q185" s="363">
        <v>2378</v>
      </c>
      <c r="R185" s="363">
        <v>10578</v>
      </c>
      <c r="S185" s="363">
        <v>0.4</v>
      </c>
      <c r="T185" s="3">
        <v>750.01</v>
      </c>
      <c r="U185" s="3">
        <v>950</v>
      </c>
      <c r="V185" s="16"/>
      <c r="W185" s="16"/>
      <c r="X185" s="16"/>
      <c r="Y185" s="16"/>
      <c r="Z185" s="179"/>
      <c r="AA185" s="179"/>
      <c r="AB185" s="327"/>
      <c r="AC185" s="16"/>
      <c r="AD185" s="16"/>
      <c r="AE185" s="287"/>
    </row>
    <row r="186" spans="11:31" ht="15.75" customHeight="1" x14ac:dyDescent="0.2">
      <c r="K186" s="350"/>
      <c r="L186" s="285">
        <v>1300</v>
      </c>
      <c r="M186" s="362" t="s">
        <v>115</v>
      </c>
      <c r="N186" s="363">
        <v>227.5</v>
      </c>
      <c r="O186" s="363">
        <f t="shared" si="7"/>
        <v>14787.5</v>
      </c>
      <c r="P186" s="363">
        <v>1200</v>
      </c>
      <c r="Q186" s="363">
        <v>3316.8749999999995</v>
      </c>
      <c r="R186" s="363">
        <v>14755</v>
      </c>
      <c r="S186" s="363">
        <v>0.4</v>
      </c>
      <c r="T186" s="363">
        <v>950.01</v>
      </c>
      <c r="U186" s="363">
        <v>1250</v>
      </c>
      <c r="V186" s="179"/>
      <c r="W186" s="16" t="s">
        <v>203</v>
      </c>
      <c r="X186" s="179"/>
      <c r="Y186" s="16"/>
      <c r="Z186" s="179"/>
      <c r="AA186" s="179"/>
      <c r="AB186" s="327"/>
      <c r="AC186" s="16"/>
      <c r="AD186" s="16"/>
      <c r="AE186" s="287"/>
    </row>
    <row r="187" spans="11:31" ht="15.75" customHeight="1" x14ac:dyDescent="0.2">
      <c r="K187" s="350"/>
      <c r="L187" s="285">
        <v>1500</v>
      </c>
      <c r="M187" s="362" t="s">
        <v>119</v>
      </c>
      <c r="N187" s="363">
        <v>277.5</v>
      </c>
      <c r="O187" s="363">
        <f t="shared" si="7"/>
        <v>18037.5</v>
      </c>
      <c r="P187" s="363">
        <v>1500</v>
      </c>
      <c r="Q187" s="363">
        <v>4056.3749999999995</v>
      </c>
      <c r="R187" s="363">
        <v>18044</v>
      </c>
      <c r="S187" s="363">
        <v>0.4</v>
      </c>
      <c r="T187" s="363">
        <v>1250.0999999999999</v>
      </c>
      <c r="U187" s="363">
        <v>1450</v>
      </c>
      <c r="V187" s="179"/>
      <c r="W187" s="16" t="s">
        <v>204</v>
      </c>
      <c r="X187" s="179"/>
      <c r="Y187" s="16"/>
      <c r="Z187" s="179"/>
      <c r="AA187" s="179"/>
      <c r="AB187" s="327"/>
      <c r="AC187" s="16"/>
      <c r="AD187" s="16"/>
      <c r="AE187" s="287"/>
    </row>
    <row r="188" spans="11:31" ht="15.75" customHeight="1" x14ac:dyDescent="0.2">
      <c r="K188" s="350"/>
      <c r="L188" s="285">
        <v>2000</v>
      </c>
      <c r="M188" s="362" t="s">
        <v>153</v>
      </c>
      <c r="N188" s="363">
        <v>1114</v>
      </c>
      <c r="O188" s="363">
        <f t="shared" si="7"/>
        <v>72410</v>
      </c>
      <c r="P188" s="363">
        <v>4000</v>
      </c>
      <c r="Q188" s="363">
        <v>15697.699999999999</v>
      </c>
      <c r="R188" s="363">
        <v>73828</v>
      </c>
      <c r="S188" s="363">
        <v>0.8</v>
      </c>
      <c r="T188" s="363">
        <v>1450.1</v>
      </c>
      <c r="U188" s="363">
        <v>2000</v>
      </c>
      <c r="V188" s="179"/>
      <c r="W188" s="16" t="s">
        <v>202</v>
      </c>
      <c r="X188" s="179"/>
      <c r="Y188" s="16"/>
      <c r="Z188" s="179"/>
      <c r="AA188" s="179"/>
      <c r="AB188" s="327"/>
      <c r="AC188" s="16"/>
      <c r="AD188" s="16"/>
      <c r="AE188" s="287"/>
    </row>
    <row r="189" spans="11:31" ht="15.75" customHeight="1" x14ac:dyDescent="0.2">
      <c r="K189" s="350"/>
      <c r="L189" s="285">
        <v>3000</v>
      </c>
      <c r="M189" s="362" t="s">
        <v>206</v>
      </c>
      <c r="N189" s="363"/>
      <c r="O189" s="363"/>
      <c r="P189" s="363"/>
      <c r="Q189" s="363"/>
      <c r="R189" s="363">
        <v>115000</v>
      </c>
      <c r="S189" s="363">
        <v>0.8</v>
      </c>
      <c r="T189" s="363">
        <v>2000.01</v>
      </c>
      <c r="U189" s="363">
        <v>3000</v>
      </c>
      <c r="V189" s="179"/>
      <c r="W189" s="16" t="s">
        <v>23</v>
      </c>
      <c r="X189" s="179"/>
      <c r="Y189" s="16"/>
      <c r="Z189" s="179"/>
      <c r="AA189" s="179"/>
      <c r="AB189" s="327"/>
      <c r="AC189" s="16"/>
      <c r="AD189" s="16"/>
      <c r="AE189" s="287"/>
    </row>
    <row r="190" spans="11:31" ht="15.75" customHeight="1" x14ac:dyDescent="0.2">
      <c r="K190" s="350"/>
      <c r="L190" s="285">
        <v>170</v>
      </c>
      <c r="M190" s="362" t="s">
        <v>104</v>
      </c>
      <c r="N190" s="363">
        <f>23047+4904</f>
        <v>27951</v>
      </c>
      <c r="O190" s="363"/>
      <c r="P190" s="363">
        <v>1868.65</v>
      </c>
      <c r="Q190" s="363"/>
      <c r="R190" s="363">
        <v>28563.65</v>
      </c>
      <c r="S190" s="363">
        <v>0.8</v>
      </c>
      <c r="T190" s="363">
        <v>0</v>
      </c>
      <c r="U190" s="363">
        <v>150</v>
      </c>
      <c r="V190" s="174"/>
      <c r="W190" s="174"/>
      <c r="X190" s="174"/>
      <c r="Y190" s="16"/>
      <c r="Z190" s="179"/>
      <c r="AA190" s="179"/>
      <c r="AB190" s="327"/>
      <c r="AC190" s="16"/>
      <c r="AD190" s="16"/>
      <c r="AE190" s="287"/>
    </row>
    <row r="191" spans="11:31" ht="15.75" customHeight="1" x14ac:dyDescent="0.2">
      <c r="K191" s="350"/>
      <c r="L191" s="285">
        <v>250</v>
      </c>
      <c r="M191" s="362" t="s">
        <v>105</v>
      </c>
      <c r="N191" s="363">
        <f>24280+4904</f>
        <v>29184</v>
      </c>
      <c r="O191" s="363"/>
      <c r="P191" s="363">
        <v>1951.0400000000002</v>
      </c>
      <c r="Q191" s="362"/>
      <c r="R191" s="363">
        <v>29823.040000000001</v>
      </c>
      <c r="S191" s="363">
        <v>0.8</v>
      </c>
      <c r="T191" s="362">
        <v>150.01</v>
      </c>
      <c r="U191" s="362">
        <v>230</v>
      </c>
      <c r="V191" s="174"/>
      <c r="W191" s="174"/>
      <c r="X191" s="174"/>
      <c r="Y191" s="16"/>
      <c r="Z191" s="179"/>
      <c r="AA191" s="179"/>
      <c r="AB191" s="327"/>
      <c r="AC191" s="16"/>
      <c r="AD191" s="16"/>
      <c r="AE191" s="287"/>
    </row>
    <row r="192" spans="11:31" ht="15.75" customHeight="1" x14ac:dyDescent="0.2">
      <c r="K192" s="350"/>
      <c r="L192" s="285">
        <v>350</v>
      </c>
      <c r="M192" s="362" t="s">
        <v>106</v>
      </c>
      <c r="N192" s="363">
        <f>28694+4904</f>
        <v>33598</v>
      </c>
      <c r="O192" s="363"/>
      <c r="P192" s="363">
        <v>2246.1600000000003</v>
      </c>
      <c r="Q192" s="362"/>
      <c r="R192" s="363">
        <v>34334.160000000003</v>
      </c>
      <c r="S192" s="363">
        <v>0.8</v>
      </c>
      <c r="T192" s="362">
        <v>230.01</v>
      </c>
      <c r="U192" s="362">
        <v>325</v>
      </c>
      <c r="V192" s="174"/>
      <c r="W192" s="174"/>
      <c r="X192" s="174"/>
      <c r="Y192" s="16"/>
      <c r="Z192" s="179"/>
      <c r="AA192" s="179"/>
      <c r="AB192" s="327"/>
      <c r="AC192" s="16"/>
      <c r="AD192" s="16"/>
      <c r="AE192" s="287"/>
    </row>
    <row r="193" spans="11:31" ht="15.75" customHeight="1" x14ac:dyDescent="0.2">
      <c r="K193" s="350"/>
      <c r="L193" s="285">
        <v>500</v>
      </c>
      <c r="M193" s="362" t="s">
        <v>109</v>
      </c>
      <c r="N193" s="363">
        <f>37523+4904</f>
        <v>42427</v>
      </c>
      <c r="O193" s="363"/>
      <c r="P193" s="363">
        <v>2836.4</v>
      </c>
      <c r="Q193" s="362"/>
      <c r="R193" s="363">
        <v>43356.4</v>
      </c>
      <c r="S193" s="363">
        <v>0.8</v>
      </c>
      <c r="T193" s="362">
        <v>325.01</v>
      </c>
      <c r="U193" s="362">
        <v>475</v>
      </c>
      <c r="V193" s="174"/>
      <c r="W193" s="174"/>
      <c r="X193" s="174"/>
      <c r="Y193" s="16"/>
      <c r="Z193" s="179"/>
      <c r="AA193" s="179"/>
      <c r="AB193" s="327"/>
      <c r="AC193" s="16"/>
      <c r="AD193" s="16"/>
      <c r="AE193" s="287"/>
    </row>
    <row r="194" spans="11:31" ht="15.75" customHeight="1" x14ac:dyDescent="0.2">
      <c r="K194" s="350"/>
      <c r="L194" s="285">
        <v>750</v>
      </c>
      <c r="M194" s="362" t="s">
        <v>110</v>
      </c>
      <c r="N194" s="363">
        <f>40221+4904</f>
        <v>45125</v>
      </c>
      <c r="O194" s="363"/>
      <c r="P194" s="363">
        <v>3016.7900000000004</v>
      </c>
      <c r="Q194" s="362"/>
      <c r="R194" s="363">
        <v>46113.79</v>
      </c>
      <c r="S194" s="363">
        <v>0.8</v>
      </c>
      <c r="T194" s="362">
        <v>475.01</v>
      </c>
      <c r="U194" s="362">
        <v>725</v>
      </c>
      <c r="V194" s="16"/>
      <c r="W194" s="327"/>
      <c r="X194" s="16"/>
      <c r="Y194" s="16"/>
      <c r="Z194" s="16"/>
      <c r="AA194" s="16"/>
      <c r="AB194" s="327"/>
      <c r="AC194" s="16"/>
      <c r="AD194" s="16"/>
      <c r="AE194" s="287"/>
    </row>
    <row r="195" spans="11:31" ht="15.75" customHeight="1" x14ac:dyDescent="0.2">
      <c r="K195" s="350"/>
      <c r="L195" s="285">
        <v>15001</v>
      </c>
      <c r="M195" s="362" t="s">
        <v>151</v>
      </c>
      <c r="N195" s="362">
        <f>42015+4038+15606</f>
        <v>61659</v>
      </c>
      <c r="O195" s="362"/>
      <c r="P195" s="362"/>
      <c r="Q195" s="362"/>
      <c r="R195" s="362">
        <f>N195</f>
        <v>61659</v>
      </c>
      <c r="S195" s="362">
        <v>0.8</v>
      </c>
      <c r="T195" s="362">
        <v>725.01</v>
      </c>
      <c r="U195" s="362">
        <v>1400</v>
      </c>
      <c r="V195" s="16"/>
      <c r="W195" s="327"/>
      <c r="X195" s="16"/>
      <c r="Y195" s="16"/>
      <c r="Z195" s="16"/>
      <c r="AA195" s="16"/>
      <c r="AB195" s="327"/>
      <c r="AC195" s="16"/>
      <c r="AD195" s="16"/>
      <c r="AE195" s="287"/>
    </row>
    <row r="196" spans="11:31" ht="15.75" customHeight="1" x14ac:dyDescent="0.2">
      <c r="K196" s="350"/>
      <c r="L196" s="285">
        <v>22001</v>
      </c>
      <c r="M196" s="362" t="s">
        <v>152</v>
      </c>
      <c r="N196" s="362">
        <f>43040+4038+15606</f>
        <v>62684</v>
      </c>
      <c r="O196" s="362"/>
      <c r="P196" s="362"/>
      <c r="Q196" s="362"/>
      <c r="R196" s="362">
        <f>N196</f>
        <v>62684</v>
      </c>
      <c r="S196" s="362">
        <v>0.8</v>
      </c>
      <c r="T196" s="362">
        <v>1401</v>
      </c>
      <c r="U196" s="362">
        <v>2200</v>
      </c>
      <c r="V196" s="16"/>
      <c r="W196" s="327"/>
      <c r="X196" s="16"/>
      <c r="Y196" s="16"/>
      <c r="Z196" s="16"/>
      <c r="AA196" s="16"/>
      <c r="AB196" s="327"/>
      <c r="AC196" s="16"/>
      <c r="AD196" s="16"/>
      <c r="AE196" s="287"/>
    </row>
    <row r="197" spans="11:31" ht="15.75" customHeight="1" x14ac:dyDescent="0.2">
      <c r="K197" s="350"/>
      <c r="L197" s="285"/>
      <c r="M197" s="362" t="s">
        <v>108</v>
      </c>
      <c r="N197" s="363">
        <v>8500</v>
      </c>
      <c r="O197" s="362"/>
      <c r="P197" s="362"/>
      <c r="Q197" s="362"/>
      <c r="R197" s="362"/>
      <c r="S197" s="174"/>
      <c r="T197" s="174"/>
      <c r="U197" s="174"/>
      <c r="V197" s="16"/>
      <c r="W197" s="327"/>
      <c r="X197" s="16"/>
      <c r="Y197" s="16"/>
      <c r="Z197" s="16"/>
      <c r="AA197" s="16"/>
      <c r="AB197" s="327"/>
      <c r="AC197" s="16"/>
      <c r="AD197" s="16"/>
      <c r="AE197" s="287"/>
    </row>
    <row r="198" spans="11:31" ht="15.75" customHeight="1" x14ac:dyDescent="0.2">
      <c r="K198" s="350"/>
      <c r="L198" s="285"/>
      <c r="M198" s="362" t="s">
        <v>107</v>
      </c>
      <c r="N198" s="363">
        <v>6500</v>
      </c>
      <c r="O198" s="362"/>
      <c r="P198" s="362"/>
      <c r="Q198" s="362"/>
      <c r="R198" s="362"/>
      <c r="S198" s="174"/>
      <c r="T198" s="174"/>
      <c r="U198" s="174"/>
      <c r="V198" s="16"/>
      <c r="W198" s="327"/>
      <c r="X198" s="16"/>
      <c r="Y198" s="16"/>
      <c r="Z198" s="16"/>
      <c r="AA198" s="16"/>
      <c r="AB198" s="327"/>
      <c r="AC198" s="16"/>
      <c r="AD198" s="16"/>
      <c r="AE198" s="287"/>
    </row>
    <row r="199" spans="11:31" ht="15.75" customHeight="1" x14ac:dyDescent="0.2">
      <c r="K199" s="350"/>
      <c r="L199" s="285"/>
      <c r="M199" s="362" t="s">
        <v>23</v>
      </c>
      <c r="N199" s="362"/>
      <c r="O199" s="362"/>
      <c r="P199" s="362"/>
      <c r="Q199" s="362"/>
      <c r="R199" s="362"/>
      <c r="S199" s="174"/>
      <c r="T199" s="174"/>
      <c r="U199" s="174"/>
      <c r="V199" s="16"/>
      <c r="W199" s="327"/>
      <c r="X199" s="16"/>
      <c r="Y199" s="16"/>
      <c r="Z199" s="16"/>
      <c r="AA199" s="16"/>
      <c r="AB199" s="327"/>
      <c r="AC199" s="16"/>
      <c r="AD199" s="16"/>
      <c r="AE199" s="287"/>
    </row>
    <row r="200" spans="11:31" ht="15.75" customHeight="1" x14ac:dyDescent="0.2">
      <c r="K200" s="350"/>
      <c r="L200" s="285"/>
      <c r="M200" s="362" t="s">
        <v>154</v>
      </c>
      <c r="N200" s="362">
        <f>35125+4370</f>
        <v>39495</v>
      </c>
      <c r="O200" s="362"/>
      <c r="P200" s="362"/>
      <c r="Q200" s="362"/>
      <c r="R200" s="362"/>
      <c r="S200" s="174"/>
      <c r="T200" s="174"/>
      <c r="U200" s="174"/>
      <c r="V200" s="16"/>
      <c r="W200" s="327"/>
      <c r="X200" s="16"/>
      <c r="Y200" s="16"/>
      <c r="Z200" s="16"/>
      <c r="AA200" s="16"/>
      <c r="AB200" s="327"/>
      <c r="AC200" s="16"/>
      <c r="AD200" s="16"/>
      <c r="AE200" s="287"/>
    </row>
    <row r="201" spans="11:31" ht="15.75" customHeight="1" x14ac:dyDescent="0.2">
      <c r="K201" s="350"/>
      <c r="L201" s="285"/>
      <c r="M201" s="362" t="s">
        <v>155</v>
      </c>
      <c r="N201" s="362">
        <f>57874+4402</f>
        <v>62276</v>
      </c>
      <c r="O201" s="362"/>
      <c r="P201" s="362"/>
      <c r="Q201" s="362"/>
      <c r="R201" s="362"/>
      <c r="S201" s="174"/>
      <c r="T201" s="174"/>
      <c r="U201" s="174"/>
      <c r="V201" s="16"/>
      <c r="W201" s="327"/>
      <c r="X201" s="16"/>
      <c r="Y201" s="16"/>
      <c r="Z201" s="16"/>
      <c r="AA201" s="16"/>
      <c r="AB201" s="327"/>
      <c r="AC201" s="16"/>
      <c r="AD201" s="16"/>
      <c r="AE201" s="287"/>
    </row>
    <row r="202" spans="11:31" ht="15.75" customHeight="1" x14ac:dyDescent="0.2">
      <c r="K202" s="350"/>
      <c r="L202" s="285"/>
      <c r="M202" s="362" t="s">
        <v>156</v>
      </c>
      <c r="N202" s="362">
        <f>76475+9318</f>
        <v>85793</v>
      </c>
      <c r="O202" s="362"/>
      <c r="P202" s="362"/>
      <c r="Q202" s="362"/>
      <c r="R202" s="362"/>
      <c r="S202" s="174"/>
      <c r="T202" s="174"/>
      <c r="U202" s="174"/>
      <c r="V202" s="16"/>
      <c r="W202" s="327"/>
      <c r="X202" s="16"/>
      <c r="Y202" s="16"/>
      <c r="Z202" s="16"/>
      <c r="AA202" s="16"/>
      <c r="AB202" s="327"/>
      <c r="AC202" s="16"/>
      <c r="AD202" s="16"/>
      <c r="AE202" s="287"/>
    </row>
    <row r="203" spans="11:31" ht="15.75" customHeight="1" x14ac:dyDescent="0.2">
      <c r="K203" s="350"/>
      <c r="L203" s="285"/>
      <c r="M203" s="362" t="s">
        <v>23</v>
      </c>
      <c r="N203" s="362"/>
      <c r="O203" s="362"/>
      <c r="P203" s="362"/>
      <c r="Q203" s="362"/>
      <c r="R203" s="362"/>
      <c r="S203" s="174"/>
      <c r="T203" s="174"/>
      <c r="U203" s="174"/>
      <c r="V203" s="16"/>
      <c r="W203" s="327"/>
      <c r="X203" s="16"/>
      <c r="Y203" s="16"/>
      <c r="Z203" s="16"/>
      <c r="AA203" s="16"/>
      <c r="AB203" s="327"/>
      <c r="AC203" s="16"/>
      <c r="AD203" s="16"/>
      <c r="AE203" s="287"/>
    </row>
    <row r="204" spans="11:31" ht="15.75" customHeight="1" thickBot="1" x14ac:dyDescent="0.25">
      <c r="K204" s="350"/>
      <c r="L204" s="285"/>
      <c r="M204" s="336" t="s">
        <v>157</v>
      </c>
      <c r="N204" s="360">
        <v>22874</v>
      </c>
      <c r="O204" s="181"/>
      <c r="P204" s="360">
        <v>1601.18</v>
      </c>
      <c r="Q204" s="181"/>
      <c r="R204" s="361">
        <v>24475.18</v>
      </c>
      <c r="S204" s="179"/>
      <c r="T204" s="179"/>
      <c r="U204" s="179"/>
      <c r="V204" s="16"/>
      <c r="W204" s="16"/>
      <c r="X204" s="16"/>
      <c r="Y204" s="16"/>
      <c r="Z204" s="16"/>
      <c r="AA204" s="327"/>
      <c r="AB204" s="327"/>
      <c r="AC204" s="16"/>
      <c r="AD204" s="16"/>
      <c r="AE204" s="287"/>
    </row>
    <row r="205" spans="11:31" ht="15.75" customHeight="1" x14ac:dyDescent="0.2">
      <c r="K205" s="344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327"/>
      <c r="AC205" s="16"/>
      <c r="AD205" s="16"/>
      <c r="AE205" s="287"/>
    </row>
    <row r="206" spans="11:31" ht="15.75" customHeight="1" x14ac:dyDescent="0.2">
      <c r="K206" s="345"/>
      <c r="L206" s="346"/>
      <c r="M206" s="346"/>
      <c r="N206" s="346"/>
      <c r="O206" s="346"/>
      <c r="P206" s="346"/>
      <c r="Q206" s="346"/>
      <c r="R206" s="346"/>
      <c r="S206" s="346"/>
      <c r="T206" s="346"/>
      <c r="U206" s="346"/>
      <c r="V206" s="346"/>
      <c r="W206" s="346"/>
      <c r="X206" s="346"/>
      <c r="Y206" s="346"/>
      <c r="Z206" s="346"/>
      <c r="AA206" s="346"/>
      <c r="AB206" s="348"/>
      <c r="AC206" s="346"/>
      <c r="AD206" s="346"/>
      <c r="AE206" s="349"/>
    </row>
    <row r="207" spans="11:31" ht="15.75" customHeight="1" x14ac:dyDescent="0.2">
      <c r="K207" s="16"/>
      <c r="AB207" s="52"/>
      <c r="AC207" s="162"/>
    </row>
    <row r="208" spans="11:31" ht="15.75" customHeight="1" x14ac:dyDescent="0.2">
      <c r="AB208" s="52"/>
      <c r="AC208" s="162"/>
    </row>
    <row r="209" spans="28:29" ht="15.75" customHeight="1" x14ac:dyDescent="0.2">
      <c r="AB209" s="52"/>
      <c r="AC209" s="162"/>
    </row>
    <row r="210" spans="28:29" ht="15.75" customHeight="1" x14ac:dyDescent="0.2">
      <c r="AB210" s="52"/>
      <c r="AC210" s="162"/>
    </row>
    <row r="211" spans="28:29" ht="15.75" customHeight="1" x14ac:dyDescent="0.2">
      <c r="AB211" s="52"/>
      <c r="AC211" s="162"/>
    </row>
    <row r="212" spans="28:29" ht="15.75" customHeight="1" x14ac:dyDescent="0.2">
      <c r="AB212" s="1"/>
      <c r="AC212" s="162"/>
    </row>
    <row r="213" spans="28:29" ht="15.75" customHeight="1" x14ac:dyDescent="0.2">
      <c r="AB213" s="1"/>
      <c r="AC213" s="162"/>
    </row>
    <row r="214" spans="28:29" ht="15.75" customHeight="1" x14ac:dyDescent="0.2">
      <c r="AB214" s="1"/>
      <c r="AC214" s="162"/>
    </row>
    <row r="215" spans="28:29" ht="15.75" customHeight="1" x14ac:dyDescent="0.2">
      <c r="AB215" s="1"/>
      <c r="AC215" s="162"/>
    </row>
    <row r="216" spans="28:29" ht="15.75" customHeight="1" x14ac:dyDescent="0.2">
      <c r="AB216" s="1"/>
      <c r="AC216" s="162"/>
    </row>
    <row r="217" spans="28:29" ht="15.75" customHeight="1" x14ac:dyDescent="0.2">
      <c r="AB217" s="1"/>
      <c r="AC217" s="162"/>
    </row>
    <row r="218" spans="28:29" ht="15.75" customHeight="1" x14ac:dyDescent="0.2">
      <c r="AB218" s="1"/>
      <c r="AC218" s="162"/>
    </row>
    <row r="219" spans="28:29" ht="15.75" customHeight="1" x14ac:dyDescent="0.2">
      <c r="AB219" s="1"/>
    </row>
    <row r="220" spans="28:29" ht="15.75" customHeight="1" x14ac:dyDescent="0.2">
      <c r="AB220" s="1"/>
    </row>
    <row r="221" spans="28:29" ht="15.75" customHeight="1" x14ac:dyDescent="0.2">
      <c r="AB221" s="1"/>
    </row>
    <row r="222" spans="28:29" ht="15.75" customHeight="1" x14ac:dyDescent="0.2">
      <c r="AB222" s="1"/>
    </row>
    <row r="223" spans="28:29" ht="15.75" customHeight="1" x14ac:dyDescent="0.2">
      <c r="AB223" s="1"/>
    </row>
    <row r="224" spans="28:29" ht="15.75" customHeight="1" x14ac:dyDescent="0.2">
      <c r="AB224" s="1"/>
    </row>
    <row r="225" spans="28:28" ht="15.75" customHeight="1" x14ac:dyDescent="0.2">
      <c r="AB225" s="1"/>
    </row>
    <row r="226" spans="28:28" ht="15.75" customHeight="1" x14ac:dyDescent="0.2">
      <c r="AB226" s="1"/>
    </row>
    <row r="227" spans="28:28" ht="15.75" customHeight="1" x14ac:dyDescent="0.2">
      <c r="AB227" s="1"/>
    </row>
    <row r="228" spans="28:28" ht="15.75" customHeight="1" x14ac:dyDescent="0.2">
      <c r="AB228" s="1"/>
    </row>
    <row r="229" spans="28:28" ht="15.75" customHeight="1" x14ac:dyDescent="0.2">
      <c r="AB229" s="1"/>
    </row>
  </sheetData>
  <sheetProtection formatCells="0" formatColumns="0" formatRows="0" insertColumns="0" insertRows="0" insertHyperlinks="0" deleteColumns="0" deleteRows="0" sort="0" autoFilter="0" pivotTables="0"/>
  <mergeCells count="19">
    <mergeCell ref="B21:C21"/>
    <mergeCell ref="O7:Q7"/>
    <mergeCell ref="B2:C2"/>
    <mergeCell ref="B3:C3"/>
    <mergeCell ref="K3:AE3"/>
    <mergeCell ref="D9:H9"/>
    <mergeCell ref="M6:O6"/>
    <mergeCell ref="K172:AE172"/>
    <mergeCell ref="O28:V28"/>
    <mergeCell ref="O35:V35"/>
    <mergeCell ref="O42:V42"/>
    <mergeCell ref="P49:S49"/>
    <mergeCell ref="W49:AA49"/>
    <mergeCell ref="M72:M73"/>
    <mergeCell ref="K127:AE127"/>
    <mergeCell ref="T130:U130"/>
    <mergeCell ref="M147:N147"/>
    <mergeCell ref="M152:O152"/>
    <mergeCell ref="M167:O167"/>
  </mergeCells>
  <conditionalFormatting sqref="D25">
    <cfRule type="expression" dxfId="2" priority="1" stopIfTrue="1">
      <formula>$D$25=0</formula>
    </cfRule>
  </conditionalFormatting>
  <dataValidations count="31">
    <dataValidation type="list" allowBlank="1" showInputMessage="1" showErrorMessage="1" sqref="D81">
      <formula1>$T$131:$T$135</formula1>
    </dataValidation>
    <dataValidation type="list" allowBlank="1" showInputMessage="1" showErrorMessage="1" sqref="E70:E78">
      <formula1>$P$11:$P$14</formula1>
    </dataValidation>
    <dataValidation type="list" allowBlank="1" showInputMessage="1" showErrorMessage="1" sqref="E57">
      <formula1>$W$183:$W$184</formula1>
    </dataValidation>
    <dataValidation allowBlank="1" showInputMessage="1" showErrorMessage="1" promptTitle="Enter Rates per No." prompt="Enter rates per No_x000a_" sqref="F61"/>
    <dataValidation allowBlank="1" showErrorMessage="1" promptTitle="Enter Reason" prompt="Enter Reason for increase in rates per No" sqref="C60"/>
    <dataValidation allowBlank="1" showInputMessage="1" showErrorMessage="1" promptTitle="Enter Reason" prompt="Enter Reason for increase in rates per No" sqref="C61"/>
    <dataValidation type="list" allowBlank="1" showInputMessage="1" showErrorMessage="1" sqref="C57">
      <formula1>$W$186:$W$189</formula1>
    </dataValidation>
    <dataValidation allowBlank="1" showInputMessage="1" showErrorMessage="1" promptTitle="Pipe Thickness" prompt="Pipe Thickness" sqref="D25"/>
    <dataValidation allowBlank="1" showErrorMessage="1" promptTitle="Height" prompt="Enter the Height _x000a_" sqref="F23 F26:F28"/>
    <dataValidation allowBlank="1" showErrorMessage="1" promptTitle="Pipe Thickness" prompt="Pipe Thickness" sqref="E25"/>
    <dataValidation allowBlank="1" showInputMessage="1" showErrorMessage="1" promptTitle="Enter Value" prompt="Enter The height" sqref="E38"/>
    <dataValidation allowBlank="1" showInputMessage="1" showErrorMessage="1" promptTitle="Enter Value" prompt="Enter height_x000a_" sqref="E39"/>
    <dataValidation type="list" allowBlank="1" showInputMessage="1" showErrorMessage="1" sqref="D41">
      <formula1>$M$148:$M$150</formula1>
    </dataValidation>
    <dataValidation allowBlank="1" showInputMessage="1" showErrorMessage="1" promptTitle="Enter Rates per Sqm" prompt="Enter rates per Sqm_x000a_" sqref="D44:D45"/>
    <dataValidation allowBlank="1" showErrorMessage="1" sqref="C47:D47"/>
    <dataValidation type="list" allowBlank="1" showInputMessage="1" showErrorMessage="1" promptTitle="Enter Value" prompt="Enter Reason for increase in rates per No" sqref="C45">
      <formula1>$P$169:$P$170</formula1>
    </dataValidation>
    <dataValidation type="list" allowBlank="1" showInputMessage="1" showErrorMessage="1" sqref="B39">
      <formula1>$M$135:$M$137</formula1>
    </dataValidation>
    <dataValidation type="list" allowBlank="1" showInputMessage="1" showErrorMessage="1" sqref="B23">
      <formula1>$Q$50:$S$50</formula1>
    </dataValidation>
    <dataValidation type="list" allowBlank="1" showInputMessage="1" showErrorMessage="1" sqref="B30">
      <formula1>$S$97:$S$98</formula1>
    </dataValidation>
    <dataValidation allowBlank="1" showInputMessage="1" showErrorMessage="1" promptTitle="Unit" prompt="In MM_x000a_" sqref="C23"/>
    <dataValidation type="list" allowBlank="1" showInputMessage="1" showErrorMessage="1" sqref="C38">
      <formula1>$M$130:$M$132</formula1>
    </dataValidation>
    <dataValidation type="list" allowBlank="1" showInputMessage="1" showErrorMessage="1" sqref="C39">
      <formula1>$O$135:$O$137</formula1>
    </dataValidation>
    <dataValidation type="list" allowBlank="1" showInputMessage="1" showErrorMessage="1" sqref="C40">
      <formula1>$M$140:$M$144</formula1>
    </dataValidation>
    <dataValidation type="list" allowBlank="1" showInputMessage="1" showErrorMessage="1" sqref="C41:C42">
      <formula1>$O$148:$O$149</formula1>
    </dataValidation>
    <dataValidation allowBlank="1" showInputMessage="1" showErrorMessage="1" promptTitle="Enter Value" prompt="Enter Reason for increase in rates per No" sqref="C44"/>
    <dataValidation type="list" allowBlank="1" showErrorMessage="1" errorTitle="Too Long" error="The height of the shutter is too long_x000a_" sqref="C14">
      <formula1>$M$14:$M$17</formula1>
    </dataValidation>
    <dataValidation type="list" allowBlank="1" showInputMessage="1" showErrorMessage="1" sqref="C8">
      <formula1>$M$9:$M$11</formula1>
    </dataValidation>
    <dataValidation allowBlank="1" showErrorMessage="1" errorTitle="Too Long" error="The height of the shutter is too long_x000a_" sqref="C10"/>
    <dataValidation allowBlank="1" showErrorMessage="1" errorTitle="Too Long" error="The length of the shutter is too long_x000a_" sqref="C9"/>
    <dataValidation type="list" allowBlank="1" showErrorMessage="1" errorTitle="Too Long" error="The height of the shutter is too long_x000a_" sqref="C15">
      <formula1>$O$14:$O$25</formula1>
    </dataValidation>
    <dataValidation type="list" allowBlank="1" showInputMessage="1" showErrorMessage="1" sqref="C16">
      <formula1>$N$14:$N$20</formula1>
    </dataValidation>
  </dataValidations>
  <pageMargins left="0.96" right="0.15" top="0.16" bottom="0.16" header="0.16" footer="0.18"/>
  <pageSetup scale="65" orientation="landscape" verticalDpi="300" r:id="rId1"/>
  <headerFooter alignWithMargins="0"/>
  <colBreaks count="2" manualBreakCount="2">
    <brk id="12" max="80" man="1"/>
    <brk id="27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F235"/>
  <sheetViews>
    <sheetView tabSelected="1" topLeftCell="AF77" zoomScale="90" zoomScaleNormal="90" workbookViewId="0">
      <selection activeCell="AK102" sqref="AK102"/>
    </sheetView>
  </sheetViews>
  <sheetFormatPr defaultRowHeight="15.75" customHeight="1" x14ac:dyDescent="0.2"/>
  <cols>
    <col min="1" max="1" width="3.140625" style="1" hidden="1" customWidth="1"/>
    <col min="2" max="2" width="12.140625" style="1" hidden="1" customWidth="1"/>
    <col min="3" max="3" width="3.140625" style="1" hidden="1" customWidth="1"/>
    <col min="4" max="8" width="9.28515625" style="1" hidden="1" customWidth="1"/>
    <col min="9" max="9" width="3.140625" style="1" hidden="1" customWidth="1"/>
    <col min="10" max="11" width="5.42578125" style="1" hidden="1" customWidth="1"/>
    <col min="12" max="17" width="3.140625" style="1" hidden="1" customWidth="1"/>
    <col min="18" max="18" width="5.85546875" style="1" hidden="1" customWidth="1"/>
    <col min="19" max="31" width="3.140625" style="1" hidden="1" customWidth="1"/>
    <col min="32" max="32" width="13.85546875" style="1" customWidth="1"/>
    <col min="33" max="33" width="35.42578125" style="1" bestFit="1" customWidth="1"/>
    <col min="34" max="34" width="20.28515625" style="2" customWidth="1"/>
    <col min="35" max="35" width="16" style="1" customWidth="1"/>
    <col min="36" max="36" width="15.5703125" style="1" customWidth="1"/>
    <col min="37" max="37" width="14" style="1" customWidth="1"/>
    <col min="38" max="38" width="19.85546875" style="1" customWidth="1"/>
    <col min="39" max="39" width="16.140625" style="1" customWidth="1"/>
    <col min="40" max="40" width="13.85546875" style="1" customWidth="1"/>
    <col min="41" max="41" width="11.140625" style="1" customWidth="1"/>
    <col min="42" max="42" width="16" style="1" customWidth="1"/>
    <col min="43" max="43" width="30.5703125" style="1" customWidth="1"/>
    <col min="44" max="44" width="14.140625" style="1" customWidth="1"/>
    <col min="45" max="45" width="11.85546875" style="1" customWidth="1"/>
    <col min="46" max="46" width="10.85546875" style="1" customWidth="1"/>
    <col min="47" max="47" width="36.140625" style="1" bestFit="1" customWidth="1"/>
    <col min="48" max="48" width="16.85546875" style="1" customWidth="1"/>
    <col min="49" max="53" width="22.7109375" style="1" customWidth="1"/>
    <col min="54" max="54" width="18.5703125" style="1" customWidth="1"/>
    <col min="55" max="55" width="17.140625" style="1" customWidth="1"/>
    <col min="56" max="57" width="22.7109375" style="1" customWidth="1"/>
    <col min="58" max="60" width="17.7109375" style="1" customWidth="1"/>
    <col min="61" max="61" width="15.42578125" style="1" customWidth="1"/>
    <col min="62" max="62" width="23" style="162" customWidth="1"/>
    <col min="63" max="63" width="6.7109375" style="1" customWidth="1"/>
    <col min="64" max="64" width="6.5703125" style="1" customWidth="1"/>
    <col min="65" max="65" width="9" style="1" customWidth="1"/>
    <col min="66" max="71" width="9.140625" style="1" customWidth="1"/>
    <col min="72" max="72" width="8.85546875" style="1" customWidth="1"/>
    <col min="73" max="74" width="10.7109375" style="1" customWidth="1"/>
    <col min="75" max="75" width="11" style="1" customWidth="1"/>
    <col min="76" max="76" width="10.28515625" style="1" customWidth="1"/>
    <col min="77" max="77" width="9.140625" style="1" customWidth="1"/>
    <col min="78" max="78" width="11" style="1" customWidth="1"/>
    <col min="79" max="93" width="9.140625" style="1" customWidth="1"/>
    <col min="94" max="16384" width="9.140625" style="1"/>
  </cols>
  <sheetData>
    <row r="1" spans="32:109" s="12" customFormat="1" ht="12.75" x14ac:dyDescent="0.2">
      <c r="AF1" s="12">
        <v>32</v>
      </c>
      <c r="AG1" s="10">
        <v>33</v>
      </c>
      <c r="AH1" s="14">
        <v>34</v>
      </c>
      <c r="AI1" s="12">
        <v>35</v>
      </c>
      <c r="AJ1" s="12">
        <v>36</v>
      </c>
      <c r="AK1" s="12">
        <v>37</v>
      </c>
      <c r="AL1" s="12">
        <v>38</v>
      </c>
      <c r="AM1" s="12">
        <v>39</v>
      </c>
      <c r="AN1" s="12">
        <v>40</v>
      </c>
      <c r="AO1" s="12">
        <v>41</v>
      </c>
      <c r="AP1" s="12">
        <v>42</v>
      </c>
      <c r="AR1" s="291">
        <v>44</v>
      </c>
      <c r="AS1" s="321">
        <v>45</v>
      </c>
      <c r="AT1" s="12">
        <v>46</v>
      </c>
      <c r="AU1" s="292">
        <v>47</v>
      </c>
      <c r="AV1" s="52">
        <v>48</v>
      </c>
      <c r="AW1" s="52">
        <v>49</v>
      </c>
      <c r="AX1" s="52">
        <v>50</v>
      </c>
      <c r="AY1" s="52"/>
      <c r="AZ1" s="52"/>
      <c r="BA1" s="52"/>
      <c r="BB1" s="52"/>
      <c r="BC1" s="52"/>
      <c r="BD1" s="52"/>
      <c r="BE1" s="52"/>
      <c r="BJ1" s="161"/>
    </row>
    <row r="2" spans="32:109" s="12" customFormat="1" ht="13.5" thickBot="1" x14ac:dyDescent="0.25">
      <c r="AG2" s="712" t="s">
        <v>396</v>
      </c>
      <c r="AH2" s="712"/>
      <c r="AR2" s="286"/>
      <c r="AS2" s="322"/>
      <c r="AU2" s="1"/>
      <c r="AV2" s="52"/>
      <c r="AW2" s="52"/>
      <c r="AX2" s="52"/>
      <c r="AY2" s="52"/>
      <c r="AZ2" s="52"/>
      <c r="BA2" s="52"/>
      <c r="BB2" s="52"/>
      <c r="BC2" s="52"/>
      <c r="BD2" s="52"/>
      <c r="BE2" s="52"/>
      <c r="BJ2" s="161"/>
    </row>
    <row r="3" spans="32:109" thickBot="1" x14ac:dyDescent="0.25">
      <c r="AG3" s="737" t="s">
        <v>211</v>
      </c>
      <c r="AH3" s="738"/>
      <c r="AR3" s="322"/>
      <c r="AS3" s="739" t="s">
        <v>282</v>
      </c>
      <c r="AT3" s="740"/>
      <c r="AU3" s="740"/>
      <c r="AV3" s="740"/>
      <c r="AW3" s="740"/>
      <c r="AX3" s="740"/>
      <c r="AY3" s="740"/>
      <c r="AZ3" s="740"/>
      <c r="BA3" s="740"/>
      <c r="BB3" s="740"/>
      <c r="BC3" s="740"/>
      <c r="BD3" s="740"/>
      <c r="BE3" s="740"/>
      <c r="BF3" s="740"/>
      <c r="BG3" s="740"/>
      <c r="BH3" s="740"/>
      <c r="BI3" s="740"/>
      <c r="BJ3" s="740"/>
      <c r="BK3" s="740"/>
      <c r="BL3" s="740"/>
      <c r="BM3" s="741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</row>
    <row r="4" spans="32:109" ht="12.75" x14ac:dyDescent="0.2">
      <c r="AG4" s="377" t="s">
        <v>7</v>
      </c>
      <c r="AH4" s="378">
        <f ca="1">TODAY()</f>
        <v>43890</v>
      </c>
      <c r="AR4" s="16"/>
      <c r="AS4" s="354"/>
      <c r="AT4" s="353"/>
      <c r="AU4" s="353"/>
      <c r="AV4" s="353"/>
      <c r="AW4" s="353"/>
      <c r="AX4" s="353"/>
      <c r="AY4" s="353"/>
      <c r="AZ4" s="353"/>
      <c r="BA4" s="353"/>
      <c r="BB4" s="353"/>
      <c r="BC4" s="353"/>
      <c r="BD4" s="353"/>
      <c r="BE4" s="353"/>
      <c r="BF4" s="353"/>
      <c r="BG4" s="353"/>
      <c r="BH4" s="353"/>
      <c r="BI4" s="353"/>
      <c r="BJ4" s="353"/>
      <c r="BK4" s="353"/>
      <c r="BL4" s="353"/>
      <c r="BM4" s="355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</row>
    <row r="5" spans="32:109" ht="12.75" x14ac:dyDescent="0.2">
      <c r="AG5" s="61" t="s">
        <v>99</v>
      </c>
      <c r="AH5" s="379"/>
      <c r="AR5" s="16"/>
      <c r="AS5" s="356"/>
      <c r="AT5" s="352"/>
      <c r="AU5" s="352"/>
      <c r="AV5" s="352"/>
      <c r="AW5" s="352"/>
      <c r="AX5" s="352"/>
      <c r="AY5" s="352"/>
      <c r="AZ5" s="352"/>
      <c r="BA5" s="352"/>
      <c r="BB5" s="352"/>
      <c r="BC5" s="352"/>
      <c r="BD5" s="352"/>
      <c r="BE5" s="352"/>
      <c r="BF5" s="352"/>
      <c r="BG5" s="352"/>
      <c r="BH5" s="352"/>
      <c r="BI5" s="352"/>
      <c r="BJ5" s="352"/>
      <c r="BK5" s="352"/>
      <c r="BL5" s="352"/>
      <c r="BM5" s="357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</row>
    <row r="6" spans="32:109" ht="12.75" x14ac:dyDescent="0.2">
      <c r="AG6" s="61" t="s">
        <v>5</v>
      </c>
      <c r="AH6" s="379"/>
      <c r="AR6" s="16"/>
      <c r="AS6" s="323"/>
      <c r="AT6" s="322" t="s">
        <v>216</v>
      </c>
      <c r="AU6" s="721" t="s">
        <v>193</v>
      </c>
      <c r="AV6" s="721"/>
      <c r="AW6" s="721"/>
      <c r="AX6" s="324"/>
      <c r="AY6" s="324"/>
      <c r="AZ6" s="324"/>
      <c r="BA6" s="324"/>
      <c r="BB6" s="324"/>
      <c r="BC6" s="324"/>
      <c r="BD6" s="324"/>
      <c r="BE6" s="324"/>
      <c r="BF6" s="322"/>
      <c r="BG6" s="322"/>
      <c r="BH6" s="322"/>
      <c r="BI6" s="322"/>
      <c r="BJ6" s="325"/>
      <c r="BK6" s="322"/>
      <c r="BL6" s="322"/>
      <c r="BM6" s="326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 t="s">
        <v>320</v>
      </c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</row>
    <row r="7" spans="32:109" ht="12.75" x14ac:dyDescent="0.2">
      <c r="AG7" s="61" t="s">
        <v>6</v>
      </c>
      <c r="AH7" s="380"/>
      <c r="AR7" s="16"/>
      <c r="AS7" s="323"/>
      <c r="AT7" s="322"/>
      <c r="AU7" s="3"/>
      <c r="AV7" s="6" t="s">
        <v>197</v>
      </c>
      <c r="AW7" s="734" t="s">
        <v>300</v>
      </c>
      <c r="AX7" s="735"/>
      <c r="AY7" s="736"/>
      <c r="AZ7" s="324"/>
      <c r="BA7" s="324"/>
      <c r="BB7" s="324"/>
      <c r="BC7" s="324"/>
      <c r="BD7" s="324"/>
      <c r="BE7" s="324"/>
      <c r="BF7" s="322"/>
      <c r="BG7" s="322"/>
      <c r="BH7" s="322"/>
      <c r="BI7" s="322"/>
      <c r="BJ7" s="325"/>
      <c r="BK7" s="322"/>
      <c r="BL7" s="322"/>
      <c r="BM7" s="326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</row>
    <row r="8" spans="32:109" ht="25.5" x14ac:dyDescent="0.2">
      <c r="AG8" s="61" t="s">
        <v>192</v>
      </c>
      <c r="AH8" s="380">
        <v>2</v>
      </c>
      <c r="AI8" s="292"/>
      <c r="AJ8" s="688"/>
      <c r="AK8" s="688"/>
      <c r="AR8" s="16"/>
      <c r="AS8" s="323"/>
      <c r="AT8" s="322"/>
      <c r="AU8" s="3"/>
      <c r="AV8" s="6"/>
      <c r="AW8" s="6" t="s">
        <v>203</v>
      </c>
      <c r="AX8" s="6" t="s">
        <v>204</v>
      </c>
      <c r="AY8" s="311" t="s">
        <v>202</v>
      </c>
      <c r="AZ8" s="311" t="s">
        <v>23</v>
      </c>
      <c r="BA8" s="359"/>
      <c r="BB8" s="324"/>
      <c r="BC8" s="324"/>
      <c r="BD8" s="324"/>
      <c r="BE8" s="324"/>
      <c r="BF8" s="322"/>
      <c r="BG8" s="322"/>
      <c r="BH8" s="322"/>
      <c r="BI8" s="322"/>
      <c r="BJ8" s="325"/>
      <c r="BK8" s="322"/>
      <c r="BL8" s="322"/>
      <c r="BM8" s="326"/>
      <c r="BN8" s="12"/>
      <c r="BO8" s="12"/>
      <c r="BP8" s="12"/>
      <c r="BQ8" s="12"/>
      <c r="BR8" s="12"/>
      <c r="BS8" s="12"/>
      <c r="BT8" s="12"/>
      <c r="BU8" s="12"/>
      <c r="BV8" s="12"/>
      <c r="BW8" s="519">
        <v>1</v>
      </c>
      <c r="BX8" s="519">
        <f>BW8+1</f>
        <v>2</v>
      </c>
      <c r="BY8" s="519">
        <f t="shared" ref="BY8:CG8" si="0">BX8+1</f>
        <v>3</v>
      </c>
      <c r="BZ8" s="519">
        <f t="shared" si="0"/>
        <v>4</v>
      </c>
      <c r="CA8" s="519">
        <f t="shared" si="0"/>
        <v>5</v>
      </c>
      <c r="CB8" s="519">
        <f t="shared" si="0"/>
        <v>6</v>
      </c>
      <c r="CC8" s="519">
        <f t="shared" si="0"/>
        <v>7</v>
      </c>
      <c r="CD8" s="519">
        <f t="shared" si="0"/>
        <v>8</v>
      </c>
      <c r="CE8" s="519">
        <f t="shared" si="0"/>
        <v>9</v>
      </c>
      <c r="CF8" s="519">
        <f t="shared" si="0"/>
        <v>10</v>
      </c>
      <c r="CG8" s="519">
        <f t="shared" si="0"/>
        <v>11</v>
      </c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</row>
    <row r="9" spans="32:109" ht="12.75" x14ac:dyDescent="0.2">
      <c r="AG9" s="61" t="s">
        <v>8</v>
      </c>
      <c r="AH9" s="526">
        <v>5</v>
      </c>
      <c r="AR9" s="16"/>
      <c r="AS9" s="323"/>
      <c r="AT9" s="322"/>
      <c r="AU9" s="3">
        <v>2</v>
      </c>
      <c r="AV9" s="249">
        <v>0.8</v>
      </c>
      <c r="AW9" s="251">
        <v>0.4</v>
      </c>
      <c r="AX9" s="251">
        <v>0.8</v>
      </c>
      <c r="AY9" s="251">
        <v>0.81</v>
      </c>
      <c r="AZ9" s="251">
        <v>1</v>
      </c>
      <c r="BA9" s="324"/>
      <c r="BB9" s="324"/>
      <c r="BC9" s="16"/>
      <c r="BD9" s="324"/>
      <c r="BE9" s="324"/>
      <c r="BF9" s="322"/>
      <c r="BG9" s="322"/>
      <c r="BH9" s="322"/>
      <c r="BI9" s="322"/>
      <c r="BJ9" s="325"/>
      <c r="BK9" s="322"/>
      <c r="BL9" s="322"/>
      <c r="BM9" s="326"/>
      <c r="BN9" s="12"/>
      <c r="BO9" s="12"/>
      <c r="BP9" s="12"/>
      <c r="BQ9" s="12"/>
      <c r="BR9" s="12"/>
      <c r="BS9" s="12"/>
      <c r="BT9" s="12"/>
      <c r="BU9" s="12"/>
      <c r="BV9" s="12"/>
      <c r="BW9" s="298">
        <f>IF(AND(AH27=AY65,AH9&lt;=4,AH10&lt;=11),6,0)</f>
        <v>0</v>
      </c>
      <c r="BX9" s="298">
        <f>+IF(AND(AH27=AY65,AH9&gt;4,AH9&lt;=4.5,AH10&lt;=10),6,0)</f>
        <v>0</v>
      </c>
      <c r="BY9" s="298">
        <f>+IF(AND(AH27=AY65,AH9&gt;4,AH9&lt;=4.5,AH10&gt;10,AH10&lt;=11),8,0)</f>
        <v>0</v>
      </c>
      <c r="BZ9" s="298">
        <f>+IF(AND(AH27=AY65,AH9&gt;4.5,AH9&lt;=5,AH10&lt;=7),6,0)</f>
        <v>0</v>
      </c>
      <c r="CA9" s="298">
        <f>+IF(AND(AH27=AY65,AH9&gt;4.5,AH9&lt;=5,AH10&gt;7,AH10&lt;=11),8,0)</f>
        <v>0</v>
      </c>
      <c r="CB9" s="298">
        <f>+IF(AND(AH27=AY65,AH9&gt;5,AH9&lt;=5.5,AH10&lt;=5),6,0)</f>
        <v>0</v>
      </c>
      <c r="CC9" s="298">
        <f>+IF(AND(AH27=AY65,AH9&gt;5,AH9&lt;=5.5,AH10&gt;5,AH10&lt;=11),8,0)</f>
        <v>0</v>
      </c>
      <c r="CD9" s="298">
        <f>+IF(AND(AH27=AY65,AH9&gt;5.5,AH9&lt;=6,AH10&lt;=4),6,0)</f>
        <v>0</v>
      </c>
      <c r="CE9" s="298">
        <f>+IF(AND(AH27=AY65,AH9&gt;5.5,AH9&lt;=6,AH10&gt;4,AH10&lt;=11),8,0)</f>
        <v>0</v>
      </c>
      <c r="CF9" s="298">
        <f>+IF(AND(AH27=AY65,AH9&gt;6,AH9&lt;=6.5,AH10&lt;=9),8,0)</f>
        <v>0</v>
      </c>
      <c r="CG9" s="298">
        <f>+IF(AND(AH27=AY65,AH9&gt;6,AH9&lt;=6.5,AH10&gt;9,AH10&lt;=11),10,0)</f>
        <v>0</v>
      </c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</row>
    <row r="10" spans="32:109" ht="12.75" x14ac:dyDescent="0.2">
      <c r="AG10" s="61" t="s">
        <v>11</v>
      </c>
      <c r="AH10" s="526">
        <v>7</v>
      </c>
      <c r="AJ10" s="292"/>
      <c r="AR10" s="16"/>
      <c r="AS10" s="323"/>
      <c r="AT10" s="322"/>
      <c r="AU10" s="3">
        <v>3</v>
      </c>
      <c r="AV10" s="249">
        <v>0.8</v>
      </c>
      <c r="AW10" s="251">
        <v>0.5</v>
      </c>
      <c r="AX10" s="251">
        <v>0.82</v>
      </c>
      <c r="AY10" s="251">
        <v>0.84</v>
      </c>
      <c r="AZ10" s="251">
        <v>1</v>
      </c>
      <c r="BA10" s="324"/>
      <c r="BB10" s="324"/>
      <c r="BC10" s="16"/>
      <c r="BD10" s="324"/>
      <c r="BE10" s="324"/>
      <c r="BF10" s="322"/>
      <c r="BG10" s="322"/>
      <c r="BH10" s="322"/>
      <c r="BI10" s="322"/>
      <c r="BJ10" s="325"/>
      <c r="BK10" s="322"/>
      <c r="BL10" s="322"/>
      <c r="BM10" s="326"/>
      <c r="BN10" s="12"/>
      <c r="BO10" s="12"/>
      <c r="BP10" s="12"/>
      <c r="BQ10" s="12"/>
      <c r="BR10" s="12"/>
      <c r="BS10" s="12"/>
      <c r="BT10" s="12"/>
      <c r="BU10" s="12"/>
      <c r="BV10" s="12"/>
      <c r="BW10" s="298">
        <f>+IF(AND(AH27=AY65,AH9&gt;6.5,AH9&lt;=7,AH10&lt;=6.5),8,0)</f>
        <v>0</v>
      </c>
      <c r="BX10" s="298">
        <f>+IF(AND(AH27=AY65,AH9&gt;6.5,AH9&lt;=7,AH10&gt;6.5,AH10&lt;=11),10,0)</f>
        <v>0</v>
      </c>
      <c r="BY10" s="298">
        <f>+IF(AND(AH27=AY65,AH9&gt;7,AH9&lt;=7.5,AH10&lt;=5.5),8,0)</f>
        <v>0</v>
      </c>
      <c r="BZ10" s="298">
        <f>+IF(AND(AH27=AY65,AH9&gt;7,AH9&lt;=7.5,AH10&gt;5.5,AH10&lt;=11),10,0)</f>
        <v>0</v>
      </c>
      <c r="CA10" s="298">
        <f>+IF(AND(AH27=AY65,AH9&gt;7.5,AH9&lt;=8,AH10&lt;=4),8,0)</f>
        <v>0</v>
      </c>
      <c r="CB10" s="298">
        <f>+IF(AND(AH27=AY65,AH9&gt;7.5,AH9&lt;=8,AH10&gt;4,AH10&lt;=11),10,0)</f>
        <v>0</v>
      </c>
      <c r="CC10" s="298">
        <f>+IF(AND(AH27=AY65,AH9&gt;8,AH9&lt;=8.5,AH10&lt;=3),8,0)</f>
        <v>0</v>
      </c>
      <c r="CD10" s="298">
        <f>+IF(AND(AH27=AY65,AH9&gt;8,AH9&lt;=8.5,AH10&gt;3,AH10&lt;=7.5),10,0)</f>
        <v>0</v>
      </c>
      <c r="CE10" s="298">
        <f>+IF(AND(AH27=AY65,AH9&gt;8,AH9&lt;=8.5,AH10&gt;7.5,AH10&lt;=11),12,0)</f>
        <v>0</v>
      </c>
      <c r="CF10" s="298">
        <f>+IF(AND(AH27=AY65,AH9&gt;8.5,AH9&lt;=9,AH10&lt;=3),8,0)</f>
        <v>0</v>
      </c>
      <c r="CG10" s="298">
        <f>+IF(AND(AH27=AY65,AH9&gt;8.5,AH9&lt;=9,AH10&gt;3,AH10&lt;=6),10,0)</f>
        <v>0</v>
      </c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</row>
    <row r="11" spans="32:109" ht="12.75" x14ac:dyDescent="0.2">
      <c r="AG11" s="61" t="s">
        <v>9</v>
      </c>
      <c r="AH11" s="382">
        <f>IF((AH9*AH10)&lt;5,5,(AH9*AH10))</f>
        <v>35</v>
      </c>
      <c r="AR11" s="16"/>
      <c r="AS11" s="323"/>
      <c r="AT11" s="322"/>
      <c r="AU11" s="250">
        <v>4</v>
      </c>
      <c r="AV11" s="249">
        <v>0.8</v>
      </c>
      <c r="AW11" s="251">
        <v>0.55000000000000004</v>
      </c>
      <c r="AX11" s="251">
        <v>0.83</v>
      </c>
      <c r="AY11" s="251">
        <v>0.9</v>
      </c>
      <c r="AZ11" s="251">
        <v>1</v>
      </c>
      <c r="BA11" s="324"/>
      <c r="BB11" s="324"/>
      <c r="BC11" s="16"/>
      <c r="BD11" s="324"/>
      <c r="BE11" s="324"/>
      <c r="BF11" s="322"/>
      <c r="BG11" s="322"/>
      <c r="BH11" s="322"/>
      <c r="BI11" s="322"/>
      <c r="BJ11" s="325"/>
      <c r="BK11" s="322"/>
      <c r="BL11" s="322"/>
      <c r="BM11" s="326"/>
      <c r="BN11" s="12"/>
      <c r="BO11" s="12"/>
      <c r="BP11" s="12"/>
      <c r="BQ11" s="12"/>
      <c r="BR11" s="12"/>
      <c r="BS11" s="12"/>
      <c r="BT11" s="12"/>
      <c r="BU11" s="12"/>
      <c r="BV11" s="12"/>
      <c r="BW11" s="298">
        <f>+IF(AND(AH27=AY65,AH9&gt;8.5,AH9&lt;=9,AH10&gt;6,AH10&lt;=11),12,0)</f>
        <v>0</v>
      </c>
      <c r="BX11" s="298">
        <f>+IF(AND(AH27=AY65,AH9&gt;9,AH9&lt;=9.5,AH10&lt;=5),10,0)</f>
        <v>0</v>
      </c>
      <c r="BY11" s="298">
        <f>+IF(AND(AH27=AY65,AH9&gt;9,AH9&lt;=9.5,AH10&gt;5,AH10&lt;=11),12,0)</f>
        <v>0</v>
      </c>
      <c r="BZ11" s="298">
        <f>+IF(AND(AH27=AY65,AH9&gt;9.5,AH9&lt;=10,AH10&lt;=4),10,0)</f>
        <v>0</v>
      </c>
      <c r="CA11" s="298">
        <f>+IF(AND(AH27=AY65,AH9&gt;9.5,AH9&lt;=10,AH10&gt;4,AH10&lt;=8.5),12,0)</f>
        <v>0</v>
      </c>
      <c r="CB11" s="298">
        <f>+IF(AND(AH27=AY65,AH9&gt;9.5,AH9&lt;=10,AH10&gt;8.5,AH10&lt;=11),14,0)</f>
        <v>0</v>
      </c>
      <c r="CC11" s="298">
        <f>+IF(AND(AH27=AY65,AH9&gt;10,AH9&lt;=10.5,AH10&lt;=3.5),10,0)</f>
        <v>0</v>
      </c>
      <c r="CD11" s="298">
        <f>+IF(AND(AH27=AY65,AH9&gt;10,AH9&lt;=10.5,AH10&gt;3.5,AH10&lt;=5.5),12,0)</f>
        <v>0</v>
      </c>
      <c r="CE11" s="298">
        <f>+IF(AND(AH27=AY65,AH9&gt;10,AH9&lt;=10.5,AH10&gt;5.5,AH10&lt;=11),14,0)</f>
        <v>0</v>
      </c>
      <c r="CF11" s="298">
        <f>+IF(AND(AH27=AY65,AH9&gt;10.5,AH9&lt;=11,AH10&lt;=2.5),10,0)</f>
        <v>0</v>
      </c>
      <c r="CG11" s="298">
        <f>+IF(AND(AH27=AY65,AH9&gt;10.5,AH9&lt;=11,AH10&gt;2.5,AH10&lt;=5),12,0)</f>
        <v>0</v>
      </c>
    </row>
    <row r="12" spans="32:109" ht="12.75" x14ac:dyDescent="0.2">
      <c r="AG12" s="61" t="s">
        <v>28</v>
      </c>
      <c r="AH12" s="382">
        <f>AH11*17</f>
        <v>595</v>
      </c>
      <c r="AR12" s="16"/>
      <c r="AS12" s="323"/>
      <c r="AT12" s="322"/>
      <c r="AU12" s="16"/>
      <c r="AV12" s="324"/>
      <c r="AW12" s="324"/>
      <c r="AX12" s="324"/>
      <c r="AY12" s="324"/>
      <c r="AZ12" s="324"/>
      <c r="BA12" s="324"/>
      <c r="BB12" s="324"/>
      <c r="BC12" s="324"/>
      <c r="BD12" s="324"/>
      <c r="BE12" s="324"/>
      <c r="BF12" s="322"/>
      <c r="BG12" s="322"/>
      <c r="BH12" s="322"/>
      <c r="BI12" s="322"/>
      <c r="BJ12" s="325"/>
      <c r="BK12" s="322"/>
      <c r="BL12" s="322"/>
      <c r="BM12" s="326"/>
      <c r="BN12" s="12"/>
      <c r="BO12" s="12"/>
      <c r="BP12" s="12"/>
      <c r="BQ12" s="12"/>
      <c r="BR12" s="12"/>
      <c r="BS12" s="12"/>
      <c r="BT12" s="12"/>
      <c r="BU12" s="12"/>
      <c r="BV12" s="12"/>
      <c r="BW12" s="298">
        <f>+IF(AND(AH27=AY65,AH9&gt;10.5,AH9&lt;=11,AH10&gt;5,AH10&lt;=11),14,0)</f>
        <v>0</v>
      </c>
      <c r="BX12" s="298">
        <f>+IF(AND(AH27=AY65,AH9&gt;11,AH9&lt;=12,AH10&lt;=3.5),12,0)</f>
        <v>0</v>
      </c>
      <c r="BY12" s="298">
        <f>+IF(AND(AH27=AY65,AH9&gt;11,AH9&lt;=12,AH10&gt;3.5,AH10&lt;=9),14,0)</f>
        <v>0</v>
      </c>
      <c r="BZ12" s="298"/>
      <c r="CA12" s="298"/>
      <c r="CB12" s="298"/>
      <c r="CC12" s="298"/>
      <c r="CD12" s="298"/>
      <c r="CE12" s="298"/>
      <c r="CF12" s="298"/>
      <c r="CG12" s="298"/>
    </row>
    <row r="13" spans="32:109" ht="25.5" x14ac:dyDescent="0.2">
      <c r="AG13" s="61" t="s">
        <v>10</v>
      </c>
      <c r="AH13" s="383">
        <v>1</v>
      </c>
      <c r="AR13" s="16"/>
      <c r="AS13" s="323"/>
      <c r="AT13" s="322"/>
      <c r="AU13" s="308" t="s">
        <v>218</v>
      </c>
      <c r="AV13" s="309" t="s">
        <v>219</v>
      </c>
      <c r="AW13" s="309" t="s">
        <v>239</v>
      </c>
      <c r="AX13" s="502" t="s">
        <v>311</v>
      </c>
      <c r="AY13" s="324"/>
      <c r="AZ13" s="324"/>
      <c r="BA13" s="327"/>
      <c r="BB13" s="327" t="s">
        <v>326</v>
      </c>
      <c r="BC13" s="327" t="s">
        <v>130</v>
      </c>
      <c r="BD13" s="327" t="s">
        <v>328</v>
      </c>
      <c r="BE13" s="324"/>
      <c r="BF13" s="322"/>
      <c r="BG13" s="322"/>
      <c r="BH13" s="322"/>
      <c r="BI13" s="322"/>
      <c r="BJ13" s="325"/>
      <c r="BK13" s="322"/>
      <c r="BL13" s="322"/>
      <c r="BM13" s="326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</row>
    <row r="14" spans="32:109" ht="12.75" x14ac:dyDescent="0.2">
      <c r="AG14" s="61" t="s">
        <v>164</v>
      </c>
      <c r="AH14" s="573">
        <v>5</v>
      </c>
      <c r="AR14" s="16"/>
      <c r="AS14" s="323"/>
      <c r="AT14" s="16" t="s">
        <v>217</v>
      </c>
      <c r="AU14" s="298">
        <v>2</v>
      </c>
      <c r="AV14" s="295">
        <v>2</v>
      </c>
      <c r="AW14" s="221">
        <v>2</v>
      </c>
      <c r="AX14" s="673">
        <v>14</v>
      </c>
      <c r="AY14" s="327" t="s">
        <v>31</v>
      </c>
      <c r="BA14" s="327">
        <v>1</v>
      </c>
      <c r="BB14" s="327">
        <v>60</v>
      </c>
      <c r="BC14" s="327">
        <v>2500</v>
      </c>
      <c r="BD14" s="327">
        <v>750</v>
      </c>
      <c r="BE14" s="324"/>
      <c r="BF14" s="325"/>
      <c r="BG14" s="325"/>
      <c r="BH14" s="325"/>
      <c r="BI14" s="322"/>
      <c r="BJ14" s="325"/>
      <c r="BK14" s="322"/>
      <c r="BL14" s="322"/>
      <c r="BM14" s="326"/>
    </row>
    <row r="15" spans="32:109" ht="12.75" x14ac:dyDescent="0.2">
      <c r="AG15" s="61" t="s">
        <v>165</v>
      </c>
      <c r="AH15" s="573">
        <v>6</v>
      </c>
      <c r="AR15" s="16"/>
      <c r="AS15" s="323"/>
      <c r="AT15" s="16"/>
      <c r="AU15" s="298">
        <v>3</v>
      </c>
      <c r="AV15" s="295">
        <v>3</v>
      </c>
      <c r="AW15" s="221">
        <v>3</v>
      </c>
      <c r="AX15" s="673">
        <v>14</v>
      </c>
      <c r="AY15" s="327"/>
      <c r="AZ15" s="324"/>
      <c r="BA15" s="327">
        <v>2</v>
      </c>
      <c r="BB15" s="327">
        <v>0</v>
      </c>
      <c r="BC15" s="327">
        <v>0</v>
      </c>
      <c r="BD15" s="327">
        <v>0</v>
      </c>
      <c r="BE15" s="324"/>
      <c r="BF15" s="325"/>
      <c r="BG15" s="325"/>
      <c r="BH15" s="325"/>
      <c r="BI15" s="322"/>
      <c r="BJ15" s="325"/>
      <c r="BK15" s="322"/>
      <c r="BL15" s="322"/>
      <c r="BM15" s="326"/>
      <c r="CC15" s="1">
        <f>72/2</f>
        <v>36</v>
      </c>
    </row>
    <row r="16" spans="32:109" ht="12.75" x14ac:dyDescent="0.2">
      <c r="AG16" s="385" t="s">
        <v>56</v>
      </c>
      <c r="AH16" s="381">
        <v>5</v>
      </c>
      <c r="AR16" s="16"/>
      <c r="AS16" s="323"/>
      <c r="AT16" s="16"/>
      <c r="AU16" s="298">
        <v>4</v>
      </c>
      <c r="AV16" s="295">
        <v>4</v>
      </c>
      <c r="AW16" s="221">
        <v>4</v>
      </c>
      <c r="AX16" s="673">
        <v>14</v>
      </c>
      <c r="AY16" s="327"/>
      <c r="AZ16" s="324"/>
      <c r="BA16" s="324"/>
      <c r="BB16" s="324"/>
      <c r="BC16" s="324"/>
      <c r="BD16" s="324"/>
      <c r="BE16" s="324"/>
      <c r="BF16" s="325"/>
      <c r="BG16" s="325"/>
      <c r="BH16" s="325"/>
      <c r="BI16" s="322"/>
      <c r="BJ16" s="325"/>
      <c r="BK16" s="322"/>
      <c r="BL16" s="322"/>
      <c r="BM16" s="326"/>
    </row>
    <row r="17" spans="1:122" ht="12.75" x14ac:dyDescent="0.2">
      <c r="AG17" s="386" t="s">
        <v>117</v>
      </c>
      <c r="AH17" s="384">
        <v>0.28999999999999998</v>
      </c>
      <c r="AR17" s="16"/>
      <c r="AS17" s="323"/>
      <c r="AT17" s="16"/>
      <c r="AU17" s="3">
        <v>5</v>
      </c>
      <c r="AV17" s="295">
        <v>5</v>
      </c>
      <c r="AW17" s="221">
        <v>5</v>
      </c>
      <c r="AX17" s="673">
        <v>11.5</v>
      </c>
      <c r="AY17" s="327" t="s">
        <v>23</v>
      </c>
      <c r="AZ17" s="324"/>
      <c r="BA17" s="324"/>
      <c r="BB17" s="197"/>
      <c r="BC17" s="197"/>
      <c r="BD17" s="197"/>
      <c r="BE17" s="197"/>
      <c r="BF17" s="327"/>
      <c r="BG17" s="327"/>
      <c r="BH17" s="327"/>
      <c r="BI17" s="16"/>
      <c r="BJ17" s="327"/>
      <c r="BK17" s="16"/>
      <c r="BL17" s="16"/>
      <c r="BM17" s="17"/>
    </row>
    <row r="18" spans="1:122" ht="12.75" x14ac:dyDescent="0.2">
      <c r="AG18" s="386" t="s">
        <v>15</v>
      </c>
      <c r="AH18" s="380">
        <v>82</v>
      </c>
      <c r="AR18" s="16"/>
      <c r="AS18" s="323"/>
      <c r="AT18" s="16"/>
      <c r="AU18" s="3"/>
      <c r="AV18" s="295">
        <v>6</v>
      </c>
      <c r="AW18" s="221">
        <v>6</v>
      </c>
      <c r="AX18" s="673">
        <v>11.5</v>
      </c>
      <c r="AY18" s="327"/>
      <c r="AZ18" s="324"/>
      <c r="BA18" s="324"/>
      <c r="BB18" s="197"/>
      <c r="BC18" s="197"/>
      <c r="BD18" s="197"/>
      <c r="BE18" s="197"/>
      <c r="BF18" s="327"/>
      <c r="BG18" s="327"/>
      <c r="BH18" s="327"/>
      <c r="BI18" s="16"/>
      <c r="BJ18" s="327"/>
      <c r="BK18" s="16"/>
      <c r="BL18" s="16"/>
      <c r="BM18" s="17"/>
      <c r="BU18" s="1">
        <f>IF(AND(AH27=AY65,AH9&lt;=4,AH10&lt;=11),6,0)+IF(AND(AH27=AY65,AH9&gt;4,AH9&lt;=4.5,AH10&lt;=10),6,0)+IF(AND(AH27=AY65,AH9&gt;4,AH9&lt;=4.5,AH10&gt;10,AH10&lt;=11),8,0)+IF(AND(AH27=AY65,AH9&gt;4.5,AH9&lt;=5,AH10&lt;=7),6,0)+IF(AND(AH27=AY65,AH9&gt;4.5,AH9&lt;=5,AH10&gt;7,AH10&lt;=11),8,0)+IF(AND(AH27=AY65,AH9&gt;5,AH9&lt;=5.5,AH10&lt;=5),6,0)+IF(AND(AH27=AY65,AH9&gt;5,AH9&lt;=5.5,AH10&gt;5,AH10&lt;=11),8,0)+IF(AND(AH27=AY65,AH9&gt;5.5,AH9&lt;=6,AH10&lt;=4),6,0)+IF(AND(AH27=AY65,AH9&gt;5.5,AH9&lt;=6,AH10&gt;4,AH10&lt;=11),8,0)+IF(AND(AH27=AY65,AH9&gt;6,AH9&lt;=6.5,AH10&lt;=9),8,0)+IF(AND(AH27=AY65,AH9&gt;6,AH9&lt;=6.5,AH10&gt;9,AH10&lt;=11),10,0)+IF(AND(AH27=AY65,AH9&gt;6.5,AH9&lt;=7,AH10&lt;=6.5),8,0)+IF(AND(AH27=AY65,AH9&gt;6.5,AH9&lt;=7,AH10&gt;6.5,AH10&lt;=11),10,0)+IF(AND(AH27=AY65,AH9&gt;7,AH9&lt;=7.5,AH10&lt;=5.5),8,0)+IF(AND(AH27=AY65,AH9&gt;7,AH9&lt;=7.5,AH10&gt;5.5,AH10&lt;=11),10,0)+IF(AND(AH27=AY65,AH9&gt;7.5,AH9&lt;=8,AH10&lt;=4),8,0)+IF(AND(AH27=AY65,AH9&gt;7.5,AH9&lt;=8,AH10&gt;4,AH10&lt;=11),10,0)+IF(AND(AH27=AY65,AH9&gt;8,AH9&lt;=8.5,AH10&lt;=3),8,0)+IF(AND(AH27=AY65,AH9&gt;8,AH9&lt;=8.5,AH10&gt;3,AH10&lt;=7.5),10,0)+IF(AND(AH27=AY65,AH9&gt;8,AH9&lt;=8.5,AH10&gt;7.5,AH10&lt;=11),12,0)+IF(AND(AH27=AY65,AH9&gt;8.5,AH9&lt;=9,AH10&lt;=3),8,0)+IF(AND(AH27=AY65,AH9&gt;8.5,AH9&lt;=9,AH10&gt;3,AH10&lt;=6),10,0)+IF(AND(AH27=AY65,AH9&gt;8.5,AH9&lt;=9,AH10&gt;6,AH10&lt;=11),12,0)+IF(AND(AH27=AY65,AH9&gt;9,AH9&lt;=9.5,AH10&lt;=5),10,0)+IF(AND(AH27=AY65,AH9&gt;9,AH9&lt;=9.5,AH10&gt;5,AH10&lt;=11),12,0)+IF(AND(AH27=AY65,AH9&gt;9.5,AH9&lt;=10,AH10&lt;=4),10,0)+IF(AND(AH27=AY65,AH9&gt;9.5,AH9&lt;=10,AH10&gt;4,AH10&lt;=8.5),12,0)+IF(AND(AH27=AY65,AH9&gt;9.5,AH9&lt;=10,AH10&gt;8.5,AH10&lt;=11),14,0)+IF(AND(AH27=AY65,AH9&gt;10,AH9&lt;=10.5,AH10&lt;=3.5),10,0)+IF(AND(AH27=AY65,AH9&gt;10,AH9&lt;=10.5,AH10&gt;3.5,AH10&lt;=5.5),12,0)+IF(AND(AH27=AY65,AH9&gt;10,AH9&lt;=10.5,AH10&gt;5.5,AH10&lt;=11),14,0)+IF(AND(AH27=AY65,AH9&gt;10.5,AH9&lt;=11,AH10&lt;=2.5),10,0)+IF(AND(AH27=AY65,AH9&gt;10.5,AH9&lt;=11,AH10&gt;2.5,AH10&lt;=5),12,0)+IF(AND(AH27=AY65,AH9&gt;10.5,AH9&lt;=11,AH10&gt;5,AH10&lt;=11),14,0)+IF(AND(AH27=AY65,AH9&gt;11,AH9&lt;=12,AH10&lt;=3.5),12,0)+IF(AND(AH27=AY65,AH9&gt;11,AH9&lt;=12,AH10&gt;3.5,AH10&lt;=9),14,0)</f>
        <v>0</v>
      </c>
    </row>
    <row r="19" spans="1:122" ht="13.5" thickBot="1" x14ac:dyDescent="0.25">
      <c r="AG19" s="387" t="s">
        <v>30</v>
      </c>
      <c r="AH19" s="388">
        <v>73</v>
      </c>
      <c r="AR19" s="16"/>
      <c r="AS19" s="323"/>
      <c r="AT19" s="16"/>
      <c r="AU19" s="3"/>
      <c r="AV19" s="295">
        <v>7</v>
      </c>
      <c r="AW19" s="221">
        <v>7</v>
      </c>
      <c r="AX19" s="673">
        <v>11.5</v>
      </c>
      <c r="AY19" s="327"/>
      <c r="AZ19" s="324"/>
      <c r="BA19" s="324"/>
      <c r="BB19" s="197"/>
      <c r="BC19" s="197"/>
      <c r="BD19" s="197"/>
      <c r="BE19" s="197"/>
      <c r="BF19" s="327"/>
      <c r="BG19" s="327"/>
      <c r="BH19" s="327"/>
      <c r="BI19" s="16"/>
      <c r="BJ19" s="327"/>
      <c r="BK19" s="16"/>
      <c r="BL19" s="16"/>
      <c r="BM19" s="17"/>
      <c r="BW19" s="516">
        <f>IF(AND(AH27=AY65,AH9&lt;=4,AH10&lt;=11),6,0)+IF(AND(AH27=AY65,AH9&gt;4,AH9&lt;=4.5,AH10&lt;=10),6,0)+IF(AND(AH27=AY65,AH9&gt;4,AH9&lt;=4.5,AH10&gt;10,AH10&lt;=11),8,0)+IF(AND(AH27=AY65,AH9&gt;4.5,AH9&lt;=5,AH10&lt;=7),6,0)+IF(AND(AH27=AY65,AH9&gt;4.5,AH9&lt;=5,AH10&gt;7,AH10&lt;=11),8,0)+IF(AND(AH27=AY65,AH9&gt;5,AH9&lt;=5.5,AH10&lt;=5),6,0)+IF(AND(AH27=AY65,AH9&gt;5,AH9&lt;=5.5,AH10&gt;5,AH10&lt;=11),8,0)+IF(AND(AH27=AY65,AH9&gt;5.5,AH9&lt;=6,AH10&lt;=4),6,0)+IF(AND(AH27=AY65,AH9&gt;5.5,AH9&lt;=6,AH10&gt;4,AH10&lt;=11),8,0)+IF(AND(AH27=AY65,AH9&gt;6,AH9&lt;=6.5,AH10&lt;=9),8,0)+IF(AND(AH27=AY65,AH9&gt;6,AH9&lt;=6.5,AH10&gt;9,AH10&lt;=11),10,0)+IF(AND(AH27=AY65,AH9&gt;6.5,AH9&lt;=7,AH10&lt;=6.5),8,0)+IF(AND(AH27=AY65,AH9&gt;6.5,AH9&lt;=7,AH10&gt;6.5,AH10&lt;=11),10,0)+IF(AND(AH27=AY65,AH9&gt;7,AH9&lt;=7.5,AH10&lt;=5.5),8,0)+IF(AND(AH27=AY65,AH9&gt;7,AH9&lt;=7.5,AH10&gt;5.5,AH10&lt;=11),10,0)+IF(AND(AH27=AY65,AH9&gt;7.5,AH9&lt;=8,AH10&lt;=4),8,0)+IF(AND(AH27=AY65,AH9&gt;7.5,AH9&lt;=8,AH10&gt;4,AH10&lt;=11),10,0)+IF(AND(AH27=AY65,AH9&gt;8,AH9&lt;=8.5,AH10&lt;=3),8,0)+IF(AND(AH27=AY65,AH9&gt;8,AH9&lt;=8.5,AH10&gt;3,AH10&lt;=7.5),10,0)+IF(AND(AH27=AY65,AH9&gt;8,AH9&lt;=8.5,AH10&gt;7.5,AH10&lt;=11),12,0)+IF(AND(AH27=AY65,AH9&gt;8.5,AH9&lt;=9,AH10&lt;=3),8,0)+IF(AND(AH27=AY65,AH9&gt;8.5,AH9&lt;=9,AH10&gt;3,AH10&lt;=6),10,0)+IF(AND(AH27=AY65,AH9&gt;8.5,AH9&lt;=9,AH10&gt;6,AH10&lt;=11),12,0)+IF(AND(AH27=AY65,AH9&gt;9,AH9&lt;=9.5,AH10&lt;=5),10,0)+IF(AND(AH27=AY65,AH9&gt;9,AH9&lt;=9.5,AH10&gt;5,AH10&lt;=11),12,0)+IF(AND(AH27=AY65,AH9&gt;9.5,AH9&lt;=10,AH10&lt;=4),10,0)+IF(AND(AH27=AY65,AH9&gt;9.5,AH9&lt;=10,AH10&gt;4,AH10&lt;=8.5),12,0)+IF(AND(AH27=AY65,AH9&gt;9.5,AH9&lt;=10,AH10&gt;8.5,AH10&lt;=11),14,0)+IF(AND(AH27=AY65,AH9&gt;10,AH9&lt;=10.5,AH10&lt;=3.5),10,0)+IF(AND(AH27=AY65,AH9&gt;10,AH9&lt;=10.5,AH10&gt;3.5,AH10&lt;=5.5),12,0)+IF(AND(AH27=AY65,AH9&gt;10,AH9&lt;=10.5,AH10&gt;5.5,AH10&lt;=11),14,0)+IF(AND(AH27=AY65,AH9&gt;10.5,AH9&lt;=11,AH10&lt;=2.5),10,0)+IF(AND(AH27=AY65,AH9&gt;10.5,AH9&lt;=11,AH10&gt;2.5,AH10&lt;=5),12,0)+IF(AND(AH27=AY65,AH9&gt;10.5,AH9&lt;=11,AH10&gt;5,AH10&lt;=11),14,0)+IF(AND(AH27=AY65,AH9&gt;11,AH9&lt;=12,AH10&lt;=3.5),12,0)+IF(AND(AH27=AY65,AH9&gt;11,AH9&lt;=12,AH10&gt;3.5,AH10&lt;=9),14,0)</f>
        <v>0</v>
      </c>
    </row>
    <row r="20" spans="1:122" ht="13.5" thickBot="1" x14ac:dyDescent="0.25">
      <c r="AR20" s="16"/>
      <c r="AS20" s="323"/>
      <c r="AT20" s="16"/>
      <c r="AU20" s="3"/>
      <c r="AV20" s="295">
        <v>8</v>
      </c>
      <c r="AW20" s="221">
        <v>8</v>
      </c>
      <c r="AX20" s="673">
        <v>11</v>
      </c>
      <c r="AY20" s="327"/>
      <c r="AZ20" s="324"/>
      <c r="BA20" s="324"/>
      <c r="BB20" s="197"/>
      <c r="BC20" s="197"/>
      <c r="BD20" s="197"/>
      <c r="BE20" s="197"/>
      <c r="BF20" s="327"/>
      <c r="BG20" s="327"/>
      <c r="BH20" s="327"/>
      <c r="BI20" s="16"/>
      <c r="BJ20" s="327"/>
      <c r="BK20" s="16"/>
      <c r="BL20" s="16"/>
      <c r="BM20" s="17"/>
    </row>
    <row r="21" spans="1:122" ht="12.75" x14ac:dyDescent="0.2"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G21" s="762" t="s">
        <v>50</v>
      </c>
      <c r="AH21" s="763"/>
      <c r="AI21" s="504"/>
      <c r="AJ21" s="393" t="s">
        <v>10</v>
      </c>
      <c r="AK21" s="393" t="s">
        <v>49</v>
      </c>
      <c r="AL21" s="393" t="s">
        <v>51</v>
      </c>
      <c r="AM21" s="394" t="s">
        <v>14</v>
      </c>
      <c r="AN21" s="527" t="s">
        <v>100</v>
      </c>
      <c r="AO21" s="393" t="s">
        <v>304</v>
      </c>
      <c r="AP21" s="394" t="s">
        <v>318</v>
      </c>
      <c r="AR21" s="16"/>
      <c r="AS21" s="323"/>
      <c r="AT21" s="16"/>
      <c r="AU21" s="3"/>
      <c r="AV21" s="295"/>
      <c r="AW21" s="221">
        <v>9</v>
      </c>
      <c r="AX21" s="673">
        <v>11</v>
      </c>
      <c r="AY21" s="327"/>
      <c r="AZ21" s="324"/>
      <c r="BA21" s="324"/>
      <c r="BB21" s="197"/>
      <c r="BC21" s="197"/>
      <c r="BD21" s="197"/>
      <c r="BE21" s="197"/>
      <c r="BF21" s="327"/>
      <c r="BG21" s="327"/>
      <c r="BH21" s="327"/>
      <c r="BI21" s="16"/>
      <c r="BJ21" s="327"/>
      <c r="BK21" s="16"/>
      <c r="BL21" s="16"/>
      <c r="BM21" s="17"/>
      <c r="CA21" s="1" t="s">
        <v>321</v>
      </c>
    </row>
    <row r="22" spans="1:122" ht="12.75" x14ac:dyDescent="0.2"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G22" s="38" t="s">
        <v>246</v>
      </c>
      <c r="AH22" s="505"/>
      <c r="AI22" s="5">
        <f>IF(AH9&lt;=5,AH9+0.1)+IF(AND(AH9&gt;5,AH9&lt;=6),AH9+0.15)+IF(AH9&gt;6,AH9+0.25)</f>
        <v>5.0999999999999996</v>
      </c>
      <c r="AJ22" s="5">
        <f>IF(AH15=AW14,(AH10+0.3)*AX14*AI22)+IF(AH15=AW15,(AH10+0.3)*AX15*AI22)+IF(AH15=AW16,(AH10+0.3)*AX16*AI22)+IF(AH15=AW17,(AH10+0.3)*AX17*AI22)+IF(AH15=AW18,(AH10+0.3)*AX18*AI22)+IF(AH15=AW19,(AH10+0.3)*AX19*AI22)+IF(AH15=AW20,(AH10+0.3)*AX20*AI22)+IF(AH15=AW21,(AH10+0.3)*AX21*AI22)+IF(AH15=AW22,(AH10+0.3)*AX22*AI22)+IF(AH15=AW23,(AH10+0.3)*AX23*AI22)+IF(AH15=AW24,(AH10+0.3)*AX24*AI22)+IF(AH15=AW25,(AH10+0.3)*AX25*AI22)</f>
        <v>428.14499999999998</v>
      </c>
      <c r="AK22" s="5" t="s">
        <v>52</v>
      </c>
      <c r="AL22" s="560">
        <f>+IF(AND(AH14=AU14,AH15=$AV$29,AH16=AU30),AV30)+IF(AND(AH14=AU14,AH15=$AV$29,AH16=AU31),AV31)+IF(AND(AH14=AU14,AH15=$AV$29,AH16=AU32),AV32)+IF(AND(AH14=AU14,AH15=$AW$29,AH16=AU30),AW30)+IF(AND(AH14=AU14,AH15=$AW$29,AH16=AU31),AW31)+IF(AND(AH14=AU14,AH15=$AW$29,AH16=AU32),AW32)+IF(AND(AH14=AU14,AH15=$AX$29,AH16=AU30),AX30)+IF(AND(AH14=AU14,AH15=$AX$29,AH16=AU31),AX31)+IF(AND(AH14=AU14,AH15=$AX$29,AH16=AU32),AX32)+IF(AND(AH14=AU14,AH15=$AY$29,AH16=AU30),AY30)+IF(AND(AH14=AU14,AH15=$AY$29,AH16=AU31),AY31)+IF(AND(AH14=AU14,AH15=$AY$29,AH16=AU32),AY32)+IF(AND(AH14=AU16,AH15=$AV$36,AH16=AU37),AV37)+IF(AND(AH14=AU16,AH15=$AV$36,AH16=AU38),AV38)+IF(AND(AH14=AU16,AH15=$AV$36,AH16=AU39),AV39)+IF(AND(AH14=AU16,AH15=$AW$36,AH16=AU37),AW37)+IF(AND(AH14=AU16,AH15=$AW$36,AH16=AU38),AW38)+IF(AND(AH14=AU16,AH15=$AW$36,AH16=AU39),AW39)+IF(AND(AH14=AU16,AH15=$AX$36,AH16=AU37),AX37)+IF(AND(AH14=AU16,AH15=$AX$36,AH16=AU38),AX38)+IF(AND(AH14=AU16,AH15=$AX$36,AH16=AU39),AX39)+IF(AND(AH14=AU16,AH15=$AY$36,AH16=AU37),AY37)+IF(AND(AH14=AU16,AH15=$AY$36,AH16=AU38),AY38)+IF(AND(AH14=AU16,AH15=$AY$36,AH16=AU39),AY39)+IF(AND(AH14=AU15,AH15=$AV$36,AH16=AU37),AV37)+IF(AND(AH14=AU15,AH15=$AV$36,AH16=AU38),AV38)+IF(AND(AH14=AU15,AH15=$AV$36,AH16=AU39),AV39)+IF(AND(AH14=AU15,AH15=$AW$36,AH16=AU37),AW37)+IF(AND(AH14=AU15,AH15=$AW$36,AH16=AU38),AW38)+IF(AND(AH14=AU15,AH15=$AW$36,AH16=AU39),AW39)+IF(AND(AH14=AU15,AH15=$AX$36,AH16=AU37),AX37)+IF(AND(AH14=AU15,AH15=$AX$36,AH16=AU38),AX38)+IF(AND(AH14=AU15,AH15=$AX$36,AH16=AU39),AX39)+IF(AND(AH14=AU15,AH15=$AY$36,AH16=AU37),AY37)+IF(AND(AH14=AU15,AH15=$AY$36,AH16=AU38),AY38)+IF(AND(AH14=AU15,AH15=$AY$36,AH16=AU39),AY39)+IF(AND(AH14=AU17,AH15=$AV$43,AH16=AU44),AV44)+IF(AND(AH14=AU17,AH15=$AW$43,AH16=AU44),AW44)+IF(AND(AH14=AU17,AH15=$AX$43,AH16=AU44),AX44)+IF(AND(AH14=AU17,AH15=$AY$43,AH16=AU44),AY44)</f>
        <v>0</v>
      </c>
      <c r="AM22" s="432">
        <f>AL22*AJ22</f>
        <v>0</v>
      </c>
      <c r="AN22" s="528"/>
      <c r="AO22" s="561">
        <f>+IF(AND(AH15=AV29,AH16=AU30),AJ22*'Basic rates'!D4)+IF(AND(AH15=AW29,AH16=AU30),AJ22*'Basic rates'!F4)+IF(AND(AH15=AX29,AH16=AU30),AJ22*'Basic rates'!H4)+IF(AND(AH15=AY29,AH16=AU30),AJ22*'Basic rates'!J4)+IF(AND(AH15=AV29,AH16=AU31),AJ22*'Basic rates'!D5)+IF(AND(AH15=AW29,AH16=AU31),AJ22*'Basic rates'!F5)+IF(AND(AH15=AX29,AH16=AU31),AJ22*'Basic rates'!H5)+IF(AND(AH15=AY29,AH16=AU31),AJ22*'Basic rates'!J5)+IF(AND(AH15=AV29,AH16=AU32),AJ22*'Basic rates'!D6)+IF(AND(AH15=AW29,AH16=AU32),AJ22*'Basic rates'!F6)+IF(AND(AH15=AX29,AH16=AU32),AJ22*'Basic rates'!H6)+IF(AND(AH15=AY29,AH16=AU32),AJ22*'Basic rates'!J6)+IF(AND(AH15=AV36,AH16=AU37),AJ22*'Basic rates'!D10)+IF(AND(AH15=AW36,AH16=AU37),AJ22*'Basic rates'!F10)+IF(AND(AH15=AX36,AH16=AU37),AJ22*'Basic rates'!H10)+IF(AND(AH15=AY36,AH16=AU37),AJ22*'Basic rates'!J10)+IF(AND(AH15=AV36,AH16=AU38),AJ22*'Basic rates'!D11)+IF(AND(AH15=AW36,AH16=AU38),AJ22*'Basic rates'!F11)+IF(AND(AH15=AX36,AH16=AU38),AJ22*'Basic rates'!H11)+IF(AND(AH15=AY36,AH16=AU38),AJ22*'Basic rates'!J11)+IF(AND(AH15=AV36,AH16=AU39),AJ22*'Basic rates'!D12)+IF(AND(AH15=AW36,AH16=AU39),AJ22*'Basic rates'!F12)+IF(AND(AH15=AX36,AH16=AU39),AJ22*'Basic rates'!H12)+IF(AND(AH15=AY36,AH16=AU39),AJ22*'Basic rates'!J12)+IF(AND(AH15=AV43,AH16=AU44),AJ22*'Basic rates'!D17)+IF(AND(AH15=AW43,AH16=AU44),AJ22*'Basic rates'!F17)+IF(AND(AH15=AX43,AH16=AU44),AJ22*'Basic rates'!H17)+IF(AND(AH15=AY43,AH16=AU44),AJ22*'Basic rates'!J17)</f>
        <v>447.00478724999994</v>
      </c>
      <c r="AP22" s="249">
        <f t="shared" ref="AP22:AP30" si="1">AO22/$AH$11</f>
        <v>12.771565349999998</v>
      </c>
      <c r="AQ22" s="501"/>
      <c r="AR22" s="16"/>
      <c r="AS22" s="323"/>
      <c r="AT22" s="16"/>
      <c r="AU22" s="3"/>
      <c r="AV22" s="295"/>
      <c r="AW22" s="221">
        <v>10</v>
      </c>
      <c r="AX22" s="673">
        <v>11</v>
      </c>
      <c r="AY22" s="327"/>
      <c r="AZ22" s="324"/>
      <c r="BA22" s="324"/>
      <c r="BB22" s="197"/>
      <c r="BC22" s="197"/>
      <c r="BD22" s="197"/>
      <c r="BE22" s="197"/>
      <c r="BF22" s="327"/>
      <c r="BG22" s="327"/>
      <c r="BH22" s="327"/>
      <c r="BI22" s="16"/>
      <c r="BJ22" s="327"/>
      <c r="BK22" s="16"/>
      <c r="BL22" s="16"/>
      <c r="BM22" s="17"/>
    </row>
    <row r="23" spans="1:122" ht="12.75" x14ac:dyDescent="0.2">
      <c r="A23" s="75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395">
        <v>4</v>
      </c>
      <c r="AH23" s="16"/>
      <c r="AI23" s="5">
        <f>IF(AH9&lt;=5,AT51)+IF(AND(AH9&gt;5,AH9&lt;=6),AT52)+IF(AH9&gt;6,AT53)</f>
        <v>75</v>
      </c>
      <c r="AJ23" s="5">
        <f>(AH10+0.1)*2</f>
        <v>14.2</v>
      </c>
      <c r="AK23" s="5" t="s">
        <v>52</v>
      </c>
      <c r="AL23" s="252">
        <f>+IF(AND(AH14=BC50,AG23=AV50,AI23=AT51),AV51)+IF(AND(AH14=BC50,AG23=AV50,AI23=AT52),AV52)+IF(AND(AH14=BC50,AG23=AV50,AI23=AT53),AV53)+IF(AND(AH14=BC50,AG23=AW50,AI23=AT51),AW51)+IF(AND(AH14=BC50,AG23=AW50,AI23=AT52),AW52)+IF(AND(AH14=BC50,AG23=AW50,AI23=AT53),AW53)+IF(AND(AH14=BC50,AG23=AX50,AI23=AT51),AX51)+IF(AND(AH14=BC50,AG23=AX50,AI23=AT52),AX52)+IF(AND(AH14=BC50,AG23=AX50,AI23=AT53),AX53)+IF(AND(AH14=BC51,AG23=AV50,AI23=AT51),AV51)+IF(AND(AH14=BC51,AG23=AV50,AI23=AT52),AV52)+IF(AND(AH14=BC51,AG23=AV50,AI23=AT53),AV53)+IF(AND(AH14=BC51,AG23=AW50,AI23=AT51),AW51)+IF(AND(AH14=BC51,AG23=AW50,AI23=AT52),AW52)+IF(AND(AH14=BC51,AG23=AW50,AI23=AT53),AW53)+IF(AND(AH14=BC51,AG23=AX50,AI23=AT51),AX51)+IF(AND(AH14=BC51,AG23=AX50,AI23=AT52),AX52)+IF(AND(AH14=BC51,AG23=AX50,AI23=AT53),AX53)+IF(AND(AH14=BC53,AG23=AV50,AI23=AT51),AV51)+IF(AND(AH14=BC53,AG23=AV50,AI23=AT52),AV52)+IF(AND(AH14=BC53,AG23=AV50,AI23=AT53),AV53)+IF(AND(AH14=BC53,AG23=AW50,AI23=AT51),AW51)+IF(AND(AH14=BC53,AG23=AW50,AI23=AT52),AW52)+IF(AND(AH14=BC53,AG23=AW50,AI23=AT53),AW53)+IF(AND(AH14=BC53,AG23=AX50,AI23=AT51),AX51)+IF(AND(AH14=BC53,AG23=AX50,AI23=AT52),AX52)+IF(AND(AH14=BC53,AG23=AX50,AI23=AT53),AX53)+IF(AND(AH14=BC52,AG23=AY50,AI23=AT51),AY51)+IF(AND(AH14=BC52,AG23=AY50,AI23=AT52),AY52)+IF(AND(AH14=BC52,AG23=AY50,AI23=AT53),AY53)+IF(AND(AH14=BC52,AG23=AZ50,AI23=AT51),AZ51)+IF(AND(AH14=BC52,AG23=AZ50,AI23=AT52),AZ52)+IF(AND(AH14=BC52,AG23=AZ50,AI23=AT53),AZ53)+IF(AND(AH14=BC52,AG23=BA50,AI23=AT51),BA51)+IF(AND(AH14=BC52,AG23=BA50,AI23=AT52),BA52)+IF(AND(AH14=BC52,AG23=BA50,AI23=AT53),BA53)</f>
        <v>335.11896000000002</v>
      </c>
      <c r="AM23" s="432">
        <f>AL23*AJ23</f>
        <v>4758.6892319999997</v>
      </c>
      <c r="AN23" s="529"/>
      <c r="AO23" s="319">
        <f>IF(AND(AG23=AV50,AI23=AT51),AJ23*'Basic rates'!D22)+IF(AND(AG23=AV50,AI23=AT52),AJ23*'Basic rates'!D23)+IF(AND(AG23=AV50,AI23=AT53),AJ23*'Basic rates'!D24)+IF(AND(AG23=AW50,AI23=AT51),AJ23*'Basic rates'!E22)+IF(AND(AG23=AW50,AI23=AT52),AJ23*'Basic rates'!E23)+IF(AND(AG23=AW50,AI23=AT53),AJ23*'Basic rates'!E24)+IF(AND(AG23=AX50,AI23=AT51),AJ23*'Basic rates'!F22)+IF(AND(AG23=AX50,AI23=AT52),AJ23*'Basic rates'!F23)+IF(AND(AG23=AX50,AI23=AT53),AJ23*'Basic rates'!F24)</f>
        <v>84.825119999999998</v>
      </c>
      <c r="AP23" s="249">
        <f t="shared" si="1"/>
        <v>2.423574857142857</v>
      </c>
      <c r="AQ23" s="105"/>
      <c r="AR23" s="86"/>
      <c r="AS23" s="323"/>
      <c r="AT23" s="16"/>
      <c r="AU23" s="3"/>
      <c r="AV23" s="295"/>
      <c r="AW23" s="221">
        <v>11</v>
      </c>
      <c r="AX23" s="673">
        <v>14</v>
      </c>
      <c r="AY23" s="327"/>
      <c r="AZ23" s="327"/>
      <c r="BA23" s="327"/>
      <c r="BB23" s="197"/>
      <c r="BC23" s="197"/>
      <c r="BD23" s="197"/>
      <c r="BE23" s="197"/>
      <c r="BF23" s="327"/>
      <c r="BG23" s="327"/>
      <c r="BH23" s="327"/>
      <c r="BI23" s="16"/>
      <c r="BJ23" s="327"/>
      <c r="BK23" s="16"/>
      <c r="BL23" s="16"/>
      <c r="BM23" s="17"/>
      <c r="BW23" s="11">
        <v>1</v>
      </c>
      <c r="BX23" s="11">
        <f>BW23+1</f>
        <v>2</v>
      </c>
      <c r="BY23" s="11">
        <f t="shared" ref="BY23:CH23" si="2">BX23+1</f>
        <v>3</v>
      </c>
      <c r="BZ23" s="11">
        <f t="shared" si="2"/>
        <v>4</v>
      </c>
      <c r="CA23" s="11">
        <f t="shared" si="2"/>
        <v>5</v>
      </c>
      <c r="CB23" s="11">
        <f t="shared" si="2"/>
        <v>6</v>
      </c>
      <c r="CC23" s="11">
        <f t="shared" si="2"/>
        <v>7</v>
      </c>
      <c r="CD23" s="11">
        <f t="shared" si="2"/>
        <v>8</v>
      </c>
      <c r="CE23" s="11">
        <f t="shared" si="2"/>
        <v>9</v>
      </c>
      <c r="CF23" s="11">
        <f t="shared" si="2"/>
        <v>10</v>
      </c>
      <c r="CG23" s="11">
        <f t="shared" si="2"/>
        <v>11</v>
      </c>
      <c r="CH23" s="11">
        <f t="shared" si="2"/>
        <v>12</v>
      </c>
    </row>
    <row r="24" spans="1:122" ht="12.75" x14ac:dyDescent="0.2">
      <c r="A24" s="75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536" t="s">
        <v>325</v>
      </c>
      <c r="AH24" s="506">
        <v>2</v>
      </c>
      <c r="AI24" s="5"/>
      <c r="AJ24" s="5">
        <f>+IF(AH24=1,+AH11)+IF(AH24=2,0)</f>
        <v>0</v>
      </c>
      <c r="AK24" s="5" t="s">
        <v>44</v>
      </c>
      <c r="AL24" s="252">
        <f>+IF(AH24=BA14,BB14)+IF(AH24=BA15,BB15)</f>
        <v>0</v>
      </c>
      <c r="AM24" s="432">
        <f>+AL24*AJ24</f>
        <v>0</v>
      </c>
      <c r="AN24" s="529"/>
      <c r="AO24" s="319"/>
      <c r="AP24" s="249"/>
      <c r="AQ24" s="105"/>
      <c r="AR24" s="105"/>
      <c r="AS24" s="323"/>
      <c r="AT24" s="16"/>
      <c r="AU24" s="3"/>
      <c r="AV24" s="299"/>
      <c r="AW24" s="221">
        <v>12</v>
      </c>
      <c r="AX24" s="673">
        <v>14</v>
      </c>
      <c r="AY24" s="327"/>
      <c r="AZ24" s="359"/>
      <c r="BA24" s="327"/>
      <c r="BB24" s="197"/>
      <c r="BC24" s="197"/>
      <c r="BD24" s="197"/>
      <c r="BE24" s="197"/>
      <c r="BF24" s="327"/>
      <c r="BG24" s="327"/>
      <c r="BH24" s="327"/>
      <c r="BI24" s="16"/>
      <c r="BJ24" s="327"/>
      <c r="BK24" s="16"/>
      <c r="BL24" s="16"/>
      <c r="BM24" s="17"/>
      <c r="BW24" s="245">
        <f>IF(AND(AH27=AY64,AH9&lt;=2,AH10&lt;=8),4,0)</f>
        <v>0</v>
      </c>
      <c r="BX24" s="245">
        <f>IF(AND(AH27=AY64,AH9&lt;=2,AH10&gt;8,AH10&lt;=11),5,0)</f>
        <v>0</v>
      </c>
      <c r="BY24" s="245">
        <f>IF(AND(AH27=AY64,AH9&gt;2,AH9&lt;=2.5,AH10&lt;=6.5),4,0)</f>
        <v>0</v>
      </c>
      <c r="BZ24" s="245">
        <f>IF(AND(AH27=AY64,AH9&gt;2,AH9&lt;=2.5,AH10&gt;6.5,AH10&lt;=11),5,0)</f>
        <v>0</v>
      </c>
      <c r="CA24" s="245">
        <f>IF(AND(AH27=AY64,AH9&gt;2.5,AH9&lt;=3,AH10&lt;=6.5),4,0)</f>
        <v>0</v>
      </c>
      <c r="CB24" s="245">
        <f>IF(AND(AH27=AY64,AH9&gt;2.5,AH9&lt;=3,AH10&gt;6.5,AH10&lt;=8),5,0)</f>
        <v>0</v>
      </c>
      <c r="CC24" s="245">
        <f>IF(AND(AH27=AY64,AH9&gt;2.5,AH9&lt;=3,AH10&gt;8,AH10&lt;=9),6,0)</f>
        <v>0</v>
      </c>
      <c r="CD24" s="245">
        <f>IF(AND(AH27=AY64,AH9&gt;2.5,AH9&lt;=3,AH10&gt;9,AH10&lt;=11),8,0)</f>
        <v>0</v>
      </c>
      <c r="CE24" s="245">
        <f>IF(AND(AH27=AY64,AH9&gt;3,AH9&lt;=3.5,AH10&lt;=5.5),4,0)</f>
        <v>0</v>
      </c>
      <c r="CF24" s="245">
        <f>IF(AND(AH27=AY64,AH9&gt;3,AH9&lt;=3.5,AH10&gt;5.5,AH10&lt;=8.5),5,0)</f>
        <v>0</v>
      </c>
      <c r="CG24" s="245">
        <f>IF(AND(AH27=AY64,AH9&gt;3,AH9&lt;=3.5,AH10&gt;8.5,AH10&lt;=9.5),6,0)</f>
        <v>0</v>
      </c>
      <c r="CH24" s="245">
        <f>IF(AND(AH27=AY64,AH9&gt;3,AH9&lt;=3.5,AH10&gt;9.5,AH10&lt;=11),8,0)</f>
        <v>0</v>
      </c>
    </row>
    <row r="25" spans="1:122" s="75" customFormat="1" x14ac:dyDescent="0.2">
      <c r="AG25" s="536" t="s">
        <v>327</v>
      </c>
      <c r="AH25" s="506">
        <v>2</v>
      </c>
      <c r="AI25" s="5"/>
      <c r="AJ25" s="5">
        <f>+IF(AH25=1,+AH11)+IF(AH25=2,0)</f>
        <v>0</v>
      </c>
      <c r="AK25" s="5" t="s">
        <v>44</v>
      </c>
      <c r="AL25" s="252">
        <f>+IF(AH25=BA14,BD14)+IF(AH25=BA15,BD15)</f>
        <v>0</v>
      </c>
      <c r="AM25" s="432">
        <f>+AL25*AJ25</f>
        <v>0</v>
      </c>
      <c r="AN25" s="529"/>
      <c r="AO25" s="319"/>
      <c r="AP25" s="249"/>
      <c r="AQ25" s="197"/>
      <c r="AR25" s="105"/>
      <c r="AS25" s="323"/>
      <c r="AT25" s="16"/>
      <c r="AU25" s="3"/>
      <c r="AV25" s="299"/>
      <c r="AW25" s="221">
        <v>13</v>
      </c>
      <c r="AX25" s="673">
        <v>14</v>
      </c>
      <c r="AY25" s="327"/>
      <c r="AZ25" s="324"/>
      <c r="BA25" s="327"/>
      <c r="BB25" s="197"/>
      <c r="BC25" s="197"/>
      <c r="BD25" s="197"/>
      <c r="BE25" s="197"/>
      <c r="BF25" s="327"/>
      <c r="BG25" s="327"/>
      <c r="BH25" s="327"/>
      <c r="BI25" s="16"/>
      <c r="BJ25" s="327"/>
      <c r="BK25" s="16"/>
      <c r="BL25" s="16"/>
      <c r="BM25" s="17"/>
      <c r="BN25" s="1"/>
      <c r="BO25" s="1"/>
      <c r="BP25" s="1"/>
      <c r="BQ25" s="1"/>
      <c r="BR25" s="1"/>
      <c r="BS25">
        <v>1</v>
      </c>
      <c r="BT25" s="515">
        <f>IF(AND(AH27=AY64,AH9&gt;11.5,AH9&lt;=12,AH10&lt;=2),10,0)</f>
        <v>0</v>
      </c>
      <c r="BU25"/>
      <c r="BV25"/>
      <c r="BW25" s="518">
        <f>IF(AND(AH27=AY64,AH9&gt;3.5,AH9&lt;=4,AH10&lt;=3.5),4,0)</f>
        <v>0</v>
      </c>
      <c r="BX25" s="518">
        <f>IF(AND(AH27=AY64,AH9&gt;3.5,AH9&lt;=4,AH10&gt;3.5,AH10&lt;=7),5,0)</f>
        <v>0</v>
      </c>
      <c r="BY25" s="518">
        <f>IF(AND(AH27=AY64,AH9&gt;3.5,AH9&lt;=4,AH10&gt;7,AH10&lt;=9.5),6,0)</f>
        <v>0</v>
      </c>
      <c r="BZ25" s="518">
        <f>IF(AND(AH27=AY64,AH9&gt;3.5,AH9&lt;=4,AH10&gt;9.5,AH10&lt;=11),8,0)</f>
        <v>0</v>
      </c>
      <c r="CA25" s="518">
        <f>IF(AND(AH27=AY64,AH9&gt;4,AH9&lt;=4.5,AH10&lt;=2.5),4,0)</f>
        <v>0</v>
      </c>
      <c r="CB25" s="518">
        <f>IF(AND(AH27=AY64,AH9&gt;4,AH9&lt;=4.5,AH10&gt;2.5,AH10&lt;=5.5),5,0)</f>
        <v>0</v>
      </c>
      <c r="CC25" s="245">
        <f>IF(AND(AH27=AY64,AH9&gt;4,AH9&lt;=4.5,AH10&gt;5.5,AH10&lt;=9),6,0)</f>
        <v>0</v>
      </c>
      <c r="CD25" s="245">
        <f>IF(AND(AH27=AY64,AH9&gt;4,AH9&lt;=4.5,AH10&gt;9,AH10&lt;=11),8,0)</f>
        <v>0</v>
      </c>
      <c r="CE25" s="245">
        <f>IF(AND(AH27=AY64,AH9&gt;4.5,AH9&lt;=5,AH10&lt;=2.5),4,0)</f>
        <v>0</v>
      </c>
      <c r="CF25" s="245">
        <f>IF(AND(AH27=AY64,AH9&gt;4.5,AH9&lt;=5,AH10&gt;2.5,AH10&lt;=4),5,0)</f>
        <v>0</v>
      </c>
      <c r="CG25" s="245">
        <f>IF(AND(AH27=AY64,AH9&gt;4.5,AH9&lt;=5,AH10&gt;4,AH10&lt;=7.5),6,0)</f>
        <v>6</v>
      </c>
      <c r="CH25" s="245">
        <f>IF(AND(AH27=AY64,AH9&gt;4.5,AH9&lt;=5,AH10&gt;7.5,AH10&lt;=10),8,0)</f>
        <v>0</v>
      </c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</row>
    <row r="26" spans="1:122" s="516" customFormat="1" x14ac:dyDescent="0.2">
      <c r="AG26" s="570" t="s">
        <v>169</v>
      </c>
      <c r="AH26" s="689"/>
      <c r="AI26" s="690">
        <f>AI22</f>
        <v>5.0999999999999996</v>
      </c>
      <c r="AJ26" s="690">
        <f>AI26*1</f>
        <v>5.0999999999999996</v>
      </c>
      <c r="AK26" s="690" t="s">
        <v>52</v>
      </c>
      <c r="AL26" s="691">
        <f>IF(AND(AH14=AY57,AH9&lt;=5),AV58)+IF(AND(AH14=AY57,AH9&gt;5,AH9&lt;=6),AV59)+IF(AND(AH14=AY57,AH9&gt;6),AV60)+IF(AND(AH14=AY58,AH9&lt;=5),AV58)+IF(AND(AH14=AY58,AH9&gt;5,AH9&lt;=6),AV59)+IF(AND(AH14=AY58,AH9&gt;6),AV60)+IF(AND(AH14=AY60,AH9&lt;=5),AV58)+IF(AND(AH14=AY60,AH9&gt;5,AH9&lt;=6),AV59)+IF(AND(AH14=AY60,AH9&gt;6),AV60)+IF(AND(AH14=AY59,AH9&lt;=5),AW58)+IF(AND(AH14=AY59,AH9&gt;5,AH9&lt;=6),AW59)+IF(AND(AH14=AY59,AH9&gt;6),AW60)</f>
        <v>312.907848</v>
      </c>
      <c r="AM26" s="692">
        <f>AL26*AJ26</f>
        <v>1595.8300247999998</v>
      </c>
      <c r="AN26" s="693"/>
      <c r="AO26" s="245">
        <f>IF(AND(AH14=AY57,AH9&lt;=5),AJ26*'Basic rates'!D27)+IF(AND(AH14=AY57,AH9&gt;5,AH9&lt;=6),AJ26*'Basic rates'!D28)+IF(AND(AH14=AY57,AH9&gt;6),AJ26*'Basic rates'!D29)+IF(AND(AH14=AY58,AH9&lt;=5),AJ26*'Basic rates'!D27)+IF(AND(AH14=AY58,AH9&gt;5,AH9&lt;=6),AJ26*'Basic rates'!D28)+IF(AND(AH14=AY58,AH9&gt;6),AJ26*'Basic rates'!D29)+IF(AND(AH14=AY60,AH9&lt;=5),AJ26*'Basic rates'!D27)+IF(AND(AH14=AY60,AH9&gt;5,AH9&lt;=6),AJ26*'Basic rates'!D28)+IF(AND(AH14=AY60,AH9&gt;6),AJ26*'Basic rates'!D29)+IF(AND(AH14=AY59,AH9&lt;=5),AJ26*'Basic rates'!D27)+IF(AND(AH14=AY59,AH9&gt;5,AH9&lt;=6),AJ26*'Basic rates'!D28)+IF(AND(AH14=AY59,AH9&gt;6),AJ26*'Basic rates'!D29)</f>
        <v>27.69096</v>
      </c>
      <c r="AP26" s="694">
        <f t="shared" si="1"/>
        <v>0.79117028571428571</v>
      </c>
      <c r="AR26" s="695"/>
      <c r="AS26" s="696"/>
      <c r="AT26" s="695"/>
      <c r="AU26" s="695"/>
      <c r="AV26" s="697"/>
      <c r="AW26" s="698"/>
      <c r="AX26" s="697"/>
      <c r="AY26" s="698"/>
      <c r="AZ26" s="698"/>
      <c r="BA26" s="698"/>
      <c r="BB26" s="695"/>
      <c r="BC26" s="695"/>
      <c r="BD26" s="695"/>
      <c r="BE26" s="695"/>
      <c r="BF26" s="698"/>
      <c r="BG26" s="698"/>
      <c r="BH26" s="698"/>
      <c r="BI26" s="695"/>
      <c r="BJ26" s="698"/>
      <c r="BK26" s="695"/>
      <c r="BL26" s="695"/>
      <c r="BM26" s="699"/>
      <c r="BS26" s="700">
        <v>2</v>
      </c>
      <c r="BT26" s="701">
        <f>IF(AND(AH27=AY64,AH9&gt;11.5,AH9&lt;=12,AH10&gt;2,AH10&lt;=5.5),12,0)</f>
        <v>0</v>
      </c>
      <c r="BU26" s="700"/>
      <c r="BV26" s="700"/>
      <c r="BW26" s="518">
        <f>IF(AND(AH27=AY64,AH9&gt;4.5,AH9&lt;=5,AH10&gt;10.5,AH10&lt;=11),10,0)</f>
        <v>0</v>
      </c>
      <c r="BX26" s="518">
        <f>IF(AND(AH27=AY64,AH9&gt;5,AH9&lt;=5.5,AH10&lt;=2.5),5,0)</f>
        <v>0</v>
      </c>
      <c r="BY26" s="518">
        <f>IF(AND(AH27=AY64,AH9&gt;5,AH9&lt;=5.5,AH10&gt;2.5,AH10&lt;=7.5),6,0)</f>
        <v>0</v>
      </c>
      <c r="BZ26" s="518">
        <f>IF(AND(AH27=AY64,AH9&gt;5,AH9&lt;=5.5,AH10&gt;7.5,AH10&lt;=10),8,0)</f>
        <v>0</v>
      </c>
      <c r="CA26" s="518">
        <f>IF(AND(AH27=AY64,AH9&gt;5,AH9&lt;=5.5,AH10&gt;10,AH10&lt;=11),10,0)</f>
        <v>0</v>
      </c>
      <c r="CB26" s="518">
        <f>IF(AND(AH27=AY64,AH9&gt;5.5,AH9&lt;=6,AH10&lt;=6),6,0)</f>
        <v>0</v>
      </c>
      <c r="CC26" s="245">
        <f>IF(AND(AH27=AY64,AH9&gt;5.5,AH9&lt;=6,AH10&gt;6,AH10&lt;=10.5),8,0)</f>
        <v>0</v>
      </c>
      <c r="CD26" s="245">
        <f>IF(AND(AH27=AY64,AH9&gt;5.5,AH9&lt;=6,AH10&gt;10.5,AH10&lt;=11),10,0)</f>
        <v>0</v>
      </c>
      <c r="CE26" s="245">
        <f>IF(AND(AH27=AY64,AH9&gt;6,AH9&lt;=6.5,AH10&lt;=4),6,0)</f>
        <v>0</v>
      </c>
      <c r="CF26" s="245">
        <f>IF(AND(AH27=AY64,AH9&gt;6,AH9&lt;=6.5,AH10&gt;4,AH10&lt;=10),8,0)</f>
        <v>0</v>
      </c>
      <c r="CG26" s="245">
        <f>IF(AND(AH27=AY64,AH9&gt;6,AH9&lt;=6.5,AH10&gt;10,AH10&lt;=11),10,0)</f>
        <v>0</v>
      </c>
      <c r="CH26" s="245">
        <f>IF(AND(AH27=AY64,AH9&gt;6.5,AH9&lt;=7,AH10&lt;=3),6,0)</f>
        <v>0</v>
      </c>
    </row>
    <row r="27" spans="1:122" s="75" customFormat="1" x14ac:dyDescent="0.2">
      <c r="AG27" s="38" t="s">
        <v>34</v>
      </c>
      <c r="AH27" s="574">
        <f>IF(AH15=AW14,AY64)+IF(AH15=AW15,AY64)+IF(AH15=AW16,AY64)+IF(AH15=AW17,AY64)+IF(AH15=AW18,AY64)+IF(AH15=AW19,AY64)+IF(AH15=AW20,AY65)+IF(AH15=AW21,AY65)+IF(AH15=AW22,AY65)+IF(AH15=AW23,AY64)+IF(AH15=AW24,AY64)+IF(AH15=AW25,AY64)</f>
        <v>758885</v>
      </c>
      <c r="AI27" s="5">
        <f>AH9+0.3</f>
        <v>5.3</v>
      </c>
      <c r="AJ27" s="559">
        <f>IF(AND(AH27=AY65,AH9&lt;=4,AH10&lt;=12.1),6,0)+IF(AND(AH27=AY65,AH9&gt;4,AH9&lt;=4.5,AH10&lt;=10),6,0)+IF(AND(AH27=AY65,AH9&gt;4,AH9&lt;=4.5,AH10&gt;10,AH10&lt;=12.01),8,0)+IF(AND(AH27=AY65,AH9&gt;4.5,AH9&lt;=5,AH10&lt;=7),6,0)+IF(AND(AH27=AY65,AH9&gt;4.5,AH9&lt;=5,AH10&gt;7,AH10&lt;=12.01),8,0)+IF(AND(AH27=AY65,AH9&gt;5,AH9&lt;=5.5,AH10&lt;=5),6,0)+IF(AND(AH27=AY65,AH9&gt;5,AH9&lt;=5.5,AH10&gt;5,AH10&lt;=12.01),8,0)+IF(AND(AH27=AY65,AH9&gt;5.5,AH9&lt;=6,AH10&lt;=4),6,0)+IF(AND(AH27=AY65,AH9&gt;5.5,AH9&lt;=6,AH10&gt;4,AH10&lt;=12.01),8,0)+IF(AND(AH27=AY65,AH9&gt;6,AH9&lt;=6.5,AH10&lt;=9),8,0)+IF(AND(AH27=AY65,AH9&gt;6,AH9&lt;=6.5,AH10&gt;9,AH10&lt;=12.01),10,0)+IF(AND(AH27=AY65,AH9&gt;6.5,AH9&lt;=7,AH10&lt;=6.5),8,0)+IF(AND(AH27=AY65,AH9&gt;6.5,AH9&lt;=7,AH10&gt;6.5,AH10&lt;=12.01),10,0)+IF(AND(AH27=AY65,AH9&gt;7,AH9&lt;=7.5,AH10&lt;=5.5),8,0)+IF(AND(AH27=AY65,AH9&gt;7,AH9&lt;=7.5,AH10&gt;5.5,AH10&lt;=12.01),10,0)+IF(AND(AH27=AY65,AH9&gt;7.5,AH9&lt;=8,AH10&lt;=4),8,0)+IF(AND(AH27=AY65,AH9&gt;7.5,AH9&lt;=8,AH10&gt;4,AH10&lt;=12.01),10,0)+IF(AND(AH27=AY65,AH9&gt;8,AH9&lt;=8.5,AH10&lt;=3),8,0)+IF(AND(AH27=AY65,AH9&gt;8,AH9&lt;=8.5,AH10&gt;3,AH10&lt;=7.5),10,0)+IF(AND(AH27=AY65,AH9&gt;8,AH9&lt;=8.5,AH10&gt;7.5,AH10&lt;=12.01),12,0)+IF(AND(AH27=AY65,AH9&gt;8.5,AH9&lt;=9,AH10&lt;=3),8,0)+IF(AND(AH27=AY65,AH9&gt;8.5,AH9&lt;=9,AH10&gt;3,AH10&lt;=6),10,0)+IF(AND(AH27=AY65,AH9&gt;8.5,AH9&lt;=9,AH10&gt;6,AH10&lt;=12.01),12,0)+IF(AND(AH27=AY65,AH9&gt;9,AH9&lt;=9.5,AH10&lt;=5),10,0)+IF(AND(AH27=AY65,AH9&gt;9,AH9&lt;=9.5,AH10&gt;5,AH10&lt;=12.01),12,0)+IF(AND(AH27=AY65,AH9&gt;9.5,AH9&lt;=10,AH10&lt;=4),10,0)+IF(AND(AH27=AY65,AH9&gt;9.5,AH9&lt;=10,AH10&gt;4,AH10&lt;=8.5),12,0)+IF(AND(AH27=AY65,AH9&gt;9.5,AH9&lt;=10,AH10&gt;8.5,AH10&lt;=12.01),14,0)+IF(AND(AH27=AY65,AH9&gt;10,AH9&lt;=10.5,AH10&lt;=3.5),10,0)+IF(AND(AH27=AY65,AH9&gt;10,AH9&lt;=10.5,AH10&gt;3.5,AH10&lt;=5.5),12,0)+IF(AND(AH27=AY65,AH9&gt;10,AH9&lt;=10.5,AH10&gt;5.5,AH10&lt;=12.01),14,0)+IF(AND(AH27=AY65,AH9&gt;10.5,AH9&lt;=11,AH10&lt;=2.5),10,0)+IF(AND(AH27=AY65,AH9&gt;10.5,AH9&lt;=11,AH10&gt;2.5,AH10&lt;=5),12,0)+IF(AND(AH27=AY65,AH9&gt;10.5,AH9&lt;=11,AH10&gt;5,AH10&lt;=12.01),14,0)+IF(AND(AH27=AY65,AH9&gt;11,AH9&lt;=14.01,AH10&lt;=3.5),12,0)+IF(AND(AH27=AY65,AH9&gt;11,AH9&lt;=14.01,AH10&gt;3.5,AH10&lt;=12.01),14,0)+IF(AND(AH27=AY64,AH9&lt;=2,AH10&lt;=8),4,0)+IF(AND(AH27=AY64,AH9&lt;=2,AH10&gt;8,AH10&lt;=12.01),5,0)+IF(AND(AH27=AY64,AH9&gt;2,AH9&lt;=2.5,AH10&lt;=6.5),4,0)+IF(AND(AH27=AY64,AH9&gt;2,AH9&lt;=2.5,AH10&gt;6.5,AH10&lt;=12.01),5,0)+IF(AND(AH27=AY64,AH9&gt;2.5,AH9&lt;=3,AH10&lt;=6.5),4,0)+IF(AND(AH27=AY64,AH9&gt;2.5,AH9&lt;=3,AH10&gt;6.5,AH10&lt;=8),5,0)+IF(AND(AH27=AY64,AH9&gt;2.5,AH9&lt;=3,AH10&gt;8,AH10&lt;=9),6,0)+IF(AND(AH27=AY64,AH9&gt;2.5,AH9&lt;=3,AH10&gt;9,AH10&lt;=12.01),8,0)+IF(AND(AH27=AY64,AH9&gt;3,AH9&lt;=3.5,AH10&lt;=5.5),4,0)+IF(AND(AH27=AY64,AH9&gt;3,AH9&lt;=3.5,AH10&gt;5.5,AH10&lt;=8.5),5,0)+IF(AND(AH27=AY64,AH9&gt;3,AH9&lt;=3.5,AH10&gt;8.5,AH10&lt;=9.5),6,0)+IF(AND(AH27=AY64,AH9&gt;3,AH9&lt;=3.5,AH10&gt;9.5,AH10&lt;=12.01),8,0)+IF(AND(AH27=AY64,AH9&gt;3.5,AH9&lt;=4,AH10&lt;=3.5),4,0)+IF(AND(AH27=AY64,AH9&gt;3.5,AH9&lt;=4,AH10&gt;3.5,AH10&lt;=7),5,0)+IF(AND(AH27=AY64,AH9&gt;3.5,AH9&lt;=4,AH10&gt;7,AH10&lt;=9.5),6,0)+IF(AND(AH27=AY64,AH9&gt;3.5,AH9&lt;=4,AH10&gt;9.5,AH10&lt;=12.01),8,0)+IF(AND(AH27=AY64,AH9&gt;4,AH9&lt;=4.5,AH10&lt;=2.5),4,0)+IF(AND(AH27=AY64,AH9&gt;4,AH9&lt;=4.5,AH10&gt;2.5,AH10&lt;=5.5),5,0)+IF(AND(AH27=AY64,AH9&gt;4,AH9&lt;=4.5,AH10&gt;5.5,AH10&lt;=9),6,0)+IF(AND(AH27=AY64,AH9&gt;4,AH9&lt;=4.5,AH10&gt;9,AH10&lt;=12.01),8,0)+IF(AND(AH27=AY64,AH9&gt;4.5,AH9&lt;=5,AH10&lt;=2.5),4,0)+IF(AND(AH27=AY64,AH9&gt;4.5,AH9&lt;=5,AH10&gt;2.5,AH10&lt;=4),5,0)+IF(AND(AH27=AY64,AH9&gt;4.5,AH9&lt;=5,AH10&gt;4,AH10&lt;=7.5),6,0)+IF(AND(AH27=AY64,AH9&gt;4.5,AH9&lt;=5,AH10&gt;7.5,AH10&lt;=10),8,0)+IF(AND(AH27=AY64,AH9&gt;4.5,AH9&lt;=5,AH10&gt;10.5,AH10&lt;=12.01),10,0)+IF(AND(AH27=AY64,AH9&gt;5,AH9&lt;=5.5,AH10&lt;=2.5),5,0)+IF(AND(AH27=AY64,AH9&gt;5,AH9&lt;=5.5,AH10&gt;2.5,AH10&lt;=7.5),6,0)+IF(AND(AH27=AY64,AH9&gt;5,AH9&lt;=5.5,AH10&gt;7.5,AH10&lt;=10),8,0)+IF(AND(AH27=AY64,AH9&gt;5,AH9&lt;=5.5,AH10&gt;10,AH10&lt;=12.01),10,0)+IF(AND(AH27=AY64,AH9&gt;5.5,AH9&lt;=6,AH10&lt;=6),6,0)+IF(AND(AH27=AY64,AH9&gt;5.5,AH9&lt;=6,AH10&gt;6,AH10&lt;=10.5),8,0)+IF(AND(AH27=AY64,AH9&gt;5.5,AH9&lt;=6,AH10&gt;10.5,AH10&lt;=12.01),10,0)+IF(AND(AH27=AY64,AH9&gt;6,AH9&lt;=6.5,AH10&lt;=4),6,0)+IF(AND(AH27=AY64,AH9&gt;6,AH9&lt;=6.5,AH10&gt;4,AH10&lt;=10),8,0)+IF(AND(AH27=AY64,AH9&gt;6,AH9&lt;=6.5,AH10&gt;10,AH10&lt;=12.01),10,0)+IF(AND(AH27=AY64,AH9&gt;6.5,AH9&lt;=7,AH10&lt;=3),6,0)+IF(AND(AH27=AY64,AH9&gt;6.5,AH9&lt;=7,AH10&gt;3,AH10&lt;=10),8,0)+IF(AND(AH27=AY64,AH9&gt;6.5,AH9&lt;=7,AH10&gt;10,AH10&lt;=12.01),10,0)+IF(AND(AH27=AY64,AH9&gt;7,AH9&lt;=7.5,AH10&lt;=2),6,0)+IF(AND(AH27=AY64,AH9&gt;7,AH9&lt;=7.5,AH10&gt;2,AH10&lt;=8),8,0)+IF(AND(AH27=AY64,AH9&gt;7,AH9&lt;=7.5,AH10&gt;8,AH10&lt;=12.01),10,0)+IF(AND(AH27=AY64,AH9&gt;7.5,AH9&lt;=8,AH10&lt;=6),8,0)+IF(AND(AH27=AY64,AH9&gt;7.5,AH9&lt;=8,AH10&gt;6,AH10&lt;=10.5),10,0)+IF(AND(AH27=AY64,AH9&gt;7.5,AH9&lt;=8,AH10&gt;10.5,AH10&lt;=12.01),12,0)+IF(AND(AH27=AY64,AH9&gt;8,AH9&lt;=8.5,AH10&lt;=6),8,0)+IF(AND(AH27=AY64,AH9&gt;8,AH9&lt;=8.5,AH10&gt;6,AH10&lt;=10),10,0)+IF(AND(AH27=AY64,AH9&gt;8,AH9&lt;=8.5,AH10&gt;10,AH10&lt;=12.01),12,0)+IF(AND(AH27=AY64,AH9&gt;8.5,AH9&lt;=9,AH10&lt;=4),8,0)+IF(AND(AH27=AY64,AH9&gt;8.5,AH9&lt;=9,AH10&gt;4,AH10&lt;=9),10,0)+IF(AND(AH27=AY64,AH9&gt;8.5,AH9&lt;=9,AH10&gt;9,AH10&lt;=12.01),12,0)+IF(AND(AH27=AY64,AH9&gt;9,AH9&lt;=9.5,AH10&lt;=2.5),8,0)+IF(AND(AH27=AY64,AH9&gt;9,AH9&lt;=9.5,AH10&gt;2.5,AH10&lt;=7),10,0)+IF(AND(AH27=AY64,AH9&gt;9,AH9&lt;=9.5,AH10&gt;7,AH10&lt;=12.01),12,0)+IF(AND(AH27=AY64,AH9&gt;9,AH9&lt;=9.5,AH10&lt;=2.5),8,0)+IF(AND(AH27=AY64,AH9&gt;9.5,AH9&lt;=10,AH10&lt;=6),10,0)+IF(AND(AH27=AY64,AH9&gt;9.5,AH9&lt;=10,AH10&gt;6,AH10&lt;=12.01),12,0)+IF(AND(AH27=AY64,AH9&gt;10,AH9&lt;=10.5,AH10&lt;=4),10,0)+IF(AND(AH27=AY64,AH9&gt;10,AH9&lt;=10.5,AH10&gt;4,AH10&lt;=10),12,0)+IF(AND(AH27=AY64,AH9&gt;10,AH9&lt;=10.5,AH10&gt;10,AH10&lt;=12.01),14,0)+IF(AND(AH27=AY64,AH9&gt;10.5,AH9&lt;=11,AH10&lt;=4),10,0)+IF(AND(AH27=AY64,AH9&gt;10.5,AH9&lt;=11,AH10&gt;4,AH10&lt;=8),12,0)+IF(AND(AH27=AY64,AH9&gt;10.5,AH9&lt;=11,AH10&gt;8,AH10&lt;=12.01),14,0)+IF(AND(AH27=AY64,AH9&gt;11,AH9&lt;=11.5,AH10&lt;=3),10,0)+IF(AND(AH27=AY64,AH9&gt;11,AH9&lt;=11.5,AH10&gt;3,AH10&lt;=7),12,0)+IF(AND(AH27=AY64,AH9&gt;11,AH9&lt;=11.5,AH10&gt;7,AH10&lt;=12.01),14,0)+IF(AND(AH27=AY64,AH9&gt;11.5,AH9&lt;=14.01,AH10&lt;=2),10,0)+IF(AND(AH27=AY64,AH9&gt;11.5,AH9&lt;=14.01,AH10&gt;2,AH10&lt;=5.5),12,0)+IF(AND(AH27=AY64,AH9&gt;11.5,AH9&lt;=14.01,AH10&gt;5.5,AH10&lt;=12.01),14,0)</f>
        <v>6</v>
      </c>
      <c r="AK27" s="5" t="s">
        <v>53</v>
      </c>
      <c r="AL27" s="252">
        <f>IF(AJ27=AU64,AW64)+IF(AJ27=AU65,AW65)+IF(AJ27=AU66,AW66)+IF(AJ27=AU67,AW67)+IF(AJ27=AU68,AW68)+IF(AJ27=AU70,AW70)+IF(AJ27=AU69,AW69)</f>
        <v>1108.7388000000001</v>
      </c>
      <c r="AM27" s="432">
        <f>+AL27*AI27</f>
        <v>5876.3156399999998</v>
      </c>
      <c r="AN27" s="529"/>
      <c r="AO27" s="319">
        <f>+IF(AI52=1,0,AQ27)</f>
        <v>102.661</v>
      </c>
      <c r="AP27" s="249">
        <f t="shared" si="1"/>
        <v>2.9331714285714288</v>
      </c>
      <c r="AQ27" s="662">
        <f>+VLOOKUP(AJ27,AU64:AV70,2,)*AI27</f>
        <v>102.661</v>
      </c>
      <c r="AR27" s="197"/>
      <c r="AS27" s="329"/>
      <c r="AT27" s="16"/>
      <c r="AU27" s="16"/>
      <c r="AV27" s="324"/>
      <c r="AW27" s="324"/>
      <c r="AX27" s="324"/>
      <c r="AY27" s="324"/>
      <c r="AZ27" s="324"/>
      <c r="BA27" s="324"/>
      <c r="BB27" s="197"/>
      <c r="BC27" s="197"/>
      <c r="BD27" s="197"/>
      <c r="BE27" s="197"/>
      <c r="BF27" s="327"/>
      <c r="BG27" s="327"/>
      <c r="BH27" s="327"/>
      <c r="BI27" s="16"/>
      <c r="BJ27" s="327"/>
      <c r="BK27" s="16"/>
      <c r="BL27" s="16"/>
      <c r="BM27" s="17"/>
      <c r="BN27" s="1"/>
      <c r="BO27" s="1"/>
      <c r="BP27" s="1"/>
      <c r="BQ27" s="1"/>
      <c r="BR27" s="1"/>
      <c r="BS27">
        <v>3</v>
      </c>
      <c r="BT27" s="515">
        <f>IF(AND(AH27=AY64,AH9&gt;11.5,AH9&lt;=12,AH10&gt;5.5,AH10&lt;=11),14,0)</f>
        <v>0</v>
      </c>
      <c r="BU27"/>
      <c r="BV27"/>
      <c r="BW27" s="518">
        <f>IF(AND(AH27=AY64,AH9&gt;6.5,AH9&lt;=7,AH10&gt;3,AH10&lt;=10),8,0)</f>
        <v>0</v>
      </c>
      <c r="BX27" s="518">
        <f>IF(AND(AH27=AY64,AH9&gt;6.5,AH9&lt;=7,AH10&gt;10,AH10&lt;=11),10,0)</f>
        <v>0</v>
      </c>
      <c r="BY27" s="518">
        <f>IF(AND(AH27=AY64,AH9&gt;7,AH9&lt;=7.5,AH10&lt;=2),6,0)</f>
        <v>0</v>
      </c>
      <c r="BZ27" s="518">
        <f>IF(AND(AH27=AY64,AH9&gt;7,AH9&lt;=7.5,AH10&gt;2,AH10&lt;=8),8,0)</f>
        <v>0</v>
      </c>
      <c r="CA27" s="518">
        <f>IF(AND(AH27=AY64,AH9&gt;7,AH9&lt;=7.5,AH10&gt;8,AH10&lt;=11),10,0)</f>
        <v>0</v>
      </c>
      <c r="CB27" s="518">
        <f>IF(AND(AH27=AY64,AH9&gt;7.5,AH9&lt;=8,AH10&lt;=6),8,0)</f>
        <v>0</v>
      </c>
      <c r="CC27" s="245">
        <f>IF(AND(AH27=AY64,AH9&gt;7.5,AH9&lt;=8,AH10&gt;6,AH10&lt;=10.5),10,0)</f>
        <v>0</v>
      </c>
      <c r="CD27" s="245">
        <f>IF(AND(AH27=AY64,AH9&gt;7.5,AH9&lt;=8,AH10&gt;10.5,AH10&lt;=11),12,0)</f>
        <v>0</v>
      </c>
      <c r="CE27" s="245">
        <f>IF(AND(AH27=AY64,AH9&gt;8,AH9&lt;=8.5,AH10&lt;=6),8,0)</f>
        <v>0</v>
      </c>
      <c r="CF27" s="245">
        <f>IF(AND(AH27=AY64,AH9&gt;8,AH9&lt;=8.5,AH10&gt;6,AH10&lt;=10),10,0)</f>
        <v>0</v>
      </c>
      <c r="CG27" s="245">
        <f>IF(AND(AH27=AY64,AH9&gt;8,AH9&lt;=8.5,AH10&gt;10,AH10&lt;=11),12,0)</f>
        <v>0</v>
      </c>
      <c r="CH27" s="245">
        <f>IF(AND(AH27=AY64,AH9&gt;8.5,AH9&lt;=9,AH10&lt;=4),8,0)</f>
        <v>0</v>
      </c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</row>
    <row r="28" spans="1:122" s="75" customFormat="1" x14ac:dyDescent="0.2">
      <c r="AG28" s="38" t="s">
        <v>36</v>
      </c>
      <c r="AH28" s="505"/>
      <c r="AI28" s="5">
        <v>1</v>
      </c>
      <c r="AJ28" s="5">
        <v>1</v>
      </c>
      <c r="AK28" s="5" t="s">
        <v>13</v>
      </c>
      <c r="AL28" s="560">
        <f>IF(AND(OR(AJ52=AT196,AJ52=AT197,AJ52=AT198,AJ52=AT199,AJ52=AT200,AJ52=AT201,AJ52=AT202),AH11&lt;=12),AW73)+IF(AND(OR(AJ52=AT196,AJ52=AT197,AJ52=AT198,AJ52=AT199,AJ52=AT200,AJ52=AT201,AJ52=AT202),AH11&gt;12,AH11&lt;=24),AW74)+IF(AND(OR(AJ52=AT196,AJ52=AT197,AJ52=AT198,AJ52=AT199,AJ52=AT200,AJ52=AT201,AJ52=AT202),AH11&gt;24,AH11&lt;=48),AW75)+IF(AND(OR(AJ52=AT196,AJ52=AT197,AJ52=AT198,AJ52=AT199,AJ52=AT200,AJ52=AT201,AJ52=AT202),AH11&gt;48, AH11&lt;=64),AW76)+IF(AND(OR(AJ52=AT196,AJ52=AT197,AJ52=AT198,AJ52=AT199,AJ52=AT200,AJ52=AT201,AJ52=AT202),AH11&gt;64,AH11&lt;=90),AW77)+IF(AND(OR(AJ52=AT196,AJ52=AT197,AJ52=AT198,AJ52=AT199,AJ52=AT200,AJ52=AT201,AJ52=AT202),AH11&gt;90,AH11&lt;=114),AW78)+IF(AND(OR(AJ52=AT196,AJ52=AT197,AJ52=AT198,AJ52=AT199,AJ52=AT200,AJ52=AT201,AJ52=AT202),AH11&gt;114,AH11&lt;=138),AW79)+IF(AND(OR(AJ52=AT196,AJ52=AT197,AJ52=AT198,AJ52=AT199,AJ52=AT200,AJ52=AT201,AJ52=AT202),AH11&gt;138,AH11&lt;=169),AW80)</f>
        <v>1800</v>
      </c>
      <c r="AM28" s="432">
        <f>AL28*AJ28</f>
        <v>1800</v>
      </c>
      <c r="AN28" s="529"/>
      <c r="AO28" s="319">
        <f>IF(AH11&lt;=12,3.8)+IF(AND(AH11&gt;12,AH11&lt;=24),3.8)+IF(AND(AH11&gt;24,AH11&lt;=48),6.6)+IF(AND(AH11&gt;48,AH11&lt;=64),13.5)+IF(AND(AH11&gt;64,AH11&lt;=90),18.5)</f>
        <v>6.6</v>
      </c>
      <c r="AP28" s="249">
        <f t="shared" si="1"/>
        <v>0.18857142857142856</v>
      </c>
      <c r="AR28" s="197"/>
      <c r="AS28" s="329"/>
      <c r="AT28" s="16"/>
      <c r="AU28" s="711">
        <f>+AU14</f>
        <v>2</v>
      </c>
      <c r="AV28" s="711"/>
      <c r="AW28" s="711"/>
      <c r="AX28" s="711"/>
      <c r="AY28" s="711"/>
      <c r="AZ28" s="711"/>
      <c r="BA28" s="197"/>
      <c r="BB28" s="197"/>
      <c r="BC28" s="197"/>
      <c r="BD28" s="197"/>
      <c r="BE28" s="197"/>
      <c r="BF28" s="327"/>
      <c r="BG28" s="327"/>
      <c r="BH28" s="327"/>
      <c r="BI28" s="16"/>
      <c r="BJ28" s="327"/>
      <c r="BK28" s="16"/>
      <c r="BL28" s="16"/>
      <c r="BM28" s="17"/>
      <c r="BN28" s="1"/>
      <c r="BO28" s="1"/>
      <c r="BP28" s="1"/>
      <c r="BQ28" s="1"/>
      <c r="BR28" s="1"/>
      <c r="BS28">
        <v>4</v>
      </c>
      <c r="BT28" s="515">
        <f>IF(AND(AH27=AY64,AH9&gt;5,AH9&lt;=5.5,AH10&gt;10,AH10&lt;=11),10,0)</f>
        <v>0</v>
      </c>
      <c r="BU28"/>
      <c r="BV28"/>
      <c r="BW28" s="518">
        <f>IF(AND(AH27=AY64,AH9&gt;8.5,AH9&lt;=9,AH10&gt;4,AH10&lt;=9),10,0)</f>
        <v>0</v>
      </c>
      <c r="BX28" s="518">
        <f>IF(AND(AH27=AY64,AH9&gt;8.5,AH9&lt;=9,AH10&gt;9,AH10&lt;=11),12,0)</f>
        <v>0</v>
      </c>
      <c r="BY28" s="518">
        <f>IF(AND(AH27=AY64,AH9&gt;9,AH9&lt;=9.5,AH10&lt;=2.5),8,0)</f>
        <v>0</v>
      </c>
      <c r="BZ28" s="518">
        <f>IF(AND(AH27=AY64,AH9&gt;9,AH9&lt;=9.5,AH10&gt;2.5,AH10&lt;=7),10,0)</f>
        <v>0</v>
      </c>
      <c r="CA28" s="518">
        <f>IF(AND(AH27=AY64,AH9&gt;9,AH9&lt;=9.5,AH10&gt;7,AH10&lt;=11),12,0)</f>
        <v>0</v>
      </c>
      <c r="CB28" s="518">
        <f>IF(AND(AH27=AY64,AH9&gt;9.5,AH9&lt;=10,AH10&lt;=6),10,0)</f>
        <v>0</v>
      </c>
      <c r="CC28" s="245">
        <f>IF(AND(AH27=AY64,AH9&gt;9.5,AH9&lt;=10,AH10&gt;6,AH10&lt;=11),12,0)</f>
        <v>0</v>
      </c>
      <c r="CD28" s="245">
        <f>IF(AND(AH27=AY64,AH9&gt;10,AH9&lt;=10.5,AH10&lt;=4),10,0)</f>
        <v>0</v>
      </c>
      <c r="CE28" s="245">
        <f>IF(AND(AH27=AY64,AH9&gt;10,AH9&lt;=10.5,AH10&gt;4,AH10&lt;=10),12,0)</f>
        <v>0</v>
      </c>
      <c r="CF28" s="245">
        <f>IF(AND(AH27=AY64,AH9&gt;10,AH9&lt;=10.5,AH10&gt;10,AH10&lt;=11),14,0)</f>
        <v>0</v>
      </c>
      <c r="CG28" s="245">
        <f>IF(AND(AH27=AY64,AH9&gt;10.5,AH9&lt;=11,AH10&lt;=4),10,0)</f>
        <v>0</v>
      </c>
      <c r="CH28" s="245">
        <f>IF(AND(AH27=AY64,AH9&gt;10.5,AH9&lt;=11,AH10&gt;4,AH10&lt;=8),12,0)</f>
        <v>0</v>
      </c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</row>
    <row r="29" spans="1:122" s="75" customFormat="1" x14ac:dyDescent="0.2">
      <c r="AG29" s="395">
        <f>IF(OR(AH14=AY58,AH14=AY57,AH14=AY60),BA85,0)</f>
        <v>2</v>
      </c>
      <c r="AH29" s="506"/>
      <c r="AI29" s="559">
        <f>IF(AND(AH9&gt;=2,AH9&lt;=7.85,AH10&lt;=3.5),400)+IF(AND(AH9&gt;=2,AH9&lt;=7.85,AH10&gt;3.5,AH10&lt;=5.5),450)+IF(AND(AH9&gt;=2,AH9&lt;=7.85,AH10&gt;5.5,AH10&lt;=7),525)+IF(AND(AH9&gt;=2,AH9&lt;=7.85,AH10&gt;7,AH10&lt;=9),600)+IF(AND(AH9&gt;=2,AH9&lt;=7.85,AH10&gt;9,AH10&lt;=10),675)+IF(AND(AH9&gt;=2,AH9&lt;=7.85,AH10&gt;10,AH10&lt;=12),750)+IF(AND(AH9&gt;7.85,AH9&lt;=14.01,AH10&gt;7,AH10&lt;=12),750)+IF(AND(AH9&gt;7.85,AH9&lt;=14.01,AH10&lt;=7),600)</f>
        <v>525</v>
      </c>
      <c r="AJ29" s="13">
        <v>1</v>
      </c>
      <c r="AK29" s="389" t="s">
        <v>13</v>
      </c>
      <c r="AL29" s="254">
        <f>IF(AND(OR(AJ52=AT189,AJ52=AT190,AJ52=AT191,AJ52=AT192,AJ52=AT193,AJ52=AT194,AJ52=AT195,AJ52=AT196,AJ52=AT197,AJ52=AT198,AJ52=AT199,AJ52=AT200,AJ52=AT201,AJ52=AT202),AI29=400,AG29=BA85),AX85)+IF(AND(OR(AJ52=AT189,AJ52=AT190,AJ52=AT191,AJ52=AT192,AJ52=AT193,AJ52=AT194,AJ52=AT195,AJ52=AT196,AJ52=AT197,AJ52=AT198,AJ52=AT199,AJ52=AT200,AJ52=AT201,AJ52=AT202),AI29=450,AG29=BA85),AX86)+IF(AND(OR(AJ52=AT189,AJ52=AT190,AJ52=AT191,AJ52=AT192,AJ52=AT193,AJ52=AT194,AJ52=AT195,AJ52=AT196,AJ52=AT197,AJ52=AT198,AJ52=AT199,AJ52=AT200,AJ52=AT201,AJ52=AT202),AI29=525,AG29=BA85),AX87)+IF(AND(OR(AJ52=AT189,AJ52=AT190,AJ52=AT191,AJ52=AT192,AJ52=AT193,AJ52=AT194,AJ52=AT195,AJ52=AT196,AJ52=AT197,AJ52=AT198,AJ52=AT199,AJ52=AT200,AJ52=AT201,AJ52=AT202),AI29=600,AG29=BA85),AX88)+IF(AND(OR(AJ52=AT189,AJ52=AT190,AJ52=AT191,AJ52=AT192,AJ52=AT193,AJ52=AT194,AJ52=AT195,AJ52=AT196,AJ52=AT197,AJ52=AT198,AJ52=AT199,AJ52=AT200,AJ52=AT201,AJ52=AT202),AI29=675,AG29=BA85),AX89)+IF(AND(OR(AJ52=AT189,AJ52=AT190,AJ52=AT191,AJ52=AT192,AJ52=AT193,AJ52=AT194,AJ52=AT195,AJ52=AT196,AJ52=AT197,AJ52=AT198,AJ52=AT199,AJ52=AT200,AJ52=AT201,AJ52=AT202),AI29=750,AG29=BA85),AX90)</f>
        <v>1983.9142647000006</v>
      </c>
      <c r="AM29" s="537">
        <f>AL29*AJ29</f>
        <v>1983.9142647000006</v>
      </c>
      <c r="AN29" s="529"/>
      <c r="AO29" s="319">
        <f>IF(AND(AG29=BA85,AI29=AV85),'Basic rates'!E52*AJ29,0)+IF(AND(AG29=BA85,AI29=AV86),'Basic rates'!E53*AJ29,0)+IF(AND(AG29=BA85,AI29=AV87),'Basic rates'!E54*AJ29,0)+IF(AND(AG29=BA85,AI29=AV88),'Basic rates'!E55*AJ29,0)+IF(AND(AG29=BA85,AI29=AV89),'Basic rates'!E56*AJ29,0)+IF(AND(AG29=BA85,AI29=AV90),'Basic rates'!E57*AJ29,0)</f>
        <v>35.688330000000008</v>
      </c>
      <c r="AP29" s="249">
        <f t="shared" si="1"/>
        <v>1.0196665714285718</v>
      </c>
      <c r="AR29" s="197"/>
      <c r="AS29" s="329"/>
      <c r="AT29" s="197" t="s">
        <v>254</v>
      </c>
      <c r="AU29" s="293" t="s">
        <v>240</v>
      </c>
      <c r="AV29" s="595">
        <f>AW14</f>
        <v>2</v>
      </c>
      <c r="AW29" s="319">
        <f>AW17</f>
        <v>5</v>
      </c>
      <c r="AX29" s="319">
        <f>AW20</f>
        <v>8</v>
      </c>
      <c r="AY29" s="319">
        <f>AW23</f>
        <v>11</v>
      </c>
      <c r="AZ29" s="319" t="s">
        <v>91</v>
      </c>
      <c r="BA29" s="197"/>
      <c r="BB29" s="197"/>
      <c r="BC29" s="197"/>
      <c r="BD29" s="197"/>
      <c r="BE29" s="197"/>
      <c r="BF29" s="327"/>
      <c r="BG29" s="327"/>
      <c r="BH29" s="327"/>
      <c r="BI29" s="16"/>
      <c r="BJ29" s="327"/>
      <c r="BK29" s="16"/>
      <c r="BL29" s="16"/>
      <c r="BM29" s="17"/>
      <c r="BN29" s="1"/>
      <c r="BO29" s="1"/>
      <c r="BP29" s="1"/>
      <c r="BQ29" s="1"/>
      <c r="BR29" s="1"/>
      <c r="BS29">
        <v>5</v>
      </c>
      <c r="BT29" s="515">
        <f>IF(AND(AH27=AY64,AH9&gt;4.5,AH9&lt;=5,AH10&gt;10.5,AH10&lt;=11),10,0)</f>
        <v>0</v>
      </c>
      <c r="BU29"/>
      <c r="BV29"/>
      <c r="BW29" s="518">
        <f>IF(AND(AH27=AY64,AH9&gt;10.5,AH9&lt;=11,AH10&gt;8,AH10&lt;=11),14,0)</f>
        <v>0</v>
      </c>
      <c r="BX29" s="518">
        <f>IF(AND(AH27=AY64,AH9&gt;11,AH9&lt;=11.5,AH10&lt;=3),10,0)</f>
        <v>0</v>
      </c>
      <c r="BY29" s="518">
        <f>IF(AND(AH27=AY64,AH9&gt;11,AH9&lt;=11.5,AH10&gt;3,AH10&lt;=7),12,0)</f>
        <v>0</v>
      </c>
      <c r="BZ29" s="518">
        <f>IF(AND(AH27=AY64,AH9&gt;11,AH9&lt;=11.5,AH10&gt;7,AH10&lt;=11),14,0)</f>
        <v>0</v>
      </c>
      <c r="CA29" s="518">
        <f>IF(AND(AH27=AY64,AH9&gt;11.5,AH9&lt;=12,AH10&lt;=2),10,0)</f>
        <v>0</v>
      </c>
      <c r="CB29" s="518">
        <f>IF(AND(AH27=AY64,AH9&gt;11.5,AH9&lt;=12,AH10&gt;2,AH10&lt;=5.5),12,0)</f>
        <v>0</v>
      </c>
      <c r="CC29" s="245">
        <f>IF(AND(AH27=AY64,AH9&gt;11.5,AH9&lt;=12,AH10&gt;5.5,AH10&lt;=11),14,0)</f>
        <v>0</v>
      </c>
      <c r="CD29" s="3"/>
      <c r="CE29" s="3"/>
      <c r="CF29" s="3"/>
      <c r="CG29" s="3"/>
      <c r="CH29" s="3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</row>
    <row r="30" spans="1:122" s="75" customFormat="1" x14ac:dyDescent="0.2">
      <c r="AG30" s="556">
        <f>IF(AH14=AY59,BA86,0)</f>
        <v>0</v>
      </c>
      <c r="AH30" s="557"/>
      <c r="AI30" s="559">
        <f>IF(AND(AH9&gt;=2,AH9&lt;=7.85,AH10&lt;=3.5),400)+IF(AND(AH9&gt;=2,AH9&lt;=7.85,AH10&gt;3.5,AH10&lt;=5.5),450)+IF(AND(AH9&gt;=2,AH9&lt;=7.85,AH10&gt;5.5,AH10&lt;=7),525)+IF(AND(AH9&gt;=2,AH9&lt;=7.85,AH10&gt;7,AH10&lt;=9),600)+IF(AND(AH9&gt;=2,AH9&lt;=7.85,AH10&gt;9,AH10&lt;=10),675)+IF(AND(AH9&gt;=2,AH9&lt;=7.85,AH10&gt;10,AH10&lt;=12),750)+IF(AND(AH9&gt;7.85,AH9&lt;=14.01,AH10&gt;7,AH10&lt;=12),750)+IF(AND(AH9&gt;7.85,AH9&lt;=14.01,AH10&lt;=7),600)</f>
        <v>525</v>
      </c>
      <c r="AJ30" s="5">
        <v>1</v>
      </c>
      <c r="AK30" s="558" t="s">
        <v>13</v>
      </c>
      <c r="AL30" s="252">
        <f>IF(AND(OR(AJ52=AT189,AJ52=AT190,AJ52=AT191,AJ52=AT192,AJ52=AT193,AJ52=AT194,AJ52=AT195,AJ52=AT196,AJ52=AT197,AJ52=AT198,AJ52=AT199,AJ52=AT200,AJ52=AT201,AJ52=AT202),AI30=400,AG30=BA86),AY85)+IF(AND(OR(AJ52=AT189,AJ52=AT190,AJ52=AT191,AJ52=AT192,AJ52=AT193,AJ52=AT194,AJ52=AT195,AJ52=AT196,AJ52=AT197,AJ52=AT198,AJ52=AT199,AJ52=AT200,AJ52=AT201,AJ52=AT202),AI30=450,AG30=BA86),AY86)+IF(AND(OR(AJ52=AT189,AJ52=AT190,AJ52=AT191,AJ52=AT192,AJ52=AT193,AJ52=AT194,AJ52=AT195,AJ52=AT196,AJ52=AT197,AJ52=AT198,AJ52=AT199,AJ52=AT200,AJ52=AT201,AJ52=AT202),AI30=525,AG30=BA86),AY87)+IF(AND(OR(AJ52=AT189,AJ52=AT190,AJ52=AT191,AJ52=AT192,AJ52=AT193,AJ52=AT194,AJ52=AT195,AJ52=AT196,AJ52=AT197,AJ52=AT198,AJ52=AT199,AJ52=AT200,AJ52=AT201,AJ52=AT202),AI30=600,AG30=BA86),AY88)+IF(AND(OR(AJ52=AT189,AJ52=AT190,AJ52=AT191,AJ52=AT192,AJ52=AT193,AJ52=AT194,AJ52=AT195,AJ52=AT196,AJ52=AT197,AJ52=AT198,AJ52=AT199,AJ52=AT200,AJ52=AT201,AJ52=AT202),AI30=675,AG30=BA86),AY89)+IF(AND(OR(AJ52=AT189,AJ52=AT190,AJ52=AT191,AJ52=AT192,AJ52=AT193,AJ52=AT194,AJ52=AT195,AJ52=AT196,AJ52=AT197,AJ52=AT198,AJ52=AT199,AJ52=AT200,AJ52=AT201,AJ52=AT202),AI30=750,AG30=BA86),AY90)</f>
        <v>0</v>
      </c>
      <c r="AM30" s="432">
        <f>AL30*AJ30</f>
        <v>0</v>
      </c>
      <c r="AN30" s="529"/>
      <c r="AO30" s="319">
        <f>IF(AND(AG30=BA86,AI30=AV85),#REF!*AJ30,0)+IF(AND(AG30=BA86,AI30=AV86),#REF!*AJ30,0)+IF(AND(AG30=BA86,AI30=AV87),#REF!*AJ30,0)+IF(AND(AG30=BA86,AI30=AV88),#REF!*AJ30,0)+IF(AND(AG30=BA86,AI30=AV89),#REF!*AJ30,0)+IF(AND(AG30=BA86,AI30=AV90),#REF!*AJ30,0)</f>
        <v>0</v>
      </c>
      <c r="AP30" s="249">
        <f t="shared" si="1"/>
        <v>0</v>
      </c>
      <c r="AR30" s="197"/>
      <c r="AS30" s="329"/>
      <c r="AT30" s="16"/>
      <c r="AU30" s="295">
        <v>2</v>
      </c>
      <c r="AV30" s="595">
        <f>+'Basic rates'!E4</f>
        <v>45.674801100000003</v>
      </c>
      <c r="AW30" s="595">
        <f>+'Basic rates'!G4</f>
        <v>53.287267950000007</v>
      </c>
      <c r="AX30" s="595">
        <f>+'Basic rates'!I4</f>
        <v>69.71417009999999</v>
      </c>
      <c r="AY30" s="595">
        <f>+'Basic rates'!K4</f>
        <v>45.674801100000003</v>
      </c>
      <c r="AZ30" s="319" t="s">
        <v>92</v>
      </c>
      <c r="BA30" s="197"/>
      <c r="BB30" s="197"/>
      <c r="BC30" s="197"/>
      <c r="BD30" s="197"/>
      <c r="BE30" s="197"/>
      <c r="BF30" s="16"/>
      <c r="BG30" s="327"/>
      <c r="BH30" s="327"/>
      <c r="BI30" s="197"/>
      <c r="BJ30" s="327"/>
      <c r="BK30" s="16"/>
      <c r="BL30" s="16"/>
      <c r="BM30" s="17"/>
      <c r="BN30" s="1"/>
      <c r="BO30" s="1"/>
      <c r="BP30" s="1"/>
      <c r="BQ30" s="1"/>
      <c r="BR30" s="1"/>
      <c r="BS30"/>
      <c r="BT30" s="515"/>
      <c r="BU30"/>
      <c r="BV30"/>
      <c r="BW30"/>
      <c r="BX30"/>
      <c r="BY30"/>
      <c r="BZ30"/>
      <c r="CA30"/>
      <c r="CB30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</row>
    <row r="31" spans="1:122" s="75" customFormat="1" ht="12.75" x14ac:dyDescent="0.2">
      <c r="A31" s="1"/>
      <c r="B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38" t="s">
        <v>37</v>
      </c>
      <c r="AH31" s="505"/>
      <c r="AI31" s="5">
        <v>1</v>
      </c>
      <c r="AJ31" s="5">
        <v>1</v>
      </c>
      <c r="AK31" s="5" t="s">
        <v>13</v>
      </c>
      <c r="AL31" s="252">
        <f>IF(AND(OR(AJ52=AT196,AJ52=AT197,AJ52=AT198,AJ52=AT199,AJ52=AT200,AJ52=AT201,AJ52=AT202),AH11&lt;=12),AX95)+IF(AND(OR(AJ52=AT196,AJ52=AT197,AJ52=AT198,AJ52=AT199,AJ52=AT200,AJ52=AT201,AJ52=AT202),AH11&gt;12,AH11&lt;=24),AX96)+IF(AND(OR(AJ52=AT196,AJ52=AT197,AJ52=AT198,AJ52=AT199,AJ52=AT200,AJ52=AT201,AJ52=AT202),AH11&gt;24,AH11&lt;=36),AX97)+IF(AND(OR(AJ52=AT196,AJ52=AT197,AJ52=AT198,AJ52=AT199,AJ52=AT200,AJ52=AT201,AJ52=AT202),AH11&gt;36,AH11&lt;=48),AX98)+IF(AND(OR(AJ52=AT196,AJ52=AT197,AJ52=AT198,AJ52=AT199,AJ52=AT200,AJ52=AT201,AJ52=AT202),AH11&gt;48),AX99)</f>
        <v>1000</v>
      </c>
      <c r="AM31" s="432">
        <f>AL31*AJ31</f>
        <v>1000</v>
      </c>
      <c r="AN31" s="529"/>
      <c r="AO31" s="319"/>
      <c r="AP31" s="251"/>
      <c r="AQ31" s="1"/>
      <c r="AR31" s="197"/>
      <c r="AS31" s="323"/>
      <c r="AT31" s="16"/>
      <c r="AU31" s="295">
        <v>4</v>
      </c>
      <c r="AV31" s="595">
        <f>+'Basic rates'!E5</f>
        <v>50.749779000000004</v>
      </c>
      <c r="AW31" s="595">
        <f>+'Basic rates'!G5</f>
        <v>59.2080755</v>
      </c>
      <c r="AX31" s="595">
        <f>+'Basic rates'!I5</f>
        <v>77.460189</v>
      </c>
      <c r="AY31" s="595">
        <f>+'Basic rates'!K5</f>
        <v>50.749779000000004</v>
      </c>
      <c r="AZ31" s="319" t="s">
        <v>92</v>
      </c>
      <c r="BA31" s="197"/>
      <c r="BB31" s="197"/>
      <c r="BC31" s="197"/>
      <c r="BD31" s="197"/>
      <c r="BE31" s="197"/>
      <c r="BF31" s="16"/>
      <c r="BG31" s="327"/>
      <c r="BH31" s="327"/>
      <c r="BI31" s="197"/>
      <c r="BJ31" s="327"/>
      <c r="BK31" s="16"/>
      <c r="BL31" s="16"/>
      <c r="BM31" s="17"/>
      <c r="BN31" s="1"/>
      <c r="BO31" s="1"/>
      <c r="BP31" s="1"/>
      <c r="BQ31" s="1"/>
      <c r="BR31" s="1"/>
      <c r="BS31"/>
      <c r="BT31"/>
      <c r="BU31"/>
      <c r="BV31"/>
      <c r="BW31"/>
      <c r="BX31"/>
      <c r="BY31"/>
      <c r="BZ31"/>
      <c r="CA31"/>
      <c r="CB3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</row>
    <row r="32" spans="1:122" s="75" customFormat="1" ht="12.75" x14ac:dyDescent="0.2">
      <c r="A32" s="1"/>
      <c r="B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395">
        <v>2</v>
      </c>
      <c r="AH32" s="506">
        <v>1</v>
      </c>
      <c r="AI32" s="13">
        <f>AH9+0.5</f>
        <v>5.5</v>
      </c>
      <c r="AJ32" s="13">
        <f>AI29</f>
        <v>525</v>
      </c>
      <c r="AK32" s="389" t="s">
        <v>53</v>
      </c>
      <c r="AL32" s="254">
        <f>+IF(AND(AG32=AX103,AJ32=AU104),AV104)+IF(AND(AG32=AX103,AJ32=AU105),AV105)+IF(AND(AG32=AX103,AJ32=AU106),AV106)+IF(AND(AG32=AX103,AJ32=AU107),AV107)+IF(AND(AG32=AX103,AJ32=AU108),AV108)+IF(AND(AG32=AX103,AJ32=AU109),AV109)+IF(AND(AG32=AX104,AJ32=AU104),AW104)+IF(AND(AG32=AX104,AJ32=AU105),AW105)+IF(AND(AG32=AX104,AJ32=AU106),AW106)+IF(AND(AG32=AX104,AJ32=AU107),AW107)+IF(AND(AG32=AX104,AJ32=AU108),AW108)+IF(AND(AG32=AX104,AJ32=AU109),AW109)</f>
        <v>545.91472800000008</v>
      </c>
      <c r="AM32" s="537">
        <f>(AL32*AI32)+(IF(OR(AH17=BK59,AH17=BK60),100*AH11))</f>
        <v>3002.5310040000004</v>
      </c>
      <c r="AN32" s="529"/>
      <c r="AO32" s="319">
        <f>IF(AND(AG32=AX104,AJ32=AU104),'Basic rates'!F68*AI32,0)+IF(AND(AG32=AX104,AJ32=AU105),'Basic rates'!F69*AI32,0)+IF(AND(AG32=AX104,AJ32=AU106),'Basic rates'!F70*AI32,0)+IF(AND(AG32=AX104,AJ32=AU107),'Basic rates'!F71*AI32,0)+IF(AND(AG32=AX104,AJ32=AU108),'Basic rates'!F72*AI32,0)+IF(AND(AG32=AX104,AJ32=AU109),'Basic rates'!F73*AI32,0)+IF(AND(AG32=AX103,AJ32=AU104),'Basic rates'!D68*AI32,0)+IF(AND(AG32=AX103,AJ32=AU105),'Basic rates'!D69*AI32,0)+IF(AND(AG32=AX103,AJ32=AU106),'Basic rates'!D70*AI32,0)+IF(AND(AG32=AX103,AJ32=AU107),'Basic rates'!D71*AI32,0)+IF(AND(AG32=AX103,AJ32=AU108),'Basic rates'!D72*AI32,0)+IF(AND(AG32=AX103,AJ32=AU109),'Basic rates'!D73*AI32,0)</f>
        <v>51.011400000000002</v>
      </c>
      <c r="AP32" s="249">
        <f>AO32/$AH$11</f>
        <v>1.4574685714285716</v>
      </c>
      <c r="AQ32" s="1"/>
      <c r="AR32" s="16"/>
      <c r="AS32" s="323"/>
      <c r="AT32" s="16"/>
      <c r="AU32" s="295">
        <v>7</v>
      </c>
      <c r="AV32" s="595">
        <f>+'Basic rates'!E6</f>
        <v>60.899734799999997</v>
      </c>
      <c r="AW32" s="595">
        <f>+'Basic rates'!G6</f>
        <v>71.049690599999991</v>
      </c>
      <c r="AX32" s="595">
        <f>+'Basic rates'!I6</f>
        <v>92.952226799999991</v>
      </c>
      <c r="AY32" s="595">
        <f>+'Basic rates'!K6</f>
        <v>60.899734799999997</v>
      </c>
      <c r="AZ32" s="319" t="s">
        <v>92</v>
      </c>
      <c r="BA32" s="197"/>
      <c r="BB32" s="197"/>
      <c r="BC32" s="197"/>
      <c r="BD32" s="197"/>
      <c r="BE32" s="197"/>
      <c r="BF32" s="16"/>
      <c r="BG32" s="327"/>
      <c r="BH32" s="327"/>
      <c r="BI32" s="197"/>
      <c r="BJ32" s="327"/>
      <c r="BK32" s="16"/>
      <c r="BL32" s="16"/>
      <c r="BM32" s="17"/>
      <c r="BN32" s="1"/>
      <c r="BO32" s="1"/>
      <c r="BP32" s="1"/>
      <c r="BQ32" s="1"/>
      <c r="BR32" s="1"/>
      <c r="BS32"/>
      <c r="BT32"/>
      <c r="BU32"/>
      <c r="BV32"/>
      <c r="BW32">
        <f>IF(AND(AH27=AY64,AH9&lt;=2,AH10&lt;=8),4,0)+IF(AND(AH27=AY64,AH9&lt;=2,AH10&gt;8,AH10&lt;=11),5,0)+IF(AND(AH27=AY64,AH9&gt;2,AH9&lt;=2.5,AH10&lt;=6.5),4,0)+IF(AND(AH27=AY64,AH9&gt;2,AH9&lt;=2.5,AH10&gt;6.5,AH10&lt;=11),5,0)+IF(AND(AH27=AY64,AH9&gt;2.5,AH9&lt;=3,AH10&lt;=6.5),4,0)+IF(AND(AH27=AY64,AH9&gt;2.5,AH9&lt;=3,AH10&gt;6.5,AH10&lt;=8),5,0)+IF(AND(AH27=AY64,AH9&gt;2.5,AH9&lt;=3,AH10&gt;8,AH10&lt;=9),6,0)+IF(AND(AH27=AY64,AH9&gt;2.5,AH9&lt;=3,AH10&gt;9,AH10&lt;=11),8,0)+IF(AND(AH27=AY64,AH9&gt;3,AH9&lt;=3.5,AH10&lt;=5.5),4,0)+IF(AND(AH27=AY64,AH9&gt;3,AH9&lt;=3.5,AH10&gt;5.5,AH10&lt;=8.5),5,0)+IF(AND(AH27=AY64,AH9&gt;3,AH9&lt;=3.5,AH10&gt;8.5,AH10&lt;=9.5),6,0)+IF(AND(AH27=AY64,AH9&gt;3,AH9&lt;=3.5,AH10&gt;9.5,AH10&lt;=11),8,0)+IF(AND(AH27=AY64,AH9&gt;3.5,AH9&lt;=4,AH10&lt;=3.5),4,0)+IF(AND(AH27=AY64,AH9&gt;3.5,AH9&lt;=4,AH10&gt;3.5,AH10&lt;=7),5,0)+IF(AND(AH27=AY64,AH9&gt;3.5,AH9&lt;=4,AH10&gt;7,AH10&lt;=9.5),6,0)+IF(AND(AH27=AY64,AH9&gt;3.5,AH9&lt;=4,AH10&gt;9.5,AH10&lt;=11),8,0)+IF(AND(AH27=AY64,AH9&gt;4,AH9&lt;=4.5,AH10&lt;=2.5),4,0)+IF(AND(AH27=AY64,AH9&gt;4,AH9&lt;=4.5,AH10&gt;2.5,AH10&lt;=5.5),5,0)+IF(AND(AH27=AY64,AH9&gt;4,AH9&lt;=4.5,AH10&gt;5.5,AH10&lt;=9),6,0)+IF(AND(AH27=AY64,AH9&gt;4,AH9&lt;=4.5,AH10&gt;9,AH10&lt;=11),8,0)+IF(AND(AH27=AY64,AH9&gt;4.5,AH9&lt;=5,AH10&lt;=2.5),4,0)+IF(AND(AH27=AY64,AH9&gt;4.5,AH9&lt;=5,AH10&gt;2.5,AH10&lt;=4),5,0)+IF(AND(AH27=AY64,AH9&gt;4.5,AH9&lt;=5,AH10&gt;4,AH10&lt;=7.5),6,0)+IF(AND(AH27=AY64,AH9&gt;4.5,AH9&lt;=5,AH10&gt;7.5,AH10&lt;=10),8,0)+IF(AND(AH27=AY64,AH9&gt;4.5,AH9&lt;=5,AH10&gt;10.5,AH10&lt;=11),10,0)+IF(AND(AH27=AY64,AH9&gt;5,AH9&lt;=5.5,AH10&lt;=2.5),5,0)+IF(AND(AH27=AY64,AH9&gt;5,AH9&lt;=5.5,AH10&gt;2.5,AH10&lt;=7.5),6,0)+IF(AND(AH27=AY64,AH9&gt;5,AH9&lt;=5.5,AH10&gt;7.5,AH10&lt;=10),8,0)+IF(AND(AH27=AY64,AH9&gt;5,AH9&lt;=5.5,AH10&gt;10,AH10&lt;=11),10,0)+IF(AND(AH27=AY64,AH9&gt;5.5,AH9&lt;=6,AH10&lt;=6),6,0)+IF(AND(AH27=AY64,AH9&gt;5.5,AH9&lt;=6,AH10&gt;6,AH10&lt;=10.5),8,0)+IF(AND(AH27=AY64,AH9&gt;5.5,AH9&lt;=6,AH10&gt;10.5,AH10&lt;=11),10,0)+IF(AND(AH27=AY64,AH9&gt;6,AH9&lt;=6.5,AH10&lt;=4),6,0)+IF(AND(AH27=AY64,AH9&gt;6,AH9&lt;=6.5,AH10&gt;4,AH10&lt;=10),8,0)+IF(AND(AH27=AY64,AH9&gt;6,AH9&lt;=6.5,AH10&gt;10,AH10&lt;=11),10,0)+IF(AND(AH27=AY64,AH9&gt;6.5,AH9&lt;=7,AH10&lt;=3),6,0)+IF(AND(AH27=AY64,AH9&gt;6.5,AH9&lt;=7,AH10&gt;3,AH10&lt;=10),8,0)+IF(AND(AH27=AY64,AH9&gt;6.5,AH9&lt;=7,AH10&gt;10,AH10&lt;=11),10,0)+IF(AND(AH27=AY64,AH9&gt;7,AH9&lt;=7.5,AH10&lt;=2),6,0)+IF(AND(AH27=AY64,AH9&gt;7,AH9&lt;=7.5,AH10&gt;2,AH10&lt;=8),8,0)+IF(AND(AH27=AY64,AH9&gt;7,AH9&lt;=7.5,AH10&gt;8,AH10&lt;=11),10,0)+IF(AND(AH27=AY64,AH9&gt;7.5,AH9&lt;=8,AH10&lt;=6),8,0)+IF(AND(AH27=AY64,AH9&gt;7.5,AH9&lt;=8,AH10&gt;6,AH10&lt;=10.5),10,0)+IF(AND(AH27=AY64,AH9&gt;7.5,AH9&lt;=8,AH10&gt;10.5,AH10&lt;=11),12,0)+IF(AND(AH27=AY64,AH9&gt;8,AH9&lt;=8.5,AH10&lt;=6),8,0)+IF(AND(AH27=AY64,AH9&gt;8,AH9&lt;=8.5,AH10&gt;6,AH10&lt;=10),10,0)+IF(AND(AH27=AY64,AH9&gt;8,AH9&lt;=8.5,AH10&gt;10,AH10&lt;=11),12,0)+IF(AND(AH27=AY64,AH9&gt;8.5,AH9&lt;=9,AH10&lt;=4),8,0)+IF(AND(AH27=AY64,AH9&gt;8.5,AH9&lt;=9,AH10&gt;4,AH10&lt;=9),10,0)+IF(AND(AH27=AY64,AH9&gt;8.5,AH9&lt;=9,AH10&gt;9,AH10&lt;=11),12,0)+IF(AND(AH27=AY64,AH9&gt;9,AH9&lt;=9.5,AH10&lt;=2.5),8,0)+IF(AND(AH27=AY64,AH9&gt;9,AH9&lt;=9.5,AH10&gt;2.5,AH10&lt;=7),10,0)+IF(AND(AH27=AY64,AH9&gt;9,AH9&lt;=9.5,AH10&gt;7,AH10&lt;=11),12,0)+IF(AND(AH27=AY64,AH9&gt;9.5,AH9&lt;=10,AH10&lt;=6),10,0)+IF(AND(AH27=AY64,AH9&gt;9.5,AH9&lt;=10,AH10&gt;6,AH10&lt;=11),12,0)+IF(AND(AH27=AY64,AH9&gt;10,AH9&lt;=10.5,AH10&lt;=4),10,0)+IF(AND(AH27=AY64,AH9&gt;10,AH9&lt;=10.5,AH10&gt;4,AH10&lt;=10),12,0)+IF(AND(AH27=AY64,AH9&gt;10,AH9&lt;=10.5,AH10&gt;10,AH10&lt;=11),14,0)+IF(AND(AH27=AY64,AH9&gt;10.5,AH9&lt;=11,AH10&lt;=4),10,0)+IF(AND(AH27=AY64,AH9&gt;10.5,AH9&lt;=11,AH10&gt;4,AH10&lt;=8),12,0)+IF(AND(AH27=AY64,AH9&gt;10.5,AH9&lt;=11,AH10&gt;8,AH10&lt;=11),14,0)+IF(AND(AH27=AY64,AH9&gt;11,AH9&lt;=11.5,AH10&lt;=3),10,0)+IF(AND(AH27=AY64,AH9&gt;11,AH9&lt;=11.5,AH10&gt;3,AH10&lt;=7),12,0)+IF(AND(AH27=AY64,AH9&gt;11,AH9&lt;=11.5,AH10&gt;7,AH10&lt;=11),14,0)+IF(AND(AH27=AY64,AH9&gt;11.5,AH9&lt;=12,AH10&lt;=2),10,0)+IF(AND(AH27=AY64,AH9&gt;11.5,AH9&lt;=12,AH10&gt;2,AH10&lt;=5.5),12,0)+IF(AND(AH27=AY64,AH9&gt;11.5,AH9&lt;=12,AH10&gt;5.5,AH10&lt;=11),14,0)</f>
        <v>6</v>
      </c>
      <c r="BX32">
        <f>IF(AND(AH27=AY64,AH9&gt;8,AH9&lt;=8.5,AH10&gt;6,AH10&lt;=10),10,0)+IF(AND(AH27=AY64,AH9&gt;8,AH9&lt;=8.5,AH10&gt;10,AH10&lt;=11),12,0)</f>
        <v>0</v>
      </c>
      <c r="BY32"/>
      <c r="BZ32"/>
      <c r="CA32"/>
      <c r="CB32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</row>
    <row r="33" spans="1:121" ht="12.75" x14ac:dyDescent="0.2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36" t="s">
        <v>65</v>
      </c>
      <c r="AH33" s="507"/>
      <c r="AI33" s="13">
        <v>1</v>
      </c>
      <c r="AJ33" s="13">
        <v>1</v>
      </c>
      <c r="AK33" s="389" t="s">
        <v>54</v>
      </c>
      <c r="AL33" s="580">
        <v>200</v>
      </c>
      <c r="AM33" s="537">
        <f>AL33*AJ33</f>
        <v>200</v>
      </c>
      <c r="AN33" s="528"/>
      <c r="AO33" s="3"/>
      <c r="AP33" s="249"/>
      <c r="AQ33" s="75"/>
      <c r="AR33" s="16"/>
      <c r="AS33" s="329"/>
      <c r="AT33" s="16"/>
      <c r="AU33" s="16"/>
      <c r="AV33" s="330"/>
      <c r="AW33" s="16"/>
      <c r="AX33" s="39"/>
      <c r="AY33" s="16"/>
      <c r="AZ33" s="16"/>
      <c r="BA33" s="16"/>
      <c r="BB33" s="197"/>
      <c r="BC33" s="197"/>
      <c r="BD33" s="197"/>
      <c r="BE33" s="197"/>
      <c r="BF33" s="16"/>
      <c r="BG33" s="327"/>
      <c r="BH33" s="327"/>
      <c r="BI33" s="324"/>
      <c r="BJ33" s="327"/>
      <c r="BK33" s="16"/>
      <c r="BL33" s="16"/>
      <c r="BM33" s="17"/>
      <c r="BS33"/>
      <c r="BT33"/>
      <c r="BU33"/>
      <c r="BV33"/>
      <c r="BW33"/>
      <c r="BX33"/>
      <c r="BY33"/>
      <c r="BZ33"/>
      <c r="CA33"/>
      <c r="CB33"/>
    </row>
    <row r="34" spans="1:121" x14ac:dyDescent="0.2">
      <c r="C34" s="75"/>
      <c r="D34" s="75"/>
      <c r="E34" s="75"/>
      <c r="F34" s="75"/>
      <c r="G34" s="75"/>
      <c r="H34" s="75"/>
      <c r="AG34" s="38" t="s">
        <v>38</v>
      </c>
      <c r="AH34" s="505"/>
      <c r="AI34" s="5">
        <v>1</v>
      </c>
      <c r="AJ34" s="5">
        <v>1</v>
      </c>
      <c r="AK34" s="5" t="s">
        <v>54</v>
      </c>
      <c r="AL34" s="252">
        <f>IF(AH11&lt;=12,AX113)+IF(AND(AH11&gt;12,AH11&lt;=24),AX114)+IF(AND(AH11&gt;24,AH11&lt;=36),AX115)+IF(AH11&gt;36,AX116)</f>
        <v>1500</v>
      </c>
      <c r="AM34" s="432">
        <f>AJ34*AL34</f>
        <v>1500</v>
      </c>
      <c r="AN34" s="528"/>
      <c r="AO34" s="3"/>
      <c r="AP34" s="249"/>
      <c r="AR34" s="197"/>
      <c r="AS34" s="323"/>
      <c r="AT34" s="16"/>
      <c r="AU34" s="16"/>
      <c r="AV34" s="330"/>
      <c r="AW34" s="16"/>
      <c r="AX34" s="39"/>
      <c r="AY34" s="16"/>
      <c r="AZ34" s="16"/>
      <c r="BA34" s="16"/>
      <c r="BB34" s="197"/>
      <c r="BC34" s="197"/>
      <c r="BD34" s="197"/>
      <c r="BE34" s="197"/>
      <c r="BF34" s="16"/>
      <c r="BG34" s="327"/>
      <c r="BH34" s="327"/>
      <c r="BI34" s="324"/>
      <c r="BJ34" s="327"/>
      <c r="BK34" s="16"/>
      <c r="BL34" s="16"/>
      <c r="BM34" s="17"/>
      <c r="BR34" t="s">
        <v>322</v>
      </c>
      <c r="BS34" s="515">
        <v>1</v>
      </c>
      <c r="BT34"/>
      <c r="BU34"/>
    </row>
    <row r="35" spans="1:121" s="75" customFormat="1" x14ac:dyDescent="0.2">
      <c r="A35" s="1"/>
      <c r="B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38" t="s">
        <v>39</v>
      </c>
      <c r="AH35" s="505"/>
      <c r="AI35" s="5">
        <v>0</v>
      </c>
      <c r="AJ35" s="5">
        <f>AH11</f>
        <v>35</v>
      </c>
      <c r="AK35" s="5" t="s">
        <v>55</v>
      </c>
      <c r="AL35" s="252">
        <f>IF(AH11&lt;=12,AX120)+IF(AND(AH11&gt;12,AH11&lt;=24),AX121)+IF(AND(AH11&gt;24,AH11&lt;=36),AX122)+IF(AND(AH11&gt;36,AH11&lt;=48),AX123)+IF(AH11&gt;48,AX124)</f>
        <v>350</v>
      </c>
      <c r="AM35" s="432">
        <f>AL35*AJ35</f>
        <v>12250</v>
      </c>
      <c r="AN35" s="529"/>
      <c r="AO35" s="319"/>
      <c r="AP35" s="251"/>
      <c r="AQ35" s="1"/>
      <c r="AR35" s="16"/>
      <c r="AS35" s="323"/>
      <c r="AT35" s="16"/>
      <c r="AU35" s="711" t="s">
        <v>361</v>
      </c>
      <c r="AV35" s="711"/>
      <c r="AW35" s="711"/>
      <c r="AX35" s="711"/>
      <c r="AY35" s="711"/>
      <c r="AZ35" s="711"/>
      <c r="BA35" s="16"/>
      <c r="BB35" s="16"/>
      <c r="BC35" s="16"/>
      <c r="BD35" s="16"/>
      <c r="BE35" s="16"/>
      <c r="BF35" s="16"/>
      <c r="BG35" s="327"/>
      <c r="BH35" s="327"/>
      <c r="BI35" s="324"/>
      <c r="BJ35" s="327"/>
      <c r="BK35" s="16"/>
      <c r="BL35" s="16"/>
      <c r="BM35" s="17"/>
      <c r="BN35" s="1"/>
      <c r="BO35" s="1"/>
      <c r="BP35" s="1"/>
      <c r="BQ35" s="1"/>
      <c r="BR35"/>
      <c r="BS35" s="515">
        <v>2</v>
      </c>
      <c r="BT35"/>
      <c r="BU35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</row>
    <row r="36" spans="1:121" ht="16.5" thickBot="1" x14ac:dyDescent="0.25">
      <c r="C36" s="75"/>
      <c r="D36" s="75"/>
      <c r="E36" s="75"/>
      <c r="F36" s="75"/>
      <c r="G36" s="75"/>
      <c r="H36" s="75"/>
      <c r="AG36" s="427" t="s">
        <v>57</v>
      </c>
      <c r="AH36" s="508"/>
      <c r="AI36" s="24">
        <v>0</v>
      </c>
      <c r="AJ36" s="24">
        <f>AH11</f>
        <v>35</v>
      </c>
      <c r="AK36" s="24" t="s">
        <v>55</v>
      </c>
      <c r="AL36" s="396">
        <f>BA40</f>
        <v>0</v>
      </c>
      <c r="AM36" s="538">
        <f>AL36*AJ36</f>
        <v>0</v>
      </c>
      <c r="AN36" s="340"/>
      <c r="AO36" s="3"/>
      <c r="AP36" s="249"/>
      <c r="AR36" s="16"/>
      <c r="AS36" s="323"/>
      <c r="AT36" s="16" t="s">
        <v>255</v>
      </c>
      <c r="AU36" s="293" t="s">
        <v>241</v>
      </c>
      <c r="AV36" s="595">
        <f>AW15</f>
        <v>3</v>
      </c>
      <c r="AW36" s="319">
        <f>AW18</f>
        <v>6</v>
      </c>
      <c r="AX36" s="319">
        <f>AW21</f>
        <v>9</v>
      </c>
      <c r="AY36" s="319">
        <f>AW24</f>
        <v>12</v>
      </c>
      <c r="AZ36" s="319" t="s">
        <v>91</v>
      </c>
      <c r="BA36" s="16"/>
      <c r="BB36" s="16"/>
      <c r="BC36" s="16"/>
      <c r="BD36" s="16"/>
      <c r="BE36" s="16"/>
      <c r="BF36" s="16"/>
      <c r="BG36" s="327"/>
      <c r="BH36" s="327"/>
      <c r="BI36" s="324"/>
      <c r="BJ36" s="327"/>
      <c r="BK36" s="16"/>
      <c r="BL36" s="16"/>
      <c r="BM36" s="17"/>
      <c r="BR36"/>
      <c r="BS36" s="515">
        <v>3</v>
      </c>
      <c r="BT36"/>
      <c r="BU36"/>
    </row>
    <row r="37" spans="1:121" ht="16.5" thickBot="1" x14ac:dyDescent="0.25">
      <c r="C37" s="75"/>
      <c r="D37" s="75"/>
      <c r="E37" s="75"/>
      <c r="F37" s="75"/>
      <c r="G37" s="75"/>
      <c r="H37" s="75"/>
      <c r="AG37" s="455" t="s">
        <v>40</v>
      </c>
      <c r="AH37" s="509"/>
      <c r="AI37" s="456"/>
      <c r="AJ37" s="456"/>
      <c r="AK37" s="456"/>
      <c r="AL37" s="457"/>
      <c r="AM37" s="397">
        <f>ROUND(SUM(AM22:AM36)+AM96,2)</f>
        <v>33967.279999999999</v>
      </c>
      <c r="AN37" s="530">
        <f>CEILING((AM37/$AH$11),1)</f>
        <v>971</v>
      </c>
      <c r="AO37" s="458">
        <f>SUM(AO22:AO36)</f>
        <v>755.48159724999994</v>
      </c>
      <c r="AP37" s="397">
        <f>CEILING((AO37/$AH$11),1)</f>
        <v>22</v>
      </c>
      <c r="AR37" s="16"/>
      <c r="AS37" s="323"/>
      <c r="AT37" s="16"/>
      <c r="AU37" s="295">
        <v>3</v>
      </c>
      <c r="AV37" s="595">
        <f>+'Basic rates'!E10</f>
        <v>47.398378500000007</v>
      </c>
      <c r="AW37" s="595">
        <f>+'Basic rates'!G10</f>
        <v>55.298108250000006</v>
      </c>
      <c r="AX37" s="595">
        <f>+'Basic rates'!I10</f>
        <v>72.344893499999998</v>
      </c>
      <c r="AY37" s="595">
        <f>+'Basic rates'!K10</f>
        <v>47.398378500000007</v>
      </c>
      <c r="AZ37" s="319" t="s">
        <v>92</v>
      </c>
      <c r="BA37" s="16"/>
      <c r="BB37" s="16"/>
      <c r="BC37" s="16"/>
      <c r="BD37" s="16"/>
      <c r="BE37" s="16"/>
      <c r="BF37" s="16"/>
      <c r="BG37" s="327"/>
      <c r="BH37" s="327"/>
      <c r="BI37" s="324"/>
      <c r="BJ37" s="327"/>
      <c r="BK37" s="16"/>
      <c r="BL37" s="16"/>
      <c r="BM37" s="17"/>
      <c r="BR37"/>
      <c r="BS37" s="515">
        <v>4</v>
      </c>
      <c r="BT37"/>
      <c r="BU37"/>
    </row>
    <row r="38" spans="1:121" x14ac:dyDescent="0.2">
      <c r="C38" s="75"/>
      <c r="D38" s="75"/>
      <c r="E38" s="75"/>
      <c r="F38" s="75"/>
      <c r="G38" s="75"/>
      <c r="H38" s="75"/>
      <c r="AG38" s="422" t="s">
        <v>70</v>
      </c>
      <c r="AH38" s="510"/>
      <c r="AI38" s="392"/>
      <c r="AJ38" s="392"/>
      <c r="AK38" s="392"/>
      <c r="AL38" s="392"/>
      <c r="AM38" s="423"/>
      <c r="AN38" s="531"/>
      <c r="AO38" s="392"/>
      <c r="AP38" s="423"/>
      <c r="AQ38" s="86"/>
      <c r="AR38" s="16"/>
      <c r="AS38" s="328"/>
      <c r="AT38" s="16"/>
      <c r="AU38" s="295">
        <v>5</v>
      </c>
      <c r="AV38" s="595">
        <f>+'Basic rates'!E11</f>
        <v>52.664865000000006</v>
      </c>
      <c r="AW38" s="595">
        <f>+'Basic rates'!G11</f>
        <v>61.442342499999995</v>
      </c>
      <c r="AX38" s="595">
        <f>+'Basic rates'!I11</f>
        <v>80.383214999999993</v>
      </c>
      <c r="AY38" s="595">
        <f>+'Basic rates'!K11</f>
        <v>52.664865000000006</v>
      </c>
      <c r="AZ38" s="319" t="s">
        <v>92</v>
      </c>
      <c r="BA38" s="16"/>
      <c r="BB38" s="16"/>
      <c r="BC38" s="16"/>
      <c r="BD38" s="16"/>
      <c r="BE38" s="16"/>
      <c r="BF38" s="16"/>
      <c r="BG38" s="327"/>
      <c r="BH38" s="327"/>
      <c r="BI38" s="324"/>
      <c r="BJ38" s="327"/>
      <c r="BK38" s="16"/>
      <c r="BL38" s="16"/>
      <c r="BM38" s="17"/>
      <c r="BR38"/>
      <c r="BS38" s="515">
        <v>5</v>
      </c>
      <c r="BT38"/>
      <c r="BU38"/>
    </row>
    <row r="39" spans="1:121" x14ac:dyDescent="0.2">
      <c r="C39" s="75"/>
      <c r="D39" s="75"/>
      <c r="E39" s="75"/>
      <c r="F39" s="75"/>
      <c r="G39" s="75"/>
      <c r="H39" s="75"/>
      <c r="AG39" s="36" t="s">
        <v>24</v>
      </c>
      <c r="AH39" s="507"/>
      <c r="AI39" s="57">
        <v>7</v>
      </c>
      <c r="AJ39" s="13">
        <f>AH9</f>
        <v>5</v>
      </c>
      <c r="AK39" s="57">
        <f>IF(AI39=AU136,AH10,0)+IF(AI39=AU137,AH10*60%,0)</f>
        <v>0</v>
      </c>
      <c r="AL39" s="252">
        <f>+'Basic rates'!X15</f>
        <v>200</v>
      </c>
      <c r="AM39" s="432">
        <f>IF(OR(AI39=AU136,AI39=AU137),AL39*(AK39*AJ39),0)</f>
        <v>0</v>
      </c>
      <c r="AN39" s="532"/>
      <c r="AO39" s="252"/>
      <c r="AP39" s="103"/>
      <c r="AQ39" s="86"/>
      <c r="AR39" s="86"/>
      <c r="AS39" s="328"/>
      <c r="AT39" s="16"/>
      <c r="AU39" s="295">
        <v>8</v>
      </c>
      <c r="AV39" s="595">
        <f>+'Basic rates'!E12</f>
        <v>63.197837999999997</v>
      </c>
      <c r="AW39" s="595">
        <f>+'Basic rates'!G12</f>
        <v>73.730810999999989</v>
      </c>
      <c r="AX39" s="595">
        <f>+'Basic rates'!I12</f>
        <v>96.459857999999997</v>
      </c>
      <c r="AY39" s="595">
        <f>+'Basic rates'!K12</f>
        <v>63.197837999999997</v>
      </c>
      <c r="AZ39" s="319" t="s">
        <v>92</v>
      </c>
      <c r="BA39" s="16">
        <f>IF(AND(AI41=$AU$150,AH14=$AU$14),$BB$39,$BB$40)</f>
        <v>75</v>
      </c>
      <c r="BB39" s="16">
        <v>125</v>
      </c>
      <c r="BC39" s="16" t="s">
        <v>438</v>
      </c>
      <c r="BD39" s="16"/>
      <c r="BE39" s="16"/>
      <c r="BF39" s="16"/>
      <c r="BG39" s="327"/>
      <c r="BH39" s="327"/>
      <c r="BI39" s="324"/>
      <c r="BJ39" s="327"/>
      <c r="BK39" s="16"/>
      <c r="BL39" s="16"/>
      <c r="BM39" s="17"/>
      <c r="BR39" t="s">
        <v>323</v>
      </c>
      <c r="BS39" s="515">
        <v>1</v>
      </c>
      <c r="BT39"/>
      <c r="BU39"/>
    </row>
    <row r="40" spans="1:121" x14ac:dyDescent="0.2">
      <c r="C40" s="75"/>
      <c r="D40" s="75"/>
      <c r="E40" s="75"/>
      <c r="F40" s="75"/>
      <c r="G40" s="75"/>
      <c r="H40" s="75"/>
      <c r="AG40" s="395">
        <v>4</v>
      </c>
      <c r="AH40" s="506">
        <v>2</v>
      </c>
      <c r="AI40" s="57">
        <v>7</v>
      </c>
      <c r="AJ40" s="13">
        <f>AH9</f>
        <v>5</v>
      </c>
      <c r="AK40" s="57">
        <f>IF(AI40=AW141,AH10,0)+IF(AI40=AW142,AH10*60%,0)</f>
        <v>0</v>
      </c>
      <c r="AL40" s="252">
        <f>IF(AG40=AU141,AV141)+IF(AG40=AU142,AV142)+IF(AG40=AU143,AV143)</f>
        <v>600</v>
      </c>
      <c r="AM40" s="432">
        <f>IF(OR(AI40=AW141,AI40=AW142),AL40*(AJ40*AK40),0)</f>
        <v>0</v>
      </c>
      <c r="AN40" s="532"/>
      <c r="AO40" s="252"/>
      <c r="AP40" s="103"/>
      <c r="AQ40" s="86"/>
      <c r="AR40" s="86"/>
      <c r="AS40" s="328"/>
      <c r="AT40" s="16"/>
      <c r="AU40" s="16"/>
      <c r="AV40" s="330"/>
      <c r="AW40" s="16"/>
      <c r="AX40" s="39"/>
      <c r="AY40" s="16"/>
      <c r="AZ40" s="16"/>
      <c r="BA40" s="16">
        <f>IF((AI41&lt;&gt;AU150),BB41,IF(AND(AI41=$AU$150,AH14=$AU$14),$BB$39,$BB$40))</f>
        <v>0</v>
      </c>
      <c r="BB40" s="197">
        <v>75</v>
      </c>
      <c r="BC40" s="197" t="s">
        <v>439</v>
      </c>
      <c r="BD40" s="197"/>
      <c r="BE40" s="197"/>
      <c r="BF40" s="16"/>
      <c r="BG40" s="327"/>
      <c r="BH40" s="327"/>
      <c r="BI40" s="324"/>
      <c r="BJ40" s="327"/>
      <c r="BK40" s="16"/>
      <c r="BL40" s="16"/>
      <c r="BM40" s="17"/>
      <c r="BR40"/>
      <c r="BS40" s="515">
        <v>2</v>
      </c>
      <c r="BT40"/>
      <c r="BU40"/>
    </row>
    <row r="41" spans="1:121" x14ac:dyDescent="0.2">
      <c r="AG41" s="60" t="s">
        <v>58</v>
      </c>
      <c r="AH41" s="511"/>
      <c r="AI41" s="57">
        <v>3</v>
      </c>
      <c r="AJ41" s="57"/>
      <c r="AK41" s="59">
        <f>AH11</f>
        <v>35</v>
      </c>
      <c r="AL41" s="252">
        <f>+IF(AI41=AU146,AV146)+IF(AI41=AU147,AV147)+IF(AI41=AU148,AV148)+IF(AI41=AU149,AV149)+IF(AI41=AU150,AV150)</f>
        <v>700</v>
      </c>
      <c r="AM41" s="432">
        <f>IF(OR(AI41=AU146,AI41=AU147,AI41=AU148,AI41=AU149),AL41*AK41,0)</f>
        <v>24500</v>
      </c>
      <c r="AN41" s="532"/>
      <c r="AO41" s="252"/>
      <c r="AP41" s="103"/>
      <c r="AQ41" s="86"/>
      <c r="AR41" s="86"/>
      <c r="AS41" s="328"/>
      <c r="AT41" s="16"/>
      <c r="AU41" s="16"/>
      <c r="AV41" s="330"/>
      <c r="AW41" s="16"/>
      <c r="AX41" s="39"/>
      <c r="AY41" s="16"/>
      <c r="AZ41" s="16"/>
      <c r="BA41" s="16"/>
      <c r="BB41" s="197">
        <v>0</v>
      </c>
      <c r="BC41" s="197"/>
      <c r="BD41" s="197"/>
      <c r="BE41" s="197"/>
      <c r="BF41" s="16"/>
      <c r="BG41" s="327"/>
      <c r="BH41" s="327"/>
      <c r="BI41" s="324"/>
      <c r="BJ41" s="327"/>
      <c r="BK41" s="16"/>
      <c r="BL41" s="16"/>
      <c r="BM41" s="17"/>
      <c r="BR41"/>
      <c r="BS41" s="515">
        <v>3</v>
      </c>
      <c r="BT41"/>
      <c r="BU41"/>
    </row>
    <row r="42" spans="1:121" x14ac:dyDescent="0.2">
      <c r="AG42" s="576" t="s">
        <v>64</v>
      </c>
      <c r="AH42" s="577"/>
      <c r="AI42" s="578">
        <v>2</v>
      </c>
      <c r="AJ42" s="578">
        <v>4</v>
      </c>
      <c r="AK42" s="579" t="s">
        <v>13</v>
      </c>
      <c r="AL42" s="580">
        <f>IF(AI42=AW155,0,AQ42)</f>
        <v>0</v>
      </c>
      <c r="AM42" s="581">
        <f>IF(AI42=AW155,0,AL42)</f>
        <v>0</v>
      </c>
      <c r="AN42" s="582"/>
      <c r="AO42" s="580"/>
      <c r="AP42" s="583"/>
      <c r="AQ42" s="86">
        <f>VLOOKUP(AJ42,$AU$154:$AV$156,2,0)</f>
        <v>20500</v>
      </c>
      <c r="AR42" s="86"/>
      <c r="AS42" s="328"/>
      <c r="AT42" s="16"/>
      <c r="AU42" s="711">
        <f>+AU17</f>
        <v>5</v>
      </c>
      <c r="AV42" s="711"/>
      <c r="AW42" s="711"/>
      <c r="AX42" s="711"/>
      <c r="AY42" s="711"/>
      <c r="AZ42" s="711"/>
      <c r="BA42" s="197"/>
      <c r="BB42" s="197"/>
      <c r="BC42" s="197"/>
      <c r="BD42" s="197"/>
      <c r="BE42" s="197"/>
      <c r="BF42" s="197"/>
      <c r="BG42" s="327"/>
      <c r="BH42" s="327"/>
      <c r="BI42" s="324"/>
      <c r="BJ42" s="327"/>
      <c r="BK42" s="16"/>
      <c r="BL42" s="16"/>
      <c r="BM42" s="17"/>
      <c r="BR42"/>
      <c r="BS42" s="515">
        <v>4</v>
      </c>
      <c r="BT42"/>
      <c r="BU42"/>
    </row>
    <row r="43" spans="1:121" x14ac:dyDescent="0.2">
      <c r="AG43" s="60" t="s">
        <v>158</v>
      </c>
      <c r="AH43" s="511"/>
      <c r="AI43" s="57">
        <v>2</v>
      </c>
      <c r="AJ43" s="57">
        <v>2</v>
      </c>
      <c r="AK43" s="59" t="s">
        <v>179</v>
      </c>
      <c r="AL43" s="252">
        <v>60</v>
      </c>
      <c r="AM43" s="432">
        <f>IF(AI43=AW154,AL43*AJ43,0)</f>
        <v>0</v>
      </c>
      <c r="AN43" s="532"/>
      <c r="AO43" s="252"/>
      <c r="AP43" s="103"/>
      <c r="AQ43" s="86"/>
      <c r="AR43" s="86"/>
      <c r="AS43" s="328"/>
      <c r="AT43" s="16" t="s">
        <v>256</v>
      </c>
      <c r="AU43" s="293" t="s">
        <v>242</v>
      </c>
      <c r="AV43" s="370">
        <f>AW16</f>
        <v>4</v>
      </c>
      <c r="AW43" s="591">
        <f>AW19</f>
        <v>7</v>
      </c>
      <c r="AX43" s="591">
        <f>AW22</f>
        <v>10</v>
      </c>
      <c r="AY43" s="591">
        <f>AW25</f>
        <v>13</v>
      </c>
      <c r="AZ43" s="591" t="s">
        <v>91</v>
      </c>
      <c r="BA43" s="197"/>
      <c r="BB43" s="197"/>
      <c r="BC43" s="197"/>
      <c r="BD43" s="197"/>
      <c r="BE43" s="197"/>
      <c r="BF43" s="197"/>
      <c r="BG43" s="327"/>
      <c r="BH43" s="327"/>
      <c r="BI43" s="324"/>
      <c r="BJ43" s="327"/>
      <c r="BK43" s="16"/>
      <c r="BL43" s="16"/>
      <c r="BM43" s="17"/>
      <c r="BR43"/>
      <c r="BS43" s="515">
        <v>5</v>
      </c>
      <c r="BT43"/>
      <c r="BU43"/>
    </row>
    <row r="44" spans="1:121" ht="12.75" x14ac:dyDescent="0.2">
      <c r="AG44" s="60" t="s">
        <v>301</v>
      </c>
      <c r="AH44" s="511"/>
      <c r="AI44" s="57">
        <f>IF(AI52=BE195,AH11,0)</f>
        <v>0</v>
      </c>
      <c r="AJ44" s="57"/>
      <c r="AK44" s="57" t="s">
        <v>302</v>
      </c>
      <c r="AL44" s="252">
        <v>500</v>
      </c>
      <c r="AM44" s="432">
        <f>AL44*AI44</f>
        <v>0</v>
      </c>
      <c r="AN44" s="532"/>
      <c r="AO44" s="252"/>
      <c r="AP44" s="103"/>
      <c r="AQ44" s="86" t="s">
        <v>324</v>
      </c>
      <c r="AR44" s="86"/>
      <c r="AS44" s="328"/>
      <c r="AT44" s="331">
        <v>1.2</v>
      </c>
      <c r="AU44" s="295">
        <v>6</v>
      </c>
      <c r="AV44" s="595">
        <f>+'Basic rates'!E17</f>
        <v>58.410123000000013</v>
      </c>
      <c r="AW44" s="595">
        <f>+'Basic rates'!G17</f>
        <v>68.145143500000003</v>
      </c>
      <c r="AX44" s="595">
        <f>+'Basic rates'!I17</f>
        <v>89.152293</v>
      </c>
      <c r="AY44" s="595">
        <f>+'Basic rates'!K17</f>
        <v>58.410123000000013</v>
      </c>
      <c r="AZ44" s="319" t="s">
        <v>92</v>
      </c>
      <c r="BF44" s="327"/>
      <c r="BG44" s="327"/>
      <c r="BH44" s="327"/>
      <c r="BI44" s="16"/>
      <c r="BJ44" s="327"/>
      <c r="BK44" s="16"/>
      <c r="BL44" s="16"/>
      <c r="BM44" s="17"/>
      <c r="BR44"/>
      <c r="BS44"/>
      <c r="BT44"/>
      <c r="BU44"/>
      <c r="DO44" s="75"/>
      <c r="DP44" s="75"/>
      <c r="DQ44" s="75"/>
    </row>
    <row r="45" spans="1:121" ht="16.5" thickBot="1" x14ac:dyDescent="0.25">
      <c r="AG45" s="60" t="s">
        <v>126</v>
      </c>
      <c r="AH45" s="511"/>
      <c r="AI45" s="57"/>
      <c r="AJ45" s="57">
        <v>0</v>
      </c>
      <c r="AK45" s="59">
        <f>AH11</f>
        <v>35</v>
      </c>
      <c r="AL45" s="15"/>
      <c r="AM45" s="37">
        <f>AK45*AJ45</f>
        <v>0</v>
      </c>
      <c r="AN45" s="533"/>
      <c r="AO45" s="390"/>
      <c r="AP45" s="37"/>
      <c r="AQ45" s="86"/>
      <c r="AR45" s="86"/>
      <c r="AS45" s="328"/>
      <c r="AT45" s="331">
        <v>1</v>
      </c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327"/>
      <c r="BG45" s="327"/>
      <c r="BH45" s="327"/>
      <c r="BI45" s="16"/>
      <c r="BJ45" s="327"/>
      <c r="BK45" s="16"/>
      <c r="BL45" s="16"/>
      <c r="BM45" s="17"/>
      <c r="BR45"/>
      <c r="BS45" s="515">
        <v>1</v>
      </c>
      <c r="BT45"/>
      <c r="BU45"/>
      <c r="DO45" s="75"/>
      <c r="DP45" s="75"/>
      <c r="DQ45" s="75"/>
    </row>
    <row r="46" spans="1:121" ht="16.5" thickBot="1" x14ac:dyDescent="0.25">
      <c r="AG46" s="765" t="s">
        <v>63</v>
      </c>
      <c r="AH46" s="766"/>
      <c r="AI46" s="766"/>
      <c r="AJ46" s="766"/>
      <c r="AK46" s="766"/>
      <c r="AL46" s="767"/>
      <c r="AM46" s="264">
        <f>SUM(AM37:AM45)</f>
        <v>58467.28</v>
      </c>
      <c r="AN46" s="534">
        <f>CEILING((AM46/$AH$11),1)</f>
        <v>1671</v>
      </c>
      <c r="AO46" s="407"/>
      <c r="AP46" s="264"/>
      <c r="AQ46" s="86"/>
      <c r="AR46" s="86"/>
      <c r="AS46" s="328"/>
      <c r="AT46" s="331">
        <v>0.9</v>
      </c>
      <c r="AU46" s="197"/>
      <c r="AV46" s="197"/>
      <c r="AW46" s="197"/>
      <c r="AX46" s="197"/>
      <c r="AY46" s="197"/>
      <c r="AZ46" s="197"/>
      <c r="BA46" s="197"/>
      <c r="BB46" s="197"/>
      <c r="BC46" s="197"/>
      <c r="BD46" s="197"/>
      <c r="BE46" s="197"/>
      <c r="BF46" s="240"/>
      <c r="BG46" s="240"/>
      <c r="BH46" s="240"/>
      <c r="BI46" s="197"/>
      <c r="BJ46" s="327"/>
      <c r="BK46" s="16"/>
      <c r="BL46" s="16"/>
      <c r="BM46" s="17"/>
      <c r="BR46"/>
      <c r="BS46" s="515">
        <v>2</v>
      </c>
      <c r="BT46"/>
      <c r="BU46"/>
      <c r="DO46" s="75"/>
      <c r="DP46" s="75"/>
      <c r="DQ46" s="75"/>
    </row>
    <row r="47" spans="1:121" ht="16.5" thickBot="1" x14ac:dyDescent="0.25">
      <c r="AG47" s="426" t="s">
        <v>150</v>
      </c>
      <c r="AH47" s="512"/>
      <c r="AI47" s="401"/>
      <c r="AJ47" s="401"/>
      <c r="AK47" s="402"/>
      <c r="AL47" s="403">
        <v>0</v>
      </c>
      <c r="AM47" s="539">
        <f>(AM46*AL47)</f>
        <v>0</v>
      </c>
      <c r="AN47" s="535"/>
      <c r="AO47" s="404"/>
      <c r="AP47" s="169"/>
      <c r="AQ47" s="86"/>
      <c r="AR47" s="86"/>
      <c r="AS47" s="328"/>
      <c r="AT47" s="331">
        <v>0.8</v>
      </c>
      <c r="AU47" s="197"/>
      <c r="AV47" s="197"/>
      <c r="AW47" s="197"/>
      <c r="AX47" s="197"/>
      <c r="AY47" s="599"/>
      <c r="AZ47" s="197"/>
      <c r="BA47" s="197"/>
      <c r="BB47" s="197"/>
      <c r="BC47" s="197"/>
      <c r="BD47" s="197"/>
      <c r="BE47" s="197"/>
      <c r="BF47" s="240"/>
      <c r="BG47" s="240"/>
      <c r="BH47" s="240"/>
      <c r="BI47" s="197"/>
      <c r="BJ47" s="327"/>
      <c r="BK47" s="16"/>
      <c r="BL47" s="16"/>
      <c r="BM47" s="17"/>
      <c r="BR47"/>
      <c r="BS47" s="515">
        <v>3</v>
      </c>
      <c r="BT47"/>
      <c r="BU47"/>
      <c r="DO47" s="75"/>
      <c r="DP47" s="75"/>
      <c r="DQ47" s="75"/>
    </row>
    <row r="48" spans="1:121" ht="16.5" thickBot="1" x14ac:dyDescent="0.25">
      <c r="AG48" s="768" t="s">
        <v>63</v>
      </c>
      <c r="AH48" s="769"/>
      <c r="AI48" s="769"/>
      <c r="AJ48" s="769"/>
      <c r="AK48" s="769"/>
      <c r="AL48" s="770"/>
      <c r="AM48" s="540">
        <f>SUM(AM46:AM47)</f>
        <v>58467.28</v>
      </c>
      <c r="AN48" s="534">
        <f>CEILING((AM48/$AH$11),1)</f>
        <v>1671</v>
      </c>
      <c r="AO48" s="407"/>
      <c r="AP48" s="264"/>
      <c r="AQ48" s="86"/>
      <c r="AR48" s="86"/>
      <c r="AS48" s="328"/>
      <c r="AT48" s="331">
        <v>0.7</v>
      </c>
      <c r="AU48" s="197"/>
      <c r="AV48" s="197"/>
      <c r="AW48" s="197"/>
      <c r="AX48" s="197"/>
      <c r="AY48" s="197"/>
      <c r="AZ48" s="197"/>
      <c r="BA48" s="197"/>
      <c r="BB48" s="197"/>
      <c r="BC48" s="197"/>
      <c r="BD48" s="197"/>
      <c r="BE48" s="197"/>
      <c r="BF48" s="240"/>
      <c r="BG48" s="240"/>
      <c r="BH48" s="240"/>
      <c r="BI48" s="197"/>
      <c r="BJ48" s="327"/>
      <c r="BK48" s="16"/>
      <c r="BL48" s="16"/>
      <c r="BM48" s="17"/>
      <c r="BR48"/>
      <c r="BS48" s="515">
        <v>4</v>
      </c>
      <c r="BT48"/>
      <c r="BU48"/>
      <c r="DO48" s="75"/>
      <c r="DP48" s="75"/>
      <c r="DQ48" s="75"/>
    </row>
    <row r="49" spans="1:136" ht="16.5" thickBot="1" x14ac:dyDescent="0.25">
      <c r="AH49" s="1"/>
      <c r="AI49" s="2"/>
      <c r="AN49" s="452"/>
      <c r="AO49" s="500"/>
      <c r="AP49" s="503"/>
      <c r="AQ49" s="86"/>
      <c r="AR49" s="86"/>
      <c r="AS49" s="328"/>
      <c r="AT49" s="16"/>
      <c r="AU49" s="319"/>
      <c r="AV49" s="775" t="s">
        <v>247</v>
      </c>
      <c r="AW49" s="775"/>
      <c r="AX49" s="775"/>
      <c r="AY49" s="775" t="s">
        <v>248</v>
      </c>
      <c r="AZ49" s="775"/>
      <c r="BA49" s="775"/>
      <c r="BB49" s="591"/>
      <c r="BC49" s="591"/>
      <c r="BD49" s="16"/>
      <c r="BE49" s="16"/>
      <c r="BF49" s="16"/>
      <c r="BG49" s="16"/>
      <c r="BH49" s="16"/>
      <c r="BI49" s="16"/>
      <c r="BJ49" s="197"/>
      <c r="BK49" s="327"/>
      <c r="BL49" s="16"/>
      <c r="BM49" s="17"/>
      <c r="BR49"/>
      <c r="BS49" s="515">
        <v>5</v>
      </c>
      <c r="BT49"/>
      <c r="BU49"/>
      <c r="DO49" s="75"/>
      <c r="DP49" s="75"/>
      <c r="DQ49" s="75"/>
    </row>
    <row r="50" spans="1:136" ht="14.25" x14ac:dyDescent="0.2">
      <c r="AG50" s="771" t="s">
        <v>130</v>
      </c>
      <c r="AH50" s="772"/>
      <c r="AI50" s="772"/>
      <c r="AJ50" s="772"/>
      <c r="AK50" s="772"/>
      <c r="AL50" s="772"/>
      <c r="AM50" s="772"/>
      <c r="AN50" s="772"/>
      <c r="AO50" s="772"/>
      <c r="AP50" s="773"/>
      <c r="AQ50" s="86"/>
      <c r="AR50" s="86"/>
      <c r="AS50" s="328"/>
      <c r="AT50" s="16" t="s">
        <v>257</v>
      </c>
      <c r="AU50" s="293" t="s">
        <v>250</v>
      </c>
      <c r="AV50" s="310">
        <v>2</v>
      </c>
      <c r="AW50" s="311">
        <v>3</v>
      </c>
      <c r="AX50" s="6">
        <v>4</v>
      </c>
      <c r="AY50" s="310">
        <v>2</v>
      </c>
      <c r="AZ50" s="311">
        <v>3</v>
      </c>
      <c r="BA50" s="6">
        <v>4</v>
      </c>
      <c r="BB50" s="591" t="s">
        <v>91</v>
      </c>
      <c r="BC50" s="298">
        <v>2</v>
      </c>
      <c r="BD50" s="16"/>
      <c r="BE50" s="16"/>
      <c r="BF50" s="16"/>
      <c r="BG50" s="16"/>
      <c r="BH50" s="16"/>
      <c r="BI50" s="16"/>
      <c r="BK50" s="324"/>
      <c r="BL50" s="327"/>
      <c r="BM50" s="17"/>
      <c r="DP50" s="75"/>
      <c r="DQ50" s="75"/>
      <c r="DR50" s="75"/>
    </row>
    <row r="51" spans="1:136" ht="12.75" x14ac:dyDescent="0.2">
      <c r="AG51" s="61"/>
      <c r="AH51" s="285"/>
      <c r="AI51" s="7" t="s">
        <v>201</v>
      </c>
      <c r="AJ51" s="186" t="s">
        <v>200</v>
      </c>
      <c r="AK51" s="7" t="s">
        <v>198</v>
      </c>
      <c r="AL51" s="186" t="s">
        <v>317</v>
      </c>
      <c r="AM51" s="7"/>
      <c r="AN51" s="431"/>
      <c r="AO51" s="7" t="s">
        <v>316</v>
      </c>
      <c r="AP51" s="431"/>
      <c r="AQ51" s="86"/>
      <c r="AR51" s="86"/>
      <c r="AS51" s="517"/>
      <c r="AT51" s="324">
        <v>75</v>
      </c>
      <c r="AU51" s="591" t="s">
        <v>305</v>
      </c>
      <c r="AV51" s="595">
        <f>+'Basic rates'!G22</f>
        <v>237.30300000000003</v>
      </c>
      <c r="AW51" s="595">
        <f>+'Basic rates'!H22</f>
        <v>346.30300000000005</v>
      </c>
      <c r="AX51" s="595">
        <f>+'Basic rates'!I22</f>
        <v>335.11896000000002</v>
      </c>
      <c r="AY51" s="595">
        <f>+'Basic rates'!J22</f>
        <v>251.26200000000006</v>
      </c>
      <c r="AZ51" s="595">
        <f>+'Basic rates'!K22</f>
        <v>360.26200000000006</v>
      </c>
      <c r="BA51" s="595">
        <f>+'Basic rates'!L22</f>
        <v>354.83184000000006</v>
      </c>
      <c r="BB51" s="591" t="s">
        <v>92</v>
      </c>
      <c r="BC51" s="298">
        <v>3</v>
      </c>
      <c r="BD51" s="16"/>
      <c r="BE51" s="16"/>
      <c r="BF51" s="16"/>
      <c r="BG51" s="16"/>
      <c r="BH51" s="16"/>
      <c r="BI51" s="16"/>
      <c r="BK51" s="324"/>
      <c r="BL51" s="327"/>
      <c r="BM51" s="17"/>
      <c r="CS51" s="75"/>
      <c r="CT51" s="75"/>
      <c r="CU51" s="75"/>
      <c r="CV51" s="75"/>
      <c r="CW51" s="75"/>
      <c r="CX51" s="75"/>
      <c r="CY51" s="75"/>
      <c r="CZ51" s="75"/>
      <c r="DA51" s="75"/>
      <c r="DB51" s="75"/>
      <c r="DR51" s="75"/>
      <c r="DS51" s="75"/>
      <c r="DT51" s="75"/>
    </row>
    <row r="52" spans="1:136" ht="12.75" x14ac:dyDescent="0.2">
      <c r="AG52" s="56" t="s">
        <v>128</v>
      </c>
      <c r="AH52" s="513"/>
      <c r="AI52" s="575">
        <v>2</v>
      </c>
      <c r="AJ52" s="267">
        <f>+IF(AND(AI52=BE192,AL52&lt;600),AT189)+IF(AND(AI52=BE192,AL52&gt;600.01,AL52&lt;800),AT190)+IF(AND(AI52=BE192,AL52&gt;800.01,AL52&lt;1000),AT191)+IF(AND(AI52=BE192,AL52&gt;1000.01,AL52&lt;1300),AT192)+IF(AND(AI52=BE192,AL52&gt;1300.01,AL52&lt;1500),AT193)+IF(AND(AI52=BE192,AL52&gt;1500.01,AL52&lt;2000),AT194)+IF(AND(AI52=BE192,AL52&gt;2000.01,AL52&lt;5500),AT195)+IF(AND(AI52=BE193,AL52&lt;170),AT196)+IF(AND(AI52=BE193,AL52&gt;170.01,AL52&lt;250),AT197)+IF(AND(AI52=BE193,AL52&gt;250.01,AL52&lt;350),AT198)+IF(AND(AI52=BE193,AL52&gt;350.01,AL52&lt;500),AT199)+IF(AND(AI52=BE193,AL52&gt;500.01,AL52&lt;750),AT200)+IF(AND(AI52=BE193,AL52&gt;750.01,AL52&lt;1400),AT201)+IF(AND(AI52=BE193,AL52&gt;1400.01,AL52&lt;2200),AT202)+IF(AND(AI52=BE194,AL52&lt;170),AT196)+IF(AND(AI52=BE194,AL52&gt;170.01,AL52&lt;250),AT197)+IF(AND(AI52=BE194,AL52&gt;250.01,AL52&lt;350),AT198)+IF(AND(AI52=BE194,AL52&gt;350.01,AL52&lt;500),AT199)+IF(AND(AI52=BE194,AL52&gt;500.01,AL52&lt;750),AT200)+IF(AND(AI52=BE194,AL52&gt;750.01,AL52&lt;1400),AT201)+IF(AND(AI52=BE194,AL52&gt;1400.01,AL52&lt;2200),AT202)</f>
        <v>750</v>
      </c>
      <c r="AK52" s="8">
        <v>2</v>
      </c>
      <c r="AL52" s="252">
        <f>+IF(AI52=BE192,AO52*2)+IF(AI52=BE193,AO52)+IF(AI52=BE194,AO52)</f>
        <v>583.95674724999992</v>
      </c>
      <c r="AM52" s="252">
        <f>IF(AJ52=AT189,AZ189)+IF(AJ52=AT190,AZ190)+IF(AJ52=AT191,AZ191)+IF(AJ52=AT192,AZ192)+IF(AJ52=AT193,AZ193)+IF(AJ52=AT194,AZ194)+IF(AJ52=AT195,AZ195)+IF(AJ52=AT196,AZ196)+IF(AJ52=AT197,AZ197)+IF(AJ52=AT198,AZ198)+IF(AJ52=AT199,AZ199)+IF(AJ52=AT200,AZ200)+IF(AJ52=AT201,AZ201)+IF(AJ52=AT202,AZ202)</f>
        <v>88215.434999999998</v>
      </c>
      <c r="AN52" s="432"/>
      <c r="AO52" s="252">
        <f>AO22+AO26+AO27+AO28</f>
        <v>583.95674724999992</v>
      </c>
      <c r="AP52" s="432"/>
      <c r="AQ52" s="86"/>
      <c r="AR52" s="86"/>
      <c r="AS52" s="328"/>
      <c r="AT52" s="324">
        <v>100</v>
      </c>
      <c r="AU52" s="591" t="s">
        <v>94</v>
      </c>
      <c r="AV52" s="595">
        <f>+'Basic rates'!G23</f>
        <v>303.50100000000003</v>
      </c>
      <c r="AW52" s="595">
        <f>+'Basic rates'!H23</f>
        <v>412.50100000000003</v>
      </c>
      <c r="AX52" s="595">
        <f>+'Basic rates'!I23</f>
        <v>330.70950000000005</v>
      </c>
      <c r="AY52" s="595">
        <f>+'Basic rates'!J23</f>
        <v>321.35400000000004</v>
      </c>
      <c r="AZ52" s="595">
        <f>+'Basic rates'!K23</f>
        <v>430.35400000000004</v>
      </c>
      <c r="BA52" s="595">
        <f>+'Basic rates'!L23</f>
        <v>459.16300000000007</v>
      </c>
      <c r="BB52" s="591" t="s">
        <v>92</v>
      </c>
      <c r="BC52" s="298">
        <v>4</v>
      </c>
      <c r="BD52" s="16"/>
      <c r="BE52" s="16"/>
      <c r="BF52" s="16"/>
      <c r="BG52" s="16"/>
      <c r="BH52" s="16"/>
      <c r="BI52" s="16"/>
      <c r="BK52" s="324"/>
      <c r="BL52" s="327"/>
      <c r="BM52" s="17"/>
      <c r="DA52" s="75"/>
      <c r="DB52" s="75"/>
      <c r="DC52" s="75"/>
      <c r="DD52" s="75"/>
      <c r="DE52" s="75"/>
      <c r="DF52" s="75"/>
      <c r="DG52" s="75"/>
      <c r="DH52" s="75"/>
      <c r="DI52" s="75"/>
      <c r="DJ52" s="75"/>
      <c r="DK52" s="75"/>
      <c r="DL52" s="75"/>
      <c r="DM52" s="75"/>
      <c r="DN52" s="75"/>
      <c r="DO52" s="75"/>
      <c r="DP52" s="75"/>
      <c r="DQ52" s="75"/>
      <c r="DR52" s="75"/>
      <c r="DS52" s="75"/>
      <c r="DT52" s="75"/>
      <c r="DU52" s="75"/>
      <c r="DV52" s="75"/>
      <c r="DW52" s="75"/>
      <c r="DX52" s="75"/>
      <c r="DY52" s="75"/>
    </row>
    <row r="53" spans="1:136" ht="12.75" x14ac:dyDescent="0.2">
      <c r="AG53" s="135" t="s">
        <v>127</v>
      </c>
      <c r="AH53" s="514"/>
      <c r="AI53" s="438"/>
      <c r="AJ53" s="438"/>
      <c r="AK53" s="438"/>
      <c r="AL53" s="438"/>
      <c r="AM53" s="439">
        <f>(IF(AND(AI52=BE192,AK52=BE190),18000)+IF(AND(AI52=BE193,AK52=BE190),34000)+IF(AND(AI52=BE194,AK52=BE190),34000))*0.25</f>
        <v>8500</v>
      </c>
      <c r="AN53" s="440"/>
      <c r="AO53" s="439"/>
      <c r="AP53" s="440"/>
      <c r="AQ53" s="86"/>
      <c r="AR53" s="86"/>
      <c r="AS53" s="328"/>
      <c r="AT53" s="324">
        <v>150</v>
      </c>
      <c r="AU53" s="591" t="s">
        <v>95</v>
      </c>
      <c r="AV53" s="595">
        <f>+'Basic rates'!G24</f>
        <v>435.89699999999999</v>
      </c>
      <c r="AW53" s="595">
        <f>+'Basic rates'!H24</f>
        <v>544.89700000000005</v>
      </c>
      <c r="AX53" s="595">
        <f>+'Basic rates'!I24</f>
        <v>396.85140000000001</v>
      </c>
      <c r="AY53" s="595">
        <f>+'Basic rates'!J24</f>
        <v>461.53800000000001</v>
      </c>
      <c r="AZ53" s="595">
        <f>+'Basic rates'!K24</f>
        <v>570.53800000000001</v>
      </c>
      <c r="BA53" s="595">
        <f>+'Basic rates'!L24</f>
        <v>529.19560000000001</v>
      </c>
      <c r="BB53" s="591" t="s">
        <v>92</v>
      </c>
      <c r="BC53" s="591">
        <v>5</v>
      </c>
      <c r="BD53" s="16"/>
      <c r="BE53" s="16"/>
      <c r="BF53" s="16"/>
      <c r="BG53" s="16"/>
      <c r="BH53" s="16"/>
      <c r="BI53" s="16"/>
      <c r="BK53" s="324"/>
      <c r="BL53" s="327"/>
      <c r="BM53" s="17"/>
      <c r="DB53" s="75"/>
      <c r="DC53" s="75"/>
      <c r="DD53" s="75"/>
      <c r="DE53" s="75"/>
      <c r="DF53" s="75"/>
      <c r="DG53" s="75"/>
      <c r="DH53" s="75"/>
      <c r="DI53" s="75"/>
      <c r="DJ53" s="75"/>
      <c r="DK53" s="75"/>
      <c r="DL53" s="75"/>
      <c r="DM53" s="75"/>
      <c r="DN53" s="75"/>
      <c r="DO53" s="75"/>
      <c r="DP53" s="75"/>
      <c r="DQ53" s="75"/>
      <c r="DR53" s="75"/>
      <c r="DS53" s="75"/>
      <c r="DT53" s="75"/>
      <c r="DU53" s="75"/>
      <c r="DV53" s="75"/>
      <c r="DW53" s="75"/>
      <c r="DX53" s="75"/>
      <c r="DY53" s="75"/>
      <c r="DZ53" s="75"/>
    </row>
    <row r="54" spans="1:136" ht="13.5" thickBot="1" x14ac:dyDescent="0.25">
      <c r="AG54" s="427" t="s">
        <v>208</v>
      </c>
      <c r="AH54" s="508"/>
      <c r="AI54" s="442"/>
      <c r="AJ54" s="442"/>
      <c r="AK54" s="442"/>
      <c r="AL54" s="442"/>
      <c r="AM54" s="443">
        <f>IF(AI52=BE194,20000,0)*0.65</f>
        <v>0</v>
      </c>
      <c r="AN54" s="444"/>
      <c r="AO54" s="443"/>
      <c r="AP54" s="444"/>
      <c r="AQ54" s="86"/>
      <c r="AR54" s="86"/>
      <c r="AS54" s="328"/>
      <c r="AT54" s="16"/>
      <c r="AU54" s="16"/>
      <c r="AV54" s="16"/>
      <c r="AW54" s="16"/>
      <c r="AX54" s="39"/>
      <c r="AY54" s="16"/>
      <c r="AZ54" s="16"/>
      <c r="BA54" s="16"/>
      <c r="BB54" s="16"/>
      <c r="BC54" s="16"/>
      <c r="BD54" s="16"/>
      <c r="BE54" s="16"/>
      <c r="BF54" s="16"/>
      <c r="BG54" s="327"/>
      <c r="BH54" s="327"/>
      <c r="BI54" s="324"/>
      <c r="BJ54" s="327"/>
      <c r="BK54" s="16"/>
      <c r="BL54" s="16"/>
      <c r="BM54" s="17"/>
      <c r="CY54" s="75"/>
      <c r="CZ54" s="75"/>
      <c r="DA54" s="75"/>
      <c r="DB54" s="75"/>
      <c r="DC54" s="75"/>
      <c r="DD54" s="75"/>
      <c r="DE54" s="75"/>
      <c r="DF54" s="75"/>
      <c r="DG54" s="75"/>
      <c r="DH54" s="75"/>
      <c r="DI54" s="75"/>
      <c r="DJ54" s="75"/>
      <c r="DK54" s="75"/>
      <c r="DL54" s="75"/>
      <c r="DM54" s="75"/>
      <c r="DN54" s="75"/>
      <c r="DO54" s="75"/>
      <c r="DP54" s="75"/>
      <c r="DQ54" s="75"/>
      <c r="DR54" s="75"/>
      <c r="DS54" s="75"/>
      <c r="DT54" s="75"/>
      <c r="DU54" s="75"/>
      <c r="DV54" s="75"/>
      <c r="DW54" s="75"/>
      <c r="DX54" s="75"/>
      <c r="DY54" s="75"/>
      <c r="DZ54" s="75"/>
      <c r="EA54" s="75"/>
      <c r="EB54" s="75"/>
      <c r="EC54" s="75"/>
    </row>
    <row r="55" spans="1:136" ht="13.5" thickBot="1" x14ac:dyDescent="0.25">
      <c r="AG55" s="768" t="s">
        <v>148</v>
      </c>
      <c r="AH55" s="769"/>
      <c r="AI55" s="769"/>
      <c r="AJ55" s="769"/>
      <c r="AK55" s="769"/>
      <c r="AL55" s="770"/>
      <c r="AM55" s="525">
        <f>+SUM(AM52:AM54)</f>
        <v>96715.434999999998</v>
      </c>
      <c r="AN55" s="407">
        <f>CEILING((AM55/$AH$11),1)</f>
        <v>2764</v>
      </c>
      <c r="AO55" s="407"/>
      <c r="AP55" s="264"/>
      <c r="AQ55" s="86"/>
      <c r="AR55" s="86"/>
      <c r="AS55" s="328"/>
      <c r="AT55" s="16"/>
      <c r="AU55" s="16"/>
      <c r="AV55" s="16"/>
      <c r="AW55" s="16"/>
      <c r="AX55" s="39"/>
      <c r="AY55" s="16"/>
      <c r="AZ55" s="16"/>
      <c r="BA55" s="16"/>
      <c r="BB55" s="16"/>
      <c r="BC55" s="16"/>
      <c r="BD55" s="16"/>
      <c r="BE55" s="16"/>
      <c r="BF55" s="16"/>
      <c r="BG55" s="327"/>
      <c r="BH55" s="327"/>
      <c r="BI55" s="324"/>
      <c r="BJ55" s="327"/>
      <c r="BK55" s="16"/>
      <c r="BL55" s="16"/>
      <c r="BM55" s="17"/>
      <c r="CY55" s="75"/>
      <c r="CZ55" s="75"/>
      <c r="DA55" s="75"/>
      <c r="DB55" s="75"/>
      <c r="DC55" s="75"/>
      <c r="DD55" s="75"/>
      <c r="DE55" s="75"/>
      <c r="DF55" s="75"/>
      <c r="DG55" s="75"/>
      <c r="DH55" s="75"/>
      <c r="DI55" s="75"/>
      <c r="DJ55" s="75"/>
      <c r="DK55" s="75"/>
      <c r="DL55" s="75"/>
      <c r="DM55" s="75"/>
      <c r="DN55" s="75"/>
      <c r="DO55" s="75"/>
      <c r="DP55" s="75"/>
      <c r="DQ55" s="75"/>
      <c r="DR55" s="75"/>
      <c r="DS55" s="75"/>
      <c r="DT55" s="75"/>
      <c r="DU55" s="75"/>
      <c r="DV55" s="75"/>
      <c r="DW55" s="75"/>
      <c r="DX55" s="75"/>
      <c r="DY55" s="75"/>
      <c r="DZ55" s="75"/>
    </row>
    <row r="56" spans="1:136" ht="12.75" x14ac:dyDescent="0.2">
      <c r="AH56" s="1"/>
      <c r="AI56" s="2"/>
      <c r="AQ56" s="86"/>
      <c r="AR56" s="86"/>
      <c r="AS56" s="328"/>
      <c r="AT56" s="16"/>
      <c r="AU56" s="16"/>
      <c r="AV56" s="16"/>
      <c r="AW56" s="16"/>
      <c r="AX56" s="39"/>
      <c r="AY56" s="16"/>
      <c r="AZ56" s="16"/>
      <c r="BA56" s="16"/>
      <c r="BB56" s="16"/>
      <c r="BC56" s="16"/>
      <c r="BD56" s="16"/>
      <c r="BE56" s="16"/>
      <c r="BF56" s="16"/>
      <c r="BG56" s="327"/>
      <c r="BH56" s="327"/>
      <c r="BI56" s="324"/>
      <c r="BJ56" s="327"/>
      <c r="BK56" s="16"/>
      <c r="BL56" s="16"/>
      <c r="BM56" s="17"/>
      <c r="CZ56" s="75"/>
      <c r="DA56" s="75"/>
      <c r="DB56" s="75"/>
      <c r="DC56" s="75"/>
      <c r="DD56" s="75"/>
      <c r="DE56" s="75"/>
      <c r="DF56" s="75"/>
      <c r="DG56" s="75"/>
      <c r="DH56" s="75"/>
      <c r="DI56" s="75"/>
      <c r="DJ56" s="75"/>
      <c r="DK56" s="75"/>
      <c r="DL56" s="75"/>
      <c r="DM56" s="75"/>
      <c r="DN56" s="75"/>
      <c r="DO56" s="75"/>
      <c r="DP56" s="75"/>
      <c r="DQ56" s="75"/>
      <c r="DR56" s="75"/>
      <c r="DS56" s="75"/>
      <c r="DT56" s="75"/>
      <c r="DU56" s="75"/>
      <c r="DV56" s="75"/>
      <c r="DW56" s="75"/>
      <c r="DX56" s="75"/>
      <c r="DY56" s="75"/>
      <c r="DZ56" s="75"/>
      <c r="EA56" s="75"/>
    </row>
    <row r="57" spans="1:136" ht="14.25" x14ac:dyDescent="0.2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74" t="s">
        <v>131</v>
      </c>
      <c r="AH57" s="774"/>
      <c r="AI57" s="774"/>
      <c r="AJ57" s="774"/>
      <c r="AK57" s="774"/>
      <c r="AL57" s="774"/>
      <c r="AM57" s="774"/>
      <c r="AN57" s="774"/>
      <c r="AO57" s="774"/>
      <c r="AP57" s="774"/>
      <c r="AQ57" s="75"/>
      <c r="AR57" s="197"/>
      <c r="AS57" s="328"/>
      <c r="AT57" s="16" t="s">
        <v>258</v>
      </c>
      <c r="AU57" s="293" t="s">
        <v>169</v>
      </c>
      <c r="AV57" s="611" t="s">
        <v>259</v>
      </c>
      <c r="AW57" s="11" t="s">
        <v>260</v>
      </c>
      <c r="AX57" s="591" t="s">
        <v>91</v>
      </c>
      <c r="AY57" s="298">
        <v>2</v>
      </c>
      <c r="BC57" s="16"/>
      <c r="BD57" s="16"/>
      <c r="BE57" s="16"/>
      <c r="BF57" s="16"/>
      <c r="BG57" s="327"/>
      <c r="BH57" s="327"/>
      <c r="BI57" s="327"/>
      <c r="BJ57" s="327"/>
      <c r="BK57" s="327"/>
      <c r="BL57" s="16"/>
      <c r="BM57" s="17"/>
      <c r="CX57" s="75"/>
      <c r="CY57" s="75"/>
      <c r="CZ57" s="75"/>
      <c r="DA57" s="75"/>
      <c r="DB57" s="75"/>
      <c r="DC57" s="75"/>
      <c r="DD57" s="75"/>
      <c r="DE57" s="75"/>
      <c r="DF57" s="75"/>
      <c r="DG57" s="75"/>
      <c r="DH57" s="75"/>
      <c r="DI57" s="75"/>
      <c r="DJ57" s="75"/>
      <c r="DK57" s="75"/>
      <c r="DL57" s="75"/>
      <c r="DM57" s="75"/>
      <c r="DN57" s="75"/>
      <c r="DO57" s="75"/>
      <c r="DP57" s="75"/>
      <c r="DQ57" s="75"/>
      <c r="DR57" s="75"/>
      <c r="DS57" s="75"/>
      <c r="DT57" s="75"/>
      <c r="DU57" s="75"/>
      <c r="DV57" s="75"/>
      <c r="DW57" s="75"/>
      <c r="DX57" s="75"/>
      <c r="DY57" s="75"/>
    </row>
    <row r="58" spans="1:136" ht="12.75" x14ac:dyDescent="0.2">
      <c r="AG58" s="745" t="s">
        <v>329</v>
      </c>
      <c r="AH58" s="746"/>
      <c r="AI58" s="747"/>
      <c r="AJ58" s="520" t="s">
        <v>179</v>
      </c>
      <c r="AK58" s="521">
        <v>0</v>
      </c>
      <c r="AL58" s="522">
        <v>3000</v>
      </c>
      <c r="AM58" s="522">
        <f>+AK58*AL58</f>
        <v>0</v>
      </c>
      <c r="AQ58" s="86"/>
      <c r="AR58" s="86"/>
      <c r="AS58" s="328"/>
      <c r="AT58" s="16"/>
      <c r="AU58" s="591" t="s">
        <v>96</v>
      </c>
      <c r="AV58" s="595">
        <f>+'Basic rates'!E27</f>
        <v>312.907848</v>
      </c>
      <c r="AW58" s="595">
        <f>+'Basic rates'!F27</f>
        <v>331.31419199999999</v>
      </c>
      <c r="AX58" s="591" t="s">
        <v>92</v>
      </c>
      <c r="AY58" s="298">
        <v>3</v>
      </c>
      <c r="BC58" s="16"/>
      <c r="BD58" s="16"/>
      <c r="BE58" s="16"/>
      <c r="BF58" s="16"/>
      <c r="BG58" s="327"/>
      <c r="BH58" s="327"/>
      <c r="BI58" s="327"/>
      <c r="BJ58" s="327"/>
      <c r="BK58" s="327"/>
      <c r="BL58" s="16"/>
      <c r="BM58" s="17"/>
      <c r="CZ58" s="75"/>
      <c r="DA58" s="75"/>
      <c r="DB58" s="75"/>
      <c r="DC58" s="75"/>
      <c r="DD58" s="75"/>
      <c r="DE58" s="75"/>
      <c r="DF58" s="75"/>
      <c r="DG58" s="75"/>
      <c r="DH58" s="75"/>
      <c r="DI58" s="75"/>
      <c r="DJ58" s="75"/>
      <c r="DK58" s="75"/>
      <c r="DL58" s="75"/>
      <c r="DM58" s="75"/>
      <c r="DN58" s="75"/>
      <c r="DO58" s="75"/>
      <c r="DP58" s="75"/>
      <c r="DQ58" s="75"/>
      <c r="DR58" s="75"/>
      <c r="DS58" s="75"/>
      <c r="DT58" s="75"/>
      <c r="DU58" s="75"/>
      <c r="DV58" s="75"/>
      <c r="DW58" s="75"/>
      <c r="DX58" s="75"/>
      <c r="DY58" s="75"/>
      <c r="DZ58" s="75"/>
      <c r="EA58" s="75"/>
    </row>
    <row r="59" spans="1:136" ht="12.75" x14ac:dyDescent="0.2">
      <c r="AG59" s="745" t="s">
        <v>330</v>
      </c>
      <c r="AH59" s="746"/>
      <c r="AI59" s="747"/>
      <c r="AJ59" s="520" t="s">
        <v>179</v>
      </c>
      <c r="AK59" s="521">
        <v>0</v>
      </c>
      <c r="AL59" s="522">
        <v>11500</v>
      </c>
      <c r="AM59" s="522">
        <f t="shared" ref="AM59:AM75" si="3">+AK59*AL59</f>
        <v>0</v>
      </c>
      <c r="AR59" s="86"/>
      <c r="AS59" s="328"/>
      <c r="AT59" s="16"/>
      <c r="AU59" s="591" t="s">
        <v>97</v>
      </c>
      <c r="AV59" s="595">
        <f>+'Basic rates'!E28</f>
        <v>335.95984799999997</v>
      </c>
      <c r="AW59" s="595">
        <f>+'Basic rates'!F28</f>
        <v>355.72219200000001</v>
      </c>
      <c r="AX59" s="591" t="s">
        <v>92</v>
      </c>
      <c r="AY59" s="298">
        <v>4</v>
      </c>
      <c r="BC59" s="16"/>
      <c r="BD59" s="16"/>
      <c r="BE59" s="16"/>
      <c r="BF59" s="16"/>
      <c r="BG59" s="327"/>
      <c r="BH59" s="327"/>
      <c r="BI59" s="327"/>
      <c r="BJ59" s="327"/>
      <c r="BK59" s="327"/>
      <c r="BL59" s="16"/>
      <c r="BM59" s="17"/>
      <c r="DB59" s="75"/>
      <c r="DC59" s="75"/>
      <c r="DD59" s="75"/>
      <c r="DE59" s="75"/>
      <c r="DF59" s="75"/>
      <c r="DO59" s="75"/>
      <c r="DP59" s="75"/>
      <c r="DQ59" s="75"/>
      <c r="DR59" s="75"/>
      <c r="DS59" s="75"/>
      <c r="DT59" s="75"/>
      <c r="DU59" s="75"/>
      <c r="DV59" s="75"/>
      <c r="DW59" s="75"/>
      <c r="DX59" s="75"/>
      <c r="DY59" s="75"/>
      <c r="DZ59" s="75"/>
      <c r="EA59" s="75"/>
      <c r="EB59" s="75"/>
      <c r="EC59" s="75"/>
    </row>
    <row r="60" spans="1:136" ht="13.5" customHeight="1" x14ac:dyDescent="0.2">
      <c r="AG60" s="745" t="s">
        <v>331</v>
      </c>
      <c r="AH60" s="746"/>
      <c r="AI60" s="747"/>
      <c r="AJ60" s="520" t="s">
        <v>179</v>
      </c>
      <c r="AK60" s="521">
        <v>0</v>
      </c>
      <c r="AL60" s="522">
        <v>15500</v>
      </c>
      <c r="AM60" s="522">
        <f t="shared" si="3"/>
        <v>0</v>
      </c>
      <c r="AR60" s="16"/>
      <c r="AS60" s="323"/>
      <c r="AT60" s="197"/>
      <c r="AU60" s="319" t="s">
        <v>98</v>
      </c>
      <c r="AV60" s="595">
        <f>+'Basic rates'!E29</f>
        <v>420.67594799999995</v>
      </c>
      <c r="AW60" s="595">
        <f>+'Basic rates'!F29</f>
        <v>445.42159199999998</v>
      </c>
      <c r="AX60" s="319" t="s">
        <v>92</v>
      </c>
      <c r="AY60" s="591">
        <v>5</v>
      </c>
      <c r="BC60" s="197"/>
      <c r="BD60" s="197"/>
      <c r="BE60" s="16"/>
      <c r="BF60" s="197"/>
      <c r="BG60" s="327"/>
      <c r="BH60" s="327"/>
      <c r="BI60" s="327"/>
      <c r="BJ60" s="327"/>
      <c r="BK60" s="327"/>
      <c r="BL60" s="16"/>
      <c r="BM60" s="17"/>
      <c r="DC60" s="75"/>
      <c r="DD60" s="75"/>
      <c r="DE60" s="75"/>
      <c r="DF60" s="75"/>
      <c r="DG60" s="75"/>
    </row>
    <row r="61" spans="1:136" ht="12.75" customHeight="1" x14ac:dyDescent="0.2">
      <c r="AG61" s="745" t="s">
        <v>332</v>
      </c>
      <c r="AH61" s="746"/>
      <c r="AI61" s="747"/>
      <c r="AJ61" s="520" t="s">
        <v>179</v>
      </c>
      <c r="AK61" s="521">
        <v>0</v>
      </c>
      <c r="AL61" s="522">
        <v>10500</v>
      </c>
      <c r="AM61" s="522">
        <f t="shared" si="3"/>
        <v>0</v>
      </c>
      <c r="AR61" s="16"/>
      <c r="AS61" s="323"/>
      <c r="AT61" s="197"/>
      <c r="AU61" s="197"/>
      <c r="AV61" s="197"/>
      <c r="AW61" s="197"/>
      <c r="AX61" s="197"/>
      <c r="AY61" s="197"/>
      <c r="AZ61" s="197"/>
      <c r="BA61" s="197"/>
      <c r="BB61" s="197"/>
      <c r="BC61" s="197"/>
      <c r="BD61" s="197"/>
      <c r="BE61" s="197"/>
      <c r="BF61" s="327"/>
      <c r="BG61" s="240"/>
      <c r="BH61" s="240"/>
      <c r="BI61" s="240"/>
      <c r="BJ61" s="327"/>
      <c r="BK61" s="16"/>
      <c r="BL61" s="16"/>
      <c r="BM61" s="17"/>
      <c r="DC61" s="75"/>
      <c r="DD61" s="75"/>
      <c r="DE61" s="75"/>
      <c r="DF61" s="75"/>
      <c r="DG61" s="75"/>
      <c r="DH61" s="75"/>
      <c r="DI61" s="75"/>
      <c r="DJ61" s="75"/>
      <c r="DK61" s="75"/>
      <c r="DL61" s="75"/>
      <c r="DM61" s="75"/>
      <c r="DN61" s="75"/>
      <c r="DO61" s="75"/>
    </row>
    <row r="62" spans="1:136" ht="12.75" customHeight="1" x14ac:dyDescent="0.2">
      <c r="AG62" s="745" t="s">
        <v>333</v>
      </c>
      <c r="AH62" s="746"/>
      <c r="AI62" s="747"/>
      <c r="AJ62" s="520" t="s">
        <v>179</v>
      </c>
      <c r="AK62" s="521">
        <v>0</v>
      </c>
      <c r="AL62" s="522">
        <v>2500</v>
      </c>
      <c r="AM62" s="522">
        <f t="shared" si="3"/>
        <v>0</v>
      </c>
      <c r="AR62" s="16"/>
      <c r="AS62" s="323"/>
      <c r="AT62" s="197"/>
      <c r="AU62" s="197"/>
      <c r="AV62" s="197"/>
      <c r="AW62" s="197"/>
      <c r="AX62" s="197"/>
      <c r="AZ62" s="197"/>
      <c r="BA62" s="197"/>
      <c r="BB62" s="197"/>
      <c r="BC62" s="197"/>
      <c r="BD62" s="197"/>
      <c r="BE62" s="197"/>
      <c r="BF62" s="327"/>
      <c r="BG62" s="240"/>
      <c r="BH62" s="240"/>
      <c r="BI62" s="240"/>
      <c r="BJ62" s="327"/>
      <c r="BK62" s="16"/>
      <c r="BL62" s="16"/>
      <c r="BM62" s="17"/>
      <c r="DE62" s="75"/>
      <c r="DF62" s="75"/>
      <c r="DG62" s="75"/>
      <c r="DH62" s="75"/>
      <c r="DI62" s="75"/>
      <c r="DR62" s="75"/>
      <c r="DS62" s="75"/>
      <c r="DT62" s="75"/>
      <c r="DU62" s="75"/>
      <c r="DV62" s="75"/>
      <c r="DW62" s="75"/>
      <c r="DX62" s="75"/>
      <c r="DY62" s="75"/>
      <c r="DZ62" s="75"/>
      <c r="EA62" s="75"/>
      <c r="EB62" s="75"/>
      <c r="EC62" s="75"/>
      <c r="ED62" s="75"/>
      <c r="EE62" s="75"/>
      <c r="EF62" s="75"/>
    </row>
    <row r="63" spans="1:136" ht="12.75" x14ac:dyDescent="0.2">
      <c r="AG63" s="745" t="s">
        <v>334</v>
      </c>
      <c r="AH63" s="746"/>
      <c r="AI63" s="747"/>
      <c r="AJ63" s="520" t="s">
        <v>54</v>
      </c>
      <c r="AK63" s="521">
        <v>0</v>
      </c>
      <c r="AL63" s="522">
        <v>12500</v>
      </c>
      <c r="AM63" s="522">
        <f t="shared" si="3"/>
        <v>0</v>
      </c>
      <c r="AR63" s="16"/>
      <c r="AS63" s="323"/>
      <c r="AT63" s="197" t="s">
        <v>263</v>
      </c>
      <c r="AU63" s="293" t="s">
        <v>309</v>
      </c>
      <c r="AV63" s="606" t="s">
        <v>307</v>
      </c>
      <c r="AW63" s="319" t="s">
        <v>298</v>
      </c>
      <c r="AX63" s="319"/>
      <c r="AY63" s="621" t="s">
        <v>319</v>
      </c>
      <c r="BB63" s="197"/>
      <c r="BD63" s="197"/>
      <c r="BE63" s="197"/>
      <c r="BF63" s="197"/>
      <c r="BG63" s="197"/>
      <c r="BH63" s="327"/>
      <c r="BI63" s="240"/>
      <c r="BJ63" s="327"/>
      <c r="BK63" s="16"/>
      <c r="BL63" s="16"/>
      <c r="BM63" s="17"/>
      <c r="DG63" s="75"/>
      <c r="DH63" s="75"/>
      <c r="DI63" s="75"/>
      <c r="DJ63" s="75"/>
      <c r="DK63" s="75"/>
    </row>
    <row r="64" spans="1:136" ht="12.75" x14ac:dyDescent="0.2">
      <c r="AG64" s="745" t="s">
        <v>335</v>
      </c>
      <c r="AH64" s="746"/>
      <c r="AI64" s="747"/>
      <c r="AJ64" s="520" t="s">
        <v>179</v>
      </c>
      <c r="AK64" s="521">
        <v>0</v>
      </c>
      <c r="AL64" s="522">
        <v>15500</v>
      </c>
      <c r="AM64" s="522">
        <f t="shared" si="3"/>
        <v>0</v>
      </c>
      <c r="AR64" s="16"/>
      <c r="AS64" s="323"/>
      <c r="AT64" s="197"/>
      <c r="AU64" s="608">
        <v>4</v>
      </c>
      <c r="AV64" s="608">
        <v>12.5</v>
      </c>
      <c r="AW64" s="370">
        <f>+'Basic rates'!H33</f>
        <v>715.5</v>
      </c>
      <c r="AX64" s="459" t="s">
        <v>75</v>
      </c>
      <c r="AY64" s="614">
        <v>758885</v>
      </c>
      <c r="BB64" s="197"/>
      <c r="BD64" s="197"/>
      <c r="BE64" s="197"/>
      <c r="BF64" s="197"/>
      <c r="BG64" s="197"/>
      <c r="BH64" s="327"/>
      <c r="BI64" s="240"/>
      <c r="BJ64" s="327"/>
      <c r="BK64" s="16"/>
      <c r="BL64" s="16"/>
      <c r="BM64" s="17"/>
      <c r="DF64" s="75"/>
      <c r="DG64" s="75"/>
      <c r="DH64" s="75"/>
      <c r="DI64" s="75"/>
      <c r="DJ64" s="75"/>
    </row>
    <row r="65" spans="33:114" ht="12.75" x14ac:dyDescent="0.2">
      <c r="AG65" s="745" t="s">
        <v>336</v>
      </c>
      <c r="AH65" s="746"/>
      <c r="AI65" s="747"/>
      <c r="AJ65" s="520" t="s">
        <v>179</v>
      </c>
      <c r="AK65" s="521">
        <v>0</v>
      </c>
      <c r="AL65" s="522">
        <v>3000</v>
      </c>
      <c r="AM65" s="522">
        <f t="shared" si="3"/>
        <v>0</v>
      </c>
      <c r="AR65" s="16"/>
      <c r="AS65" s="323"/>
      <c r="AT65" s="197"/>
      <c r="AU65" s="608">
        <v>5</v>
      </c>
      <c r="AV65" s="608">
        <v>16.649999999999999</v>
      </c>
      <c r="AW65" s="370">
        <f>+'Basic rates'!H34</f>
        <v>953.04599999999994</v>
      </c>
      <c r="AX65" s="459" t="s">
        <v>75</v>
      </c>
      <c r="AY65" s="616">
        <v>115</v>
      </c>
      <c r="BB65" s="197"/>
      <c r="BD65" s="197"/>
      <c r="BE65" s="197"/>
      <c r="BF65" s="197"/>
      <c r="BG65" s="197"/>
      <c r="BH65" s="327"/>
      <c r="BI65" s="240"/>
      <c r="BJ65" s="327"/>
      <c r="BK65" s="16"/>
      <c r="BL65" s="16"/>
      <c r="BM65" s="17"/>
      <c r="DF65" s="75"/>
      <c r="DG65" s="75"/>
      <c r="DH65" s="75"/>
      <c r="DI65" s="75"/>
      <c r="DJ65" s="75"/>
    </row>
    <row r="66" spans="33:114" ht="12.75" x14ac:dyDescent="0.2">
      <c r="AG66" s="541" t="s">
        <v>344</v>
      </c>
      <c r="AH66" s="545"/>
      <c r="AI66" s="546"/>
      <c r="AJ66" s="524" t="s">
        <v>343</v>
      </c>
      <c r="AK66" s="521">
        <v>0</v>
      </c>
      <c r="AL66" s="522">
        <v>300</v>
      </c>
      <c r="AM66" s="522">
        <f t="shared" si="3"/>
        <v>0</v>
      </c>
      <c r="AR66" s="16"/>
      <c r="AS66" s="323"/>
      <c r="AT66" s="197"/>
      <c r="AU66" s="608">
        <v>6</v>
      </c>
      <c r="AV66" s="608">
        <v>19.37</v>
      </c>
      <c r="AW66" s="370">
        <f>+'Basic rates'!H35</f>
        <v>1108.7388000000001</v>
      </c>
      <c r="AX66" s="459" t="s">
        <v>75</v>
      </c>
      <c r="BB66" s="197"/>
      <c r="BC66" s="327"/>
      <c r="BD66" s="197"/>
      <c r="BE66" s="197"/>
      <c r="BF66" s="197"/>
      <c r="BG66" s="197"/>
      <c r="BH66" s="327"/>
      <c r="BI66" s="240"/>
      <c r="BJ66" s="327"/>
      <c r="BK66" s="16"/>
      <c r="BL66" s="16"/>
      <c r="BM66" s="17"/>
      <c r="DF66" s="75"/>
      <c r="DG66" s="75"/>
      <c r="DH66" s="75"/>
      <c r="DI66" s="75"/>
      <c r="DJ66" s="75"/>
    </row>
    <row r="67" spans="33:114" ht="12.75" x14ac:dyDescent="0.2">
      <c r="AG67" s="745" t="s">
        <v>337</v>
      </c>
      <c r="AH67" s="746"/>
      <c r="AI67" s="747"/>
      <c r="AJ67" s="520" t="s">
        <v>179</v>
      </c>
      <c r="AK67" s="521">
        <v>0</v>
      </c>
      <c r="AL67" s="522">
        <v>3000</v>
      </c>
      <c r="AM67" s="522">
        <f t="shared" si="3"/>
        <v>0</v>
      </c>
      <c r="AR67" s="16"/>
      <c r="AS67" s="323"/>
      <c r="AT67" s="197"/>
      <c r="AU67" s="608">
        <v>8</v>
      </c>
      <c r="AV67" s="608">
        <v>23.43</v>
      </c>
      <c r="AW67" s="370">
        <f>+'Basic rates'!H36</f>
        <v>1341.1332</v>
      </c>
      <c r="AX67" s="459" t="s">
        <v>75</v>
      </c>
      <c r="BB67" s="197"/>
      <c r="BC67" s="327"/>
      <c r="BD67" s="197"/>
      <c r="BE67" s="197"/>
      <c r="BF67" s="197"/>
      <c r="BG67" s="197"/>
      <c r="BH67" s="327"/>
      <c r="BI67" s="240"/>
      <c r="BJ67" s="327"/>
      <c r="BK67" s="16"/>
      <c r="BL67" s="16"/>
      <c r="BM67" s="17"/>
      <c r="DF67" s="75"/>
      <c r="DG67" s="75"/>
      <c r="DH67" s="75"/>
      <c r="DI67" s="75"/>
      <c r="DJ67" s="75"/>
    </row>
    <row r="68" spans="33:114" ht="12.75" x14ac:dyDescent="0.2">
      <c r="AG68" s="745" t="s">
        <v>338</v>
      </c>
      <c r="AH68" s="746"/>
      <c r="AI68" s="747"/>
      <c r="AJ68" s="520" t="s">
        <v>179</v>
      </c>
      <c r="AK68" s="521">
        <v>0</v>
      </c>
      <c r="AL68" s="522">
        <v>4000</v>
      </c>
      <c r="AM68" s="522">
        <f t="shared" si="3"/>
        <v>0</v>
      </c>
      <c r="AR68" s="16"/>
      <c r="AS68" s="323"/>
      <c r="AT68" s="197"/>
      <c r="AU68" s="610">
        <v>10</v>
      </c>
      <c r="AV68" s="610">
        <v>26.51</v>
      </c>
      <c r="AW68" s="370">
        <f>+'Basic rates'!H37</f>
        <v>1517.4324000000001</v>
      </c>
      <c r="AX68" s="591" t="s">
        <v>75</v>
      </c>
      <c r="BB68" s="197"/>
      <c r="BC68" s="327"/>
      <c r="BD68" s="197"/>
      <c r="BE68" s="197"/>
      <c r="BF68" s="197"/>
      <c r="BG68" s="197"/>
      <c r="BH68" s="327"/>
      <c r="BI68" s="240"/>
      <c r="BJ68" s="327"/>
      <c r="BK68" s="16"/>
      <c r="BL68" s="16"/>
      <c r="BM68" s="17"/>
      <c r="DF68" s="75"/>
      <c r="DG68" s="75"/>
      <c r="DH68" s="75"/>
    </row>
    <row r="69" spans="33:114" ht="12.75" x14ac:dyDescent="0.2">
      <c r="AG69" s="660" t="s">
        <v>430</v>
      </c>
      <c r="AH69" s="764">
        <v>2</v>
      </c>
      <c r="AI69" s="764"/>
      <c r="AJ69" s="524" t="s">
        <v>343</v>
      </c>
      <c r="AK69" s="520">
        <f>+AH10*2</f>
        <v>14</v>
      </c>
      <c r="AL69" s="522">
        <f>+IF(AH69=BA71,BB71,BB70)</f>
        <v>160</v>
      </c>
      <c r="AM69" s="522">
        <f t="shared" si="3"/>
        <v>2240</v>
      </c>
      <c r="AR69" s="16"/>
      <c r="AS69" s="323"/>
      <c r="AT69" s="197"/>
      <c r="AU69" s="610">
        <v>12</v>
      </c>
      <c r="AV69" s="610">
        <v>31.44</v>
      </c>
      <c r="AW69" s="370">
        <f>+'Basic rates'!H38</f>
        <v>1799.6256000000001</v>
      </c>
      <c r="AX69" s="591" t="s">
        <v>75</v>
      </c>
      <c r="BB69" s="197"/>
      <c r="BC69" s="327"/>
      <c r="BD69" s="197"/>
      <c r="BE69" s="197"/>
      <c r="BF69" s="197"/>
      <c r="BG69" s="197"/>
      <c r="BH69" s="327"/>
      <c r="BI69" s="240"/>
      <c r="BJ69" s="327"/>
      <c r="BK69" s="16"/>
      <c r="BL69" s="16"/>
      <c r="BM69" s="17"/>
      <c r="DF69" s="75"/>
      <c r="DG69" s="75"/>
      <c r="DH69" s="75"/>
    </row>
    <row r="70" spans="33:114" ht="12.75" x14ac:dyDescent="0.2">
      <c r="AG70" s="745" t="s">
        <v>339</v>
      </c>
      <c r="AH70" s="746"/>
      <c r="AI70" s="747"/>
      <c r="AJ70" s="520" t="s">
        <v>54</v>
      </c>
      <c r="AK70" s="521">
        <v>0</v>
      </c>
      <c r="AL70" s="522">
        <v>10500</v>
      </c>
      <c r="AM70" s="522">
        <f t="shared" si="3"/>
        <v>0</v>
      </c>
      <c r="AR70" s="16"/>
      <c r="AS70" s="323"/>
      <c r="AT70" s="197"/>
      <c r="AU70" s="610">
        <v>14</v>
      </c>
      <c r="AV70" s="610">
        <v>37.61</v>
      </c>
      <c r="AW70" s="370">
        <f>+'Basic rates'!H39</f>
        <v>2152.7964000000002</v>
      </c>
      <c r="AX70" s="591" t="s">
        <v>75</v>
      </c>
      <c r="AZ70" s="650" t="s">
        <v>23</v>
      </c>
      <c r="BA70" s="650">
        <v>1</v>
      </c>
      <c r="BB70" s="319">
        <v>0</v>
      </c>
      <c r="BC70" s="327"/>
      <c r="BD70" s="197"/>
      <c r="BE70" s="197"/>
      <c r="BF70" s="197"/>
      <c r="BG70" s="197"/>
      <c r="BH70" s="327"/>
      <c r="BI70" s="240"/>
      <c r="BJ70" s="327"/>
      <c r="BK70" s="16"/>
      <c r="BL70" s="16"/>
      <c r="BM70" s="17"/>
      <c r="DF70" s="75"/>
      <c r="DG70" s="75"/>
      <c r="DH70" s="75"/>
      <c r="DI70" s="75"/>
      <c r="DJ70" s="75"/>
    </row>
    <row r="71" spans="33:114" ht="12.75" x14ac:dyDescent="0.2">
      <c r="AG71" s="745" t="s">
        <v>340</v>
      </c>
      <c r="AH71" s="746"/>
      <c r="AI71" s="747"/>
      <c r="AJ71" s="520" t="s">
        <v>179</v>
      </c>
      <c r="AK71" s="521">
        <v>0</v>
      </c>
      <c r="AL71" s="523">
        <v>10500</v>
      </c>
      <c r="AM71" s="522">
        <f t="shared" si="3"/>
        <v>0</v>
      </c>
      <c r="AR71" s="16"/>
      <c r="AS71" s="323"/>
      <c r="AT71" s="197"/>
      <c r="AU71" s="197"/>
      <c r="AV71" s="197"/>
      <c r="AW71" s="197"/>
      <c r="AX71" s="197"/>
      <c r="AZ71" s="650" t="s">
        <v>31</v>
      </c>
      <c r="BA71" s="319">
        <v>2</v>
      </c>
      <c r="BB71" s="319">
        <v>160</v>
      </c>
      <c r="BC71" s="327"/>
      <c r="BD71" s="197"/>
      <c r="BE71" s="197"/>
      <c r="BF71" s="327"/>
      <c r="BG71" s="240"/>
      <c r="BH71" s="240"/>
      <c r="BI71" s="240"/>
      <c r="BJ71" s="327"/>
      <c r="BK71" s="16"/>
      <c r="BL71" s="16"/>
      <c r="BM71" s="17"/>
      <c r="CT71" s="75"/>
      <c r="CU71" s="75"/>
      <c r="CV71" s="75"/>
      <c r="CW71" s="75"/>
      <c r="CX71" s="75"/>
      <c r="CY71" s="75"/>
      <c r="CZ71" s="75"/>
      <c r="DA71" s="75"/>
      <c r="DB71" s="75"/>
      <c r="DC71" s="75"/>
      <c r="DD71" s="75"/>
      <c r="DE71" s="75"/>
    </row>
    <row r="72" spans="33:114" ht="12.75" x14ac:dyDescent="0.2">
      <c r="AG72" s="745" t="s">
        <v>341</v>
      </c>
      <c r="AH72" s="746"/>
      <c r="AI72" s="747"/>
      <c r="AJ72" s="520" t="s">
        <v>179</v>
      </c>
      <c r="AK72" s="521">
        <v>0</v>
      </c>
      <c r="AL72" s="523">
        <v>67500</v>
      </c>
      <c r="AM72" s="522">
        <f t="shared" si="3"/>
        <v>0</v>
      </c>
      <c r="AR72" s="16"/>
      <c r="AS72" s="323"/>
      <c r="AT72" s="197"/>
      <c r="AU72" s="293" t="s">
        <v>72</v>
      </c>
      <c r="AV72" s="617" t="s">
        <v>302</v>
      </c>
      <c r="AW72" s="617" t="s">
        <v>315</v>
      </c>
      <c r="AX72" s="617" t="s">
        <v>270</v>
      </c>
      <c r="AY72" s="197"/>
      <c r="AZ72" s="197"/>
      <c r="BA72" s="197"/>
      <c r="BB72" s="197"/>
      <c r="BC72" s="327"/>
      <c r="BD72" s="197"/>
      <c r="BE72" s="197"/>
      <c r="BF72" s="327"/>
      <c r="BG72" s="240"/>
      <c r="BH72" s="240"/>
      <c r="BI72" s="240"/>
      <c r="BJ72" s="327"/>
      <c r="BK72" s="16"/>
      <c r="BL72" s="16"/>
      <c r="BM72" s="17"/>
      <c r="CT72" s="75"/>
      <c r="CU72" s="75"/>
      <c r="CV72" s="75"/>
      <c r="CW72" s="75"/>
      <c r="CX72" s="75"/>
      <c r="CY72" s="75"/>
      <c r="CZ72" s="75"/>
      <c r="DA72" s="75"/>
      <c r="DB72" s="75"/>
      <c r="DC72" s="75"/>
      <c r="DD72" s="75"/>
      <c r="DE72" s="75"/>
    </row>
    <row r="73" spans="33:114" ht="12.75" x14ac:dyDescent="0.2">
      <c r="AG73" s="745" t="s">
        <v>341</v>
      </c>
      <c r="AH73" s="746"/>
      <c r="AI73" s="747"/>
      <c r="AJ73" s="520" t="s">
        <v>179</v>
      </c>
      <c r="AK73" s="521">
        <v>0</v>
      </c>
      <c r="AL73" s="523">
        <v>93500</v>
      </c>
      <c r="AM73" s="522">
        <f t="shared" si="3"/>
        <v>0</v>
      </c>
      <c r="AR73" s="16"/>
      <c r="AS73" s="323"/>
      <c r="AT73" s="197" t="s">
        <v>264</v>
      </c>
      <c r="AU73" s="591"/>
      <c r="AV73" s="459">
        <v>12</v>
      </c>
      <c r="AW73" s="223">
        <f>+'Basic rates'!E42</f>
        <v>1400</v>
      </c>
      <c r="AX73" s="459" t="s">
        <v>45</v>
      </c>
      <c r="BB73" s="197"/>
      <c r="BC73" s="327"/>
      <c r="BD73" s="197"/>
      <c r="BE73" s="197"/>
      <c r="BF73" s="197"/>
      <c r="BG73" s="327"/>
      <c r="BH73" s="240"/>
      <c r="BI73" s="240"/>
      <c r="BJ73" s="240"/>
      <c r="BK73" s="327"/>
      <c r="BL73" s="16"/>
      <c r="BM73" s="17"/>
      <c r="CT73" s="75"/>
      <c r="CU73" s="75"/>
      <c r="CV73" s="75"/>
      <c r="CW73" s="75"/>
      <c r="CX73" s="75"/>
      <c r="CY73" s="75"/>
      <c r="CZ73" s="75"/>
      <c r="DA73" s="75"/>
      <c r="DB73" s="75"/>
      <c r="DC73" s="75"/>
      <c r="DD73" s="75"/>
      <c r="DE73" s="75"/>
      <c r="DF73" s="75"/>
      <c r="DG73" s="75"/>
      <c r="DH73" s="75"/>
    </row>
    <row r="74" spans="33:114" ht="12.75" x14ac:dyDescent="0.2">
      <c r="AG74" s="745" t="s">
        <v>341</v>
      </c>
      <c r="AH74" s="746"/>
      <c r="AI74" s="747"/>
      <c r="AJ74" s="520" t="s">
        <v>179</v>
      </c>
      <c r="AK74" s="521">
        <v>0</v>
      </c>
      <c r="AL74" s="523">
        <v>165000</v>
      </c>
      <c r="AM74" s="522">
        <f t="shared" si="3"/>
        <v>0</v>
      </c>
      <c r="AR74" s="16"/>
      <c r="AS74" s="323"/>
      <c r="AT74" s="197"/>
      <c r="AU74" s="748"/>
      <c r="AV74" s="459">
        <v>24</v>
      </c>
      <c r="AW74" s="223">
        <f>+'Basic rates'!E43</f>
        <v>1600</v>
      </c>
      <c r="AX74" s="459" t="s">
        <v>45</v>
      </c>
      <c r="BB74" s="197"/>
      <c r="BC74" s="327"/>
      <c r="BD74" s="197"/>
      <c r="BE74" s="197"/>
      <c r="BF74" s="197"/>
      <c r="BG74" s="327"/>
      <c r="BH74" s="240"/>
      <c r="BI74" s="240"/>
      <c r="BJ74" s="240"/>
      <c r="BK74" s="327"/>
      <c r="BL74" s="16"/>
      <c r="BM74" s="17"/>
      <c r="CT74" s="75"/>
      <c r="CU74" s="75"/>
      <c r="CV74" s="75"/>
      <c r="CW74" s="75"/>
      <c r="CX74" s="75"/>
      <c r="CY74" s="75"/>
      <c r="CZ74" s="75"/>
      <c r="DA74" s="75"/>
      <c r="DB74" s="75"/>
      <c r="DC74" s="75"/>
      <c r="DD74" s="75"/>
      <c r="DE74" s="75"/>
    </row>
    <row r="75" spans="33:114" ht="12.75" x14ac:dyDescent="0.2">
      <c r="AG75" s="663" t="s">
        <v>342</v>
      </c>
      <c r="AH75" s="664"/>
      <c r="AI75" s="665"/>
      <c r="AJ75" s="655" t="s">
        <v>179</v>
      </c>
      <c r="AK75" s="656">
        <v>0</v>
      </c>
      <c r="AL75" s="523">
        <v>7500</v>
      </c>
      <c r="AM75" s="523">
        <f t="shared" si="3"/>
        <v>0</v>
      </c>
      <c r="AR75" s="16"/>
      <c r="AS75" s="323"/>
      <c r="AT75" s="197"/>
      <c r="AU75" s="748"/>
      <c r="AV75" s="319">
        <v>48</v>
      </c>
      <c r="AW75" s="223">
        <f>+'Basic rates'!E44</f>
        <v>1800</v>
      </c>
      <c r="AX75" s="459" t="s">
        <v>45</v>
      </c>
      <c r="BB75" s="197"/>
      <c r="BC75" s="197"/>
      <c r="BD75" s="197"/>
      <c r="BE75" s="197"/>
      <c r="BF75" s="197"/>
      <c r="BG75" s="327"/>
      <c r="BH75" s="240"/>
      <c r="BI75" s="240"/>
      <c r="BJ75" s="240"/>
      <c r="BK75" s="327"/>
      <c r="BL75" s="16"/>
      <c r="BM75" s="17"/>
      <c r="CT75" s="75"/>
      <c r="CU75" s="75"/>
      <c r="CV75" s="75"/>
      <c r="CW75" s="75"/>
      <c r="CX75" s="75"/>
      <c r="CY75" s="75"/>
      <c r="CZ75" s="75"/>
      <c r="DA75" s="75"/>
      <c r="DB75" s="75"/>
      <c r="DC75" s="75"/>
      <c r="DD75" s="75"/>
      <c r="DE75" s="75"/>
    </row>
    <row r="76" spans="33:114" ht="12.75" x14ac:dyDescent="0.2">
      <c r="AG76" s="759" t="s">
        <v>363</v>
      </c>
      <c r="AH76" s="760"/>
      <c r="AI76" s="761"/>
      <c r="AJ76" s="6" t="s">
        <v>364</v>
      </c>
      <c r="AK76" s="658">
        <v>0</v>
      </c>
      <c r="AL76" s="522">
        <v>12500</v>
      </c>
      <c r="AM76" s="522">
        <f>+AK76*AL76</f>
        <v>0</v>
      </c>
      <c r="AR76" s="16"/>
      <c r="AS76" s="323"/>
      <c r="AT76" s="197"/>
      <c r="AU76" s="619"/>
      <c r="AV76" s="319">
        <v>64</v>
      </c>
      <c r="AW76" s="223">
        <f>+'Basic rates'!E45</f>
        <v>2200</v>
      </c>
      <c r="AX76" s="459" t="s">
        <v>45</v>
      </c>
      <c r="BB76" s="197"/>
      <c r="BC76" s="197"/>
      <c r="BD76" s="197"/>
      <c r="BE76" s="197"/>
      <c r="BF76" s="197"/>
      <c r="BG76" s="327"/>
      <c r="BH76" s="240"/>
      <c r="BI76" s="240"/>
      <c r="BJ76" s="240"/>
      <c r="BK76" s="327"/>
      <c r="BL76" s="16"/>
      <c r="BM76" s="17"/>
      <c r="CT76" s="75"/>
      <c r="CU76" s="75"/>
      <c r="CV76" s="75"/>
      <c r="CW76" s="75"/>
      <c r="CX76" s="75"/>
      <c r="CY76" s="75"/>
      <c r="CZ76" s="75"/>
      <c r="DA76" s="75"/>
      <c r="DB76" s="75"/>
      <c r="DC76" s="75"/>
      <c r="DD76" s="75"/>
      <c r="DE76" s="75"/>
    </row>
    <row r="77" spans="33:114" ht="12.75" x14ac:dyDescent="0.2">
      <c r="AG77" s="669" t="s">
        <v>431</v>
      </c>
      <c r="AH77" s="670"/>
      <c r="AI77" s="671"/>
      <c r="AJ77" s="668" t="s">
        <v>343</v>
      </c>
      <c r="AK77" s="666">
        <f>+AH9</f>
        <v>5</v>
      </c>
      <c r="AL77" s="667">
        <v>750</v>
      </c>
      <c r="AM77" s="667">
        <f>+CEILING(AK77*AL77,10)</f>
        <v>3750</v>
      </c>
      <c r="AR77" s="16"/>
      <c r="AS77" s="323"/>
      <c r="AT77" s="197"/>
      <c r="AU77" s="619"/>
      <c r="AV77" s="319">
        <v>90</v>
      </c>
      <c r="AW77" s="223">
        <f>+'Basic rates'!E46</f>
        <v>2500</v>
      </c>
      <c r="AX77" s="459" t="s">
        <v>45</v>
      </c>
      <c r="BB77" s="197"/>
      <c r="BC77" s="197"/>
      <c r="BD77" s="197"/>
      <c r="BE77" s="197"/>
      <c r="BF77" s="197"/>
      <c r="BG77" s="327"/>
      <c r="BH77" s="240"/>
      <c r="BI77" s="240"/>
      <c r="BJ77" s="240"/>
      <c r="BK77" s="327"/>
      <c r="BL77" s="16"/>
      <c r="BM77" s="17"/>
      <c r="CT77" s="75"/>
      <c r="CU77" s="75"/>
      <c r="CV77" s="75"/>
      <c r="CW77" s="75"/>
      <c r="CX77" s="75"/>
      <c r="CY77" s="75"/>
      <c r="CZ77" s="75"/>
      <c r="DA77" s="75"/>
      <c r="DB77" s="75"/>
      <c r="DC77" s="75"/>
      <c r="DD77" s="75"/>
      <c r="DE77" s="75"/>
    </row>
    <row r="78" spans="33:114" ht="13.5" thickBot="1" x14ac:dyDescent="0.25">
      <c r="AG78" s="749" t="s">
        <v>148</v>
      </c>
      <c r="AH78" s="750"/>
      <c r="AI78" s="750"/>
      <c r="AJ78" s="750"/>
      <c r="AK78" s="750"/>
      <c r="AL78" s="751"/>
      <c r="AM78" s="657">
        <f>+SUM(AM58:AM77) - AM66+AM102</f>
        <v>8380</v>
      </c>
      <c r="AR78" s="16"/>
      <c r="AS78" s="323"/>
      <c r="AT78" s="197"/>
      <c r="AU78" s="619"/>
      <c r="AV78" s="319">
        <f>+AV77+24</f>
        <v>114</v>
      </c>
      <c r="AW78" s="223">
        <f>+'Basic rates'!E47</f>
        <v>3000</v>
      </c>
      <c r="AX78" s="459" t="s">
        <v>45</v>
      </c>
      <c r="BB78" s="197"/>
      <c r="BC78" s="197"/>
      <c r="BD78" s="197"/>
      <c r="BE78" s="197"/>
      <c r="BF78" s="197"/>
      <c r="BG78" s="327"/>
      <c r="BH78" s="240"/>
      <c r="BI78" s="240"/>
      <c r="BJ78" s="240"/>
      <c r="BK78" s="327"/>
      <c r="BL78" s="16"/>
      <c r="BM78" s="17"/>
      <c r="CT78" s="75"/>
      <c r="CU78" s="75"/>
      <c r="CV78" s="75"/>
      <c r="CW78" s="75"/>
      <c r="CX78" s="75"/>
      <c r="CY78" s="75"/>
      <c r="CZ78" s="75"/>
      <c r="DA78" s="75"/>
      <c r="DB78" s="75"/>
      <c r="DC78" s="75"/>
      <c r="DD78" s="75"/>
      <c r="DE78" s="75"/>
    </row>
    <row r="79" spans="33:114" ht="12.75" x14ac:dyDescent="0.2">
      <c r="AR79" s="16"/>
      <c r="AS79" s="323"/>
      <c r="AT79" s="197"/>
      <c r="AU79" s="619"/>
      <c r="AV79" s="319">
        <f t="shared" ref="AV79" si="4">+AV78+24</f>
        <v>138</v>
      </c>
      <c r="AW79" s="223">
        <f>+'Basic rates'!E48</f>
        <v>3000</v>
      </c>
      <c r="AX79" s="459" t="s">
        <v>45</v>
      </c>
      <c r="BB79" s="197"/>
      <c r="BC79" s="197"/>
      <c r="BD79" s="197"/>
      <c r="BE79" s="197"/>
      <c r="BF79" s="197"/>
      <c r="BG79" s="327"/>
      <c r="BH79" s="240"/>
      <c r="BI79" s="240"/>
      <c r="BJ79" s="240"/>
      <c r="BK79" s="327"/>
      <c r="BL79" s="16"/>
      <c r="BM79" s="17"/>
      <c r="CT79" s="75"/>
      <c r="CU79" s="75"/>
      <c r="CV79" s="75"/>
      <c r="CW79" s="75"/>
      <c r="CX79" s="75"/>
      <c r="CY79" s="75"/>
      <c r="CZ79" s="75"/>
      <c r="DA79" s="75"/>
      <c r="DB79" s="75"/>
      <c r="DC79" s="75"/>
      <c r="DD79" s="75"/>
      <c r="DE79" s="75"/>
    </row>
    <row r="80" spans="33:114" ht="12.75" x14ac:dyDescent="0.2">
      <c r="AR80" s="16"/>
      <c r="AS80" s="323"/>
      <c r="AT80" s="197"/>
      <c r="AU80" s="619"/>
      <c r="AV80" s="319">
        <f>+AV79+30</f>
        <v>168</v>
      </c>
      <c r="AW80" s="223">
        <f>+'Basic rates'!E49</f>
        <v>3000</v>
      </c>
      <c r="AX80" s="459" t="s">
        <v>45</v>
      </c>
      <c r="BB80" s="197"/>
      <c r="BC80" s="197"/>
      <c r="BD80" s="197"/>
      <c r="BE80" s="197"/>
      <c r="BF80" s="197"/>
      <c r="BG80" s="327"/>
      <c r="BH80" s="240"/>
      <c r="BI80" s="240"/>
      <c r="BJ80" s="240"/>
      <c r="BK80" s="327"/>
      <c r="BL80" s="16"/>
      <c r="BM80" s="17"/>
      <c r="CT80" s="75"/>
      <c r="CU80" s="75"/>
      <c r="CV80" s="75"/>
      <c r="CW80" s="75"/>
      <c r="CX80" s="75"/>
      <c r="CY80" s="75"/>
      <c r="CZ80" s="75"/>
      <c r="DA80" s="75"/>
      <c r="DB80" s="75"/>
      <c r="DC80" s="75"/>
      <c r="DD80" s="75"/>
      <c r="DE80" s="75"/>
    </row>
    <row r="81" spans="33:109" ht="13.5" thickBot="1" x14ac:dyDescent="0.25">
      <c r="AR81" s="16"/>
      <c r="AS81" s="323"/>
      <c r="AT81" s="197"/>
      <c r="AU81" s="197"/>
      <c r="AV81" s="197"/>
      <c r="AW81" s="197"/>
      <c r="AX81" s="197"/>
      <c r="AY81" s="197"/>
      <c r="AZ81" s="197"/>
      <c r="BA81" s="197"/>
      <c r="BB81" s="197"/>
      <c r="BC81" s="197"/>
      <c r="BD81" s="197"/>
      <c r="BE81" s="197"/>
      <c r="BF81" s="197"/>
      <c r="BG81" s="327"/>
      <c r="BH81" s="240"/>
      <c r="BI81" s="240"/>
      <c r="BJ81" s="240"/>
      <c r="BK81" s="327"/>
      <c r="BL81" s="16"/>
      <c r="BM81" s="17"/>
      <c r="BY81" s="75"/>
      <c r="BZ81" s="75"/>
      <c r="CA81" s="75"/>
      <c r="CQ81" s="75"/>
      <c r="CR81" s="75"/>
      <c r="CS81" s="75"/>
      <c r="CT81" s="75"/>
      <c r="CU81" s="75"/>
      <c r="CV81" s="75"/>
      <c r="CW81" s="75"/>
      <c r="CX81" s="75"/>
      <c r="CY81" s="75"/>
      <c r="CZ81" s="75"/>
      <c r="DA81" s="75"/>
      <c r="DB81" s="75"/>
      <c r="DC81" s="75"/>
      <c r="DD81" s="75"/>
      <c r="DE81" s="75"/>
    </row>
    <row r="82" spans="33:109" ht="15" thickBot="1" x14ac:dyDescent="0.25">
      <c r="AG82" s="752" t="s">
        <v>345</v>
      </c>
      <c r="AH82" s="753"/>
      <c r="AI82" s="753"/>
      <c r="AJ82" s="753"/>
      <c r="AK82" s="753"/>
      <c r="AL82" s="753"/>
      <c r="AM82" s="754"/>
      <c r="AR82" s="16"/>
      <c r="AS82" s="323"/>
      <c r="AT82" s="197"/>
      <c r="AU82" s="197"/>
      <c r="AV82" s="197"/>
      <c r="AW82" s="197"/>
      <c r="AX82" s="197"/>
      <c r="AY82" s="197"/>
      <c r="AZ82" s="197"/>
      <c r="BA82" s="197"/>
      <c r="BB82" s="197"/>
      <c r="BC82" s="197"/>
      <c r="BD82" s="197"/>
      <c r="BE82" s="197"/>
      <c r="BF82" s="327"/>
      <c r="BG82" s="240"/>
      <c r="BH82" s="240"/>
      <c r="BI82" s="240"/>
      <c r="BJ82" s="327"/>
      <c r="BK82" s="16"/>
      <c r="BL82" s="16"/>
      <c r="BM82" s="17"/>
      <c r="BY82" s="75"/>
      <c r="BZ82" s="75"/>
      <c r="CA82" s="75"/>
      <c r="CQ82" s="75"/>
      <c r="CR82" s="75"/>
      <c r="CS82" s="75"/>
      <c r="CT82" s="75"/>
      <c r="CU82" s="75"/>
      <c r="CV82" s="75"/>
      <c r="CW82" s="75"/>
      <c r="CX82" s="75"/>
      <c r="CY82" s="75"/>
      <c r="CZ82" s="75"/>
      <c r="DA82" s="75"/>
      <c r="DB82" s="75"/>
      <c r="DC82" s="75"/>
      <c r="DD82" s="75"/>
      <c r="DE82" s="75"/>
    </row>
    <row r="83" spans="33:109" ht="13.5" thickBot="1" x14ac:dyDescent="0.25">
      <c r="AG83" s="549" t="s">
        <v>50</v>
      </c>
      <c r="AH83" s="550" t="s">
        <v>276</v>
      </c>
      <c r="AI83" s="551" t="s">
        <v>346</v>
      </c>
      <c r="AJ83" s="145" t="s">
        <v>10</v>
      </c>
      <c r="AK83" s="145" t="s">
        <v>347</v>
      </c>
      <c r="AL83" s="145" t="s">
        <v>51</v>
      </c>
      <c r="AM83" s="146" t="s">
        <v>42</v>
      </c>
      <c r="AR83" s="16"/>
      <c r="AS83" s="323"/>
      <c r="AT83" s="197"/>
      <c r="AU83" s="197"/>
      <c r="AV83" s="197"/>
      <c r="AW83" s="197"/>
      <c r="AX83" s="197"/>
      <c r="AY83" s="197"/>
      <c r="AZ83" s="197"/>
      <c r="BA83" s="197"/>
      <c r="BB83" s="197"/>
      <c r="BC83" s="197"/>
      <c r="BD83" s="197"/>
      <c r="BE83" s="197"/>
      <c r="BF83" s="327"/>
      <c r="BG83" s="240"/>
      <c r="BH83" s="240"/>
      <c r="BI83" s="240"/>
      <c r="BJ83" s="327"/>
      <c r="BK83" s="16"/>
      <c r="BL83" s="16"/>
      <c r="BM83" s="17"/>
      <c r="BY83" s="75"/>
      <c r="BZ83" s="75"/>
      <c r="CA83" s="75"/>
      <c r="CB83" s="75"/>
      <c r="CC83" s="75"/>
      <c r="CD83" s="75"/>
      <c r="CE83" s="75"/>
      <c r="CF83" s="75"/>
      <c r="CG83" s="75"/>
      <c r="CI83" s="75"/>
      <c r="CJ83" s="75"/>
      <c r="CK83" s="75"/>
      <c r="CL83" s="75"/>
      <c r="CM83" s="75"/>
      <c r="CN83" s="75"/>
      <c r="CO83" s="75"/>
      <c r="CP83" s="75"/>
      <c r="CQ83" s="75"/>
      <c r="CR83" s="75"/>
      <c r="CS83" s="75"/>
      <c r="CT83" s="75"/>
      <c r="CU83" s="75"/>
      <c r="CV83" s="75"/>
      <c r="CW83" s="75"/>
      <c r="CX83" s="75"/>
      <c r="CY83" s="75"/>
      <c r="CZ83" s="75"/>
      <c r="DA83" s="75"/>
      <c r="DB83" s="75"/>
      <c r="DC83" s="75"/>
      <c r="DD83" s="75"/>
      <c r="DE83" s="75"/>
    </row>
    <row r="84" spans="33:109" ht="12.75" x14ac:dyDescent="0.2">
      <c r="AG84" s="3" t="s">
        <v>348</v>
      </c>
      <c r="AH84" s="249">
        <f>AH10+(AI29/1000)+0.2</f>
        <v>7.7250000000000005</v>
      </c>
      <c r="AI84" s="3">
        <f>+IF(AND(AH11&gt;BD96,AH11&lt;BE96),BF96)+IF(AND(AH11&gt;BD97,AH11&lt;BE97),BF97)</f>
        <v>16.8</v>
      </c>
      <c r="AJ84" s="3">
        <v>4</v>
      </c>
      <c r="AK84" s="3">
        <f>AI84*AJ84*AH84</f>
        <v>519.12</v>
      </c>
      <c r="AL84" s="3">
        <v>50</v>
      </c>
      <c r="AM84" s="3">
        <f t="shared" ref="AM84:AM92" si="5">AK84*AL84</f>
        <v>25956</v>
      </c>
      <c r="AR84" s="16"/>
      <c r="AS84" s="323"/>
      <c r="AT84" s="197" t="s">
        <v>265</v>
      </c>
      <c r="AU84" s="293" t="s">
        <v>171</v>
      </c>
      <c r="AV84" s="191" t="s">
        <v>270</v>
      </c>
      <c r="AW84" s="191" t="s">
        <v>76</v>
      </c>
      <c r="AX84" s="622" t="s">
        <v>71</v>
      </c>
      <c r="AY84" s="622" t="s">
        <v>170</v>
      </c>
      <c r="AZ84" s="191" t="s">
        <v>49</v>
      </c>
      <c r="BA84" s="197"/>
      <c r="BE84" s="197"/>
      <c r="BF84" s="327"/>
      <c r="BG84" s="240"/>
      <c r="BH84" s="240"/>
      <c r="BI84" s="240"/>
      <c r="BJ84" s="327"/>
      <c r="BK84" s="16"/>
      <c r="BL84" s="16"/>
      <c r="BM84" s="17"/>
      <c r="BY84" s="75"/>
      <c r="BZ84" s="75"/>
      <c r="CA84" s="75"/>
      <c r="CB84" s="75"/>
      <c r="CC84" s="75"/>
      <c r="CD84" s="75"/>
      <c r="CE84" s="75"/>
      <c r="CF84" s="75"/>
      <c r="CG84" s="75"/>
      <c r="CH84" s="75"/>
      <c r="CI84" s="75"/>
      <c r="CJ84" s="75"/>
      <c r="CK84" s="75"/>
      <c r="CL84" s="75"/>
      <c r="CM84" s="75"/>
      <c r="CN84" s="75"/>
      <c r="CO84" s="75"/>
      <c r="CP84" s="75"/>
      <c r="CQ84" s="75"/>
      <c r="CR84" s="75"/>
      <c r="CS84" s="75"/>
    </row>
    <row r="85" spans="33:109" ht="15" x14ac:dyDescent="0.25">
      <c r="AG85" s="3" t="s">
        <v>349</v>
      </c>
      <c r="AH85" s="249">
        <f>AH9+0.3</f>
        <v>5.3</v>
      </c>
      <c r="AI85" s="3">
        <f>+IF(AND(AH11&gt;BD96,AH11&lt;BE96),BF96)+IF(AND(AH11&gt;BD97,AH11&lt;BE97),BF97)</f>
        <v>16.8</v>
      </c>
      <c r="AJ85" s="3">
        <v>2</v>
      </c>
      <c r="AK85" s="3">
        <f>AI85*AJ85*AH85</f>
        <v>178.08</v>
      </c>
      <c r="AL85" s="3">
        <v>50</v>
      </c>
      <c r="AM85" s="3">
        <f t="shared" si="5"/>
        <v>8904</v>
      </c>
      <c r="AR85" s="16"/>
      <c r="AS85" s="323"/>
      <c r="AT85" s="197"/>
      <c r="AU85" s="627"/>
      <c r="AV85" s="222">
        <v>400</v>
      </c>
      <c r="AW85" s="222">
        <v>5</v>
      </c>
      <c r="AX85" s="595">
        <f>+'Basic rates'!F52</f>
        <v>861.64055280000025</v>
      </c>
      <c r="AY85" s="595">
        <f>+'Basic rates'!G52</f>
        <v>912.32529120000027</v>
      </c>
      <c r="AZ85" s="222" t="s">
        <v>79</v>
      </c>
      <c r="BA85" s="319">
        <v>2</v>
      </c>
      <c r="BE85" s="197"/>
      <c r="BF85" s="327"/>
      <c r="BG85" s="240"/>
      <c r="BH85" s="240"/>
      <c r="BI85" s="240"/>
      <c r="BJ85" s="327"/>
      <c r="BK85" s="16"/>
      <c r="BL85" s="16"/>
      <c r="BM85" s="17"/>
      <c r="BY85" s="75"/>
      <c r="BZ85" s="75"/>
      <c r="CA85" s="75"/>
      <c r="CB85" s="75"/>
      <c r="CC85" s="75"/>
      <c r="CD85" s="75"/>
      <c r="CE85" s="75"/>
      <c r="CF85" s="75"/>
      <c r="CG85" s="75"/>
      <c r="CH85" s="75"/>
      <c r="CI85" s="75"/>
      <c r="CJ85" s="75"/>
      <c r="CK85" s="75"/>
      <c r="CL85" s="75"/>
      <c r="CM85" s="75"/>
      <c r="CN85" s="75"/>
      <c r="CO85" s="75"/>
      <c r="CP85" s="75"/>
      <c r="CQ85" s="75"/>
      <c r="CR85" s="75"/>
      <c r="CS85" s="75"/>
    </row>
    <row r="86" spans="33:109" ht="12.75" x14ac:dyDescent="0.2">
      <c r="AG86" s="3" t="s">
        <v>350</v>
      </c>
      <c r="AH86" s="249">
        <f>1</f>
        <v>1</v>
      </c>
      <c r="AI86" s="3">
        <f>+IF(AND(AH11&gt;BD96,AH11&lt;BE96),BF96)+IF(AND(AH11&gt;BD97,AH11&lt;BE97),BF97)</f>
        <v>16.8</v>
      </c>
      <c r="AJ86" s="3">
        <f>AH9/1</f>
        <v>5</v>
      </c>
      <c r="AK86" s="3">
        <f>AI86*AJ86*AH86</f>
        <v>84</v>
      </c>
      <c r="AL86" s="3">
        <v>50</v>
      </c>
      <c r="AM86" s="3">
        <f t="shared" si="5"/>
        <v>4200</v>
      </c>
      <c r="AR86" s="16"/>
      <c r="AS86" s="323"/>
      <c r="AT86" s="197"/>
      <c r="AU86" s="629"/>
      <c r="AV86" s="222">
        <v>450</v>
      </c>
      <c r="AW86" s="222">
        <v>5</v>
      </c>
      <c r="AX86" s="595">
        <f>+'Basic rates'!F53</f>
        <v>1025.0551404000003</v>
      </c>
      <c r="AY86" s="595">
        <f>+'Basic rates'!G53</f>
        <v>1085.3525016000003</v>
      </c>
      <c r="AZ86" s="222" t="s">
        <v>79</v>
      </c>
      <c r="BA86" s="319">
        <v>3</v>
      </c>
      <c r="BE86" s="197"/>
      <c r="BF86" s="240"/>
      <c r="BG86" s="240"/>
      <c r="BH86" s="240"/>
      <c r="BI86" s="240"/>
      <c r="BJ86" s="327"/>
      <c r="BK86" s="16"/>
      <c r="BL86" s="16"/>
      <c r="BM86" s="17"/>
      <c r="BY86" s="75"/>
      <c r="BZ86" s="75"/>
      <c r="CA86" s="75"/>
      <c r="CB86" s="75"/>
      <c r="CC86" s="75"/>
      <c r="CD86" s="75"/>
      <c r="CE86" s="75"/>
      <c r="CF86" s="75"/>
      <c r="CG86" s="75"/>
      <c r="CH86" s="75"/>
      <c r="CI86" s="75"/>
      <c r="CJ86" s="75"/>
      <c r="CK86" s="75"/>
      <c r="CL86" s="75"/>
      <c r="CM86" s="75"/>
      <c r="CN86" s="75"/>
      <c r="CO86" s="75"/>
      <c r="CP86" s="75"/>
      <c r="CQ86" s="75"/>
      <c r="CR86" s="75"/>
      <c r="CS86" s="75"/>
      <c r="CT86" s="75"/>
      <c r="CU86" s="75"/>
      <c r="CV86" s="75"/>
      <c r="CW86" s="75"/>
      <c r="CX86" s="75"/>
      <c r="CY86" s="75"/>
      <c r="CZ86" s="75"/>
      <c r="DA86" s="75"/>
      <c r="DB86" s="75"/>
      <c r="DC86" s="75"/>
      <c r="DD86" s="75"/>
      <c r="DE86" s="75"/>
    </row>
    <row r="87" spans="33:109" ht="12.75" x14ac:dyDescent="0.2">
      <c r="AG87" s="3" t="s">
        <v>351</v>
      </c>
      <c r="AH87" s="249">
        <v>1</v>
      </c>
      <c r="AI87" s="3">
        <f>+IF(AND(AH11&gt;BD96,AH11&lt;BE96),BF96)+IF(AND(AH11&gt;BD97,AH11&lt;BE97),BF97)</f>
        <v>16.8</v>
      </c>
      <c r="AJ87" s="3">
        <f>AH9/1</f>
        <v>5</v>
      </c>
      <c r="AK87" s="3">
        <f>AI87*AJ87*AH87</f>
        <v>84</v>
      </c>
      <c r="AL87" s="3">
        <v>50</v>
      </c>
      <c r="AM87" s="3">
        <f t="shared" si="5"/>
        <v>4200</v>
      </c>
      <c r="AR87" s="16"/>
      <c r="AS87" s="323"/>
      <c r="AT87" s="197"/>
      <c r="AU87" s="629"/>
      <c r="AV87" s="222">
        <v>525</v>
      </c>
      <c r="AW87" s="222">
        <v>6</v>
      </c>
      <c r="AX87" s="595">
        <f>+'Basic rates'!F54</f>
        <v>1983.9142647000006</v>
      </c>
      <c r="AY87" s="595">
        <f>+'Basic rates'!G54</f>
        <v>2100.6151038000007</v>
      </c>
      <c r="AZ87" s="222" t="s">
        <v>79</v>
      </c>
      <c r="BA87" s="240"/>
      <c r="BE87" s="240"/>
      <c r="BF87" s="16"/>
      <c r="BG87" s="16"/>
      <c r="BH87" s="240"/>
      <c r="BI87" s="240"/>
      <c r="BJ87" s="327"/>
      <c r="BK87" s="16"/>
      <c r="BL87" s="16"/>
      <c r="BM87" s="17"/>
      <c r="BN87" s="75"/>
      <c r="BO87" s="75"/>
      <c r="BP87" s="75"/>
      <c r="BQ87" s="75"/>
      <c r="BR87" s="75"/>
      <c r="BS87" s="75"/>
      <c r="BT87" s="75"/>
      <c r="BU87" s="75"/>
      <c r="BV87" s="75"/>
      <c r="BY87" s="75"/>
      <c r="BZ87" s="75"/>
      <c r="CA87" s="75"/>
      <c r="CB87" s="75"/>
      <c r="CC87" s="75"/>
      <c r="CD87" s="75"/>
      <c r="CE87" s="75"/>
      <c r="CF87" s="75"/>
      <c r="CG87" s="75"/>
      <c r="CH87" s="75"/>
      <c r="CI87" s="75"/>
      <c r="CJ87" s="75"/>
      <c r="CK87" s="75"/>
      <c r="CL87" s="75"/>
      <c r="CM87" s="75"/>
      <c r="CN87" s="75"/>
      <c r="CO87" s="75"/>
      <c r="CP87" s="75"/>
      <c r="CQ87" s="75"/>
      <c r="CR87" s="75"/>
      <c r="CS87" s="75"/>
    </row>
    <row r="88" spans="33:109" ht="12.75" x14ac:dyDescent="0.2">
      <c r="AG88" s="3" t="s">
        <v>352</v>
      </c>
      <c r="AH88" s="3" t="s">
        <v>353</v>
      </c>
      <c r="AI88" s="3">
        <f>0.2*0.2*8*7.85</f>
        <v>2.5120000000000005</v>
      </c>
      <c r="AJ88" s="3">
        <v>4</v>
      </c>
      <c r="AK88" s="3">
        <f>AI88*AJ88</f>
        <v>10.048000000000002</v>
      </c>
      <c r="AL88" s="3">
        <v>50</v>
      </c>
      <c r="AM88" s="3">
        <f t="shared" si="5"/>
        <v>502.40000000000009</v>
      </c>
      <c r="AR88" s="16"/>
      <c r="AS88" s="323"/>
      <c r="AT88" s="197"/>
      <c r="AU88" s="629"/>
      <c r="AV88" s="222">
        <v>600</v>
      </c>
      <c r="AW88" s="222">
        <v>8</v>
      </c>
      <c r="AX88" s="595">
        <f>+'Basic rates'!F55</f>
        <v>2522.0026728000007</v>
      </c>
      <c r="AY88" s="595">
        <f>+'Basic rates'!G55</f>
        <v>2670.3557712000011</v>
      </c>
      <c r="AZ88" s="222" t="s">
        <v>79</v>
      </c>
      <c r="BA88" s="240"/>
      <c r="BE88" s="240"/>
      <c r="BF88" s="16"/>
      <c r="BG88" s="16"/>
      <c r="BH88" s="240"/>
      <c r="BI88" s="240"/>
      <c r="BJ88" s="327"/>
      <c r="BK88" s="16"/>
      <c r="BL88" s="16"/>
      <c r="BM88" s="17"/>
      <c r="BN88" s="75"/>
      <c r="BO88" s="75"/>
      <c r="BP88" s="75"/>
      <c r="BQ88" s="75"/>
      <c r="BR88" s="75"/>
      <c r="BS88" s="75"/>
      <c r="BT88" s="75"/>
      <c r="BU88" s="75"/>
      <c r="BV88" s="75"/>
      <c r="BY88" s="75"/>
      <c r="BZ88" s="75"/>
      <c r="CA88" s="75"/>
      <c r="CB88" s="75"/>
      <c r="CC88" s="75"/>
      <c r="CD88" s="75"/>
      <c r="CE88" s="75"/>
      <c r="CF88" s="75"/>
      <c r="CG88" s="75"/>
      <c r="CH88" s="75"/>
      <c r="CI88" s="75"/>
      <c r="CJ88" s="75"/>
      <c r="CK88" s="75"/>
      <c r="CL88" s="75"/>
      <c r="CM88" s="75"/>
      <c r="CN88" s="75"/>
      <c r="CO88" s="75"/>
      <c r="CP88" s="75"/>
      <c r="CQ88" s="75"/>
      <c r="CR88" s="75"/>
      <c r="CS88" s="75"/>
    </row>
    <row r="89" spans="33:109" ht="12.75" x14ac:dyDescent="0.2">
      <c r="AG89" s="3" t="s">
        <v>43</v>
      </c>
      <c r="AH89" s="3"/>
      <c r="AI89" s="249">
        <f>AH11</f>
        <v>35</v>
      </c>
      <c r="AJ89" s="3">
        <v>1</v>
      </c>
      <c r="AK89" s="3">
        <f>AI89*AJ89</f>
        <v>35</v>
      </c>
      <c r="AL89" s="3">
        <v>10</v>
      </c>
      <c r="AM89" s="3">
        <f t="shared" si="5"/>
        <v>350</v>
      </c>
      <c r="AR89" s="16"/>
      <c r="AS89" s="323"/>
      <c r="AT89" s="197"/>
      <c r="AU89" s="629"/>
      <c r="AV89" s="222">
        <v>675</v>
      </c>
      <c r="AW89" s="222">
        <v>8</v>
      </c>
      <c r="AX89" s="595">
        <f>+'Basic rates'!F56</f>
        <v>3086.3073249000008</v>
      </c>
      <c r="AY89" s="595">
        <f>+'Basic rates'!G56</f>
        <v>3267.8548146000012</v>
      </c>
      <c r="AZ89" s="222" t="s">
        <v>79</v>
      </c>
      <c r="BA89" s="240"/>
      <c r="BE89" s="240"/>
      <c r="BF89" s="16"/>
      <c r="BG89" s="16"/>
      <c r="BH89" s="240"/>
      <c r="BI89" s="240"/>
      <c r="BJ89" s="327"/>
      <c r="BK89" s="16"/>
      <c r="BL89" s="16"/>
      <c r="BM89" s="17"/>
      <c r="BN89" s="75"/>
      <c r="BO89" s="75"/>
      <c r="BP89" s="75"/>
      <c r="BQ89" s="75"/>
      <c r="BR89" s="75"/>
      <c r="BS89" s="75"/>
      <c r="BT89" s="75"/>
      <c r="BU89" s="75"/>
      <c r="BV89" s="75"/>
      <c r="CB89" s="75"/>
      <c r="CC89" s="75"/>
      <c r="CD89" s="75"/>
      <c r="CE89" s="75"/>
      <c r="CF89" s="75"/>
      <c r="CG89" s="75"/>
      <c r="CH89" s="75"/>
      <c r="CI89" s="75"/>
      <c r="CJ89" s="75"/>
      <c r="CK89" s="75"/>
      <c r="CL89" s="75"/>
      <c r="CM89" s="75"/>
      <c r="CN89" s="75"/>
      <c r="CO89" s="75"/>
      <c r="CP89" s="75"/>
    </row>
    <row r="90" spans="33:109" ht="12.75" x14ac:dyDescent="0.2">
      <c r="AG90" s="3" t="s">
        <v>354</v>
      </c>
      <c r="AH90" s="3"/>
      <c r="AI90" s="3"/>
      <c r="AJ90" s="3"/>
      <c r="AK90" s="3">
        <f>SUM(AK84:AK89)*0.1</f>
        <v>91.024800000000013</v>
      </c>
      <c r="AL90" s="3">
        <v>50</v>
      </c>
      <c r="AM90" s="3">
        <f t="shared" si="5"/>
        <v>4551.2400000000007</v>
      </c>
      <c r="AR90" s="16"/>
      <c r="AS90" s="323"/>
      <c r="AT90" s="331"/>
      <c r="AU90" s="299"/>
      <c r="AV90" s="223">
        <v>750</v>
      </c>
      <c r="AW90" s="223">
        <v>8</v>
      </c>
      <c r="AX90" s="595">
        <f>+'Basic rates'!F57</f>
        <v>3709.5985259999998</v>
      </c>
      <c r="AY90" s="595">
        <f>+'Basic rates'!G57</f>
        <v>3927.8102039999999</v>
      </c>
      <c r="AZ90" s="222" t="s">
        <v>79</v>
      </c>
      <c r="BA90" s="240"/>
      <c r="BE90" s="240"/>
      <c r="BF90" s="16"/>
      <c r="BG90" s="16"/>
      <c r="BH90" s="240"/>
      <c r="BI90" s="240"/>
      <c r="BJ90" s="327"/>
      <c r="BK90" s="16"/>
      <c r="BL90" s="16"/>
      <c r="BM90" s="17"/>
      <c r="BN90" s="75"/>
      <c r="BO90" s="75"/>
      <c r="BP90" s="75"/>
      <c r="BQ90" s="75"/>
      <c r="BR90" s="75"/>
      <c r="BS90" s="75"/>
      <c r="BT90" s="75"/>
      <c r="BU90" s="75"/>
      <c r="BV90" s="75"/>
      <c r="CB90" s="75"/>
      <c r="CC90" s="75"/>
      <c r="CD90" s="75"/>
      <c r="CE90" s="75"/>
      <c r="CF90" s="75"/>
      <c r="CG90" s="75"/>
      <c r="CH90" s="75"/>
      <c r="CI90" s="75"/>
      <c r="CJ90" s="75"/>
      <c r="CK90" s="75"/>
      <c r="CL90" s="75"/>
      <c r="CM90" s="75"/>
      <c r="CN90" s="75"/>
      <c r="CO90" s="75"/>
      <c r="CP90" s="75"/>
    </row>
    <row r="91" spans="33:109" ht="12.75" x14ac:dyDescent="0.2">
      <c r="AG91" s="3" t="s">
        <v>355</v>
      </c>
      <c r="AH91" s="3"/>
      <c r="AI91" s="3"/>
      <c r="AJ91" s="3"/>
      <c r="AK91" s="3">
        <f>SUM(AK84:AK90)</f>
        <v>1001.2728000000001</v>
      </c>
      <c r="AL91" s="3">
        <v>20</v>
      </c>
      <c r="AM91" s="3">
        <f t="shared" si="5"/>
        <v>20025.456000000002</v>
      </c>
      <c r="AR91" s="16"/>
      <c r="AS91" s="323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327"/>
      <c r="BE91" s="327"/>
      <c r="BF91" s="16"/>
      <c r="BG91" s="327"/>
      <c r="BH91" s="327"/>
      <c r="BI91" s="327"/>
      <c r="BJ91" s="327"/>
      <c r="BK91" s="197"/>
      <c r="BL91" s="197"/>
      <c r="BM91" s="332"/>
      <c r="BN91" s="75"/>
      <c r="BO91" s="75"/>
      <c r="BP91" s="75"/>
      <c r="BQ91" s="75"/>
      <c r="BR91" s="75"/>
      <c r="BS91" s="75"/>
      <c r="BT91" s="75"/>
      <c r="BU91" s="75"/>
      <c r="BV91" s="75"/>
      <c r="BY91" s="75"/>
      <c r="BZ91" s="75"/>
      <c r="CA91" s="75"/>
      <c r="CH91" s="75"/>
      <c r="CQ91" s="75"/>
      <c r="CR91" s="75"/>
      <c r="CS91" s="75"/>
    </row>
    <row r="92" spans="33:109" ht="13.5" thickBot="1" x14ac:dyDescent="0.25">
      <c r="AG92" s="3" t="s">
        <v>356</v>
      </c>
      <c r="AH92" s="3"/>
      <c r="AI92" s="3"/>
      <c r="AJ92" s="3"/>
      <c r="AK92" s="249">
        <f>AH11</f>
        <v>35</v>
      </c>
      <c r="AL92" s="3">
        <v>30</v>
      </c>
      <c r="AM92" s="3">
        <f t="shared" si="5"/>
        <v>1050</v>
      </c>
      <c r="AR92" s="16"/>
      <c r="AS92" s="323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327"/>
      <c r="BE92" s="327"/>
      <c r="BF92" s="327"/>
      <c r="BG92" s="327"/>
      <c r="BH92" s="327"/>
      <c r="BI92" s="327"/>
      <c r="BJ92" s="327"/>
      <c r="BK92" s="16"/>
      <c r="BL92" s="197"/>
      <c r="BM92" s="332"/>
      <c r="BN92" s="75"/>
      <c r="BO92" s="75"/>
      <c r="BP92" s="75"/>
      <c r="BQ92" s="75"/>
      <c r="BR92" s="75"/>
      <c r="BS92" s="75"/>
      <c r="BT92" s="75"/>
      <c r="BU92" s="75"/>
      <c r="BV92" s="75"/>
    </row>
    <row r="93" spans="33:109" ht="13.5" thickBot="1" x14ac:dyDescent="0.25">
      <c r="AG93" s="412" t="s">
        <v>63</v>
      </c>
      <c r="AH93" s="548"/>
      <c r="AI93" s="552"/>
      <c r="AJ93" s="553"/>
      <c r="AK93" s="553"/>
      <c r="AL93" s="553"/>
      <c r="AM93" s="554">
        <f>SUM(AM84:AM92)</f>
        <v>69739.096000000005</v>
      </c>
      <c r="AR93" s="16"/>
      <c r="AS93" s="323"/>
      <c r="AT93" s="16"/>
      <c r="AU93" s="16"/>
      <c r="AV93" s="16"/>
      <c r="AW93" s="16"/>
      <c r="AX93" s="16"/>
      <c r="AY93" s="16"/>
      <c r="AZ93" s="197"/>
      <c r="BA93" s="197"/>
      <c r="BB93" s="197"/>
      <c r="BC93" s="197"/>
      <c r="BD93" s="240"/>
      <c r="BE93" s="240"/>
      <c r="BF93" s="240"/>
      <c r="BG93" s="240"/>
      <c r="BH93" s="240"/>
      <c r="BI93" s="240"/>
      <c r="BJ93" s="327"/>
      <c r="BK93" s="16"/>
      <c r="BL93" s="197"/>
      <c r="BM93" s="332"/>
      <c r="BN93" s="75"/>
      <c r="BO93" s="75"/>
      <c r="BP93" s="75"/>
      <c r="BQ93" s="75"/>
      <c r="BR93" s="75"/>
      <c r="BS93" s="75"/>
      <c r="BT93" s="75"/>
      <c r="BU93" s="75"/>
      <c r="BV93" s="75"/>
      <c r="BW93" s="75"/>
      <c r="BX93" s="75"/>
      <c r="CB93" s="75"/>
      <c r="CC93" s="75"/>
      <c r="CD93" s="75"/>
      <c r="CE93" s="75"/>
      <c r="CF93" s="75"/>
      <c r="CG93" s="75"/>
      <c r="CI93" s="75"/>
      <c r="CJ93" s="75"/>
      <c r="CK93" s="75"/>
      <c r="CL93" s="75"/>
      <c r="CM93" s="75"/>
      <c r="CN93" s="75"/>
      <c r="CO93" s="75"/>
      <c r="CP93" s="75"/>
    </row>
    <row r="94" spans="33:109" ht="12.75" x14ac:dyDescent="0.2">
      <c r="AR94" s="16"/>
      <c r="AS94" s="323"/>
      <c r="AT94" s="16" t="s">
        <v>271</v>
      </c>
      <c r="AU94" s="293" t="s">
        <v>37</v>
      </c>
      <c r="AV94" s="222" t="s">
        <v>74</v>
      </c>
      <c r="AW94" s="222"/>
      <c r="AX94" s="222"/>
      <c r="AY94" s="222"/>
      <c r="AZ94" s="43"/>
      <c r="BA94" s="43"/>
      <c r="BB94" s="43"/>
      <c r="BC94" s="43"/>
      <c r="BD94" s="241"/>
      <c r="BE94" s="241"/>
      <c r="BF94" s="327"/>
      <c r="BG94" s="327"/>
      <c r="BH94" s="327"/>
      <c r="BI94" s="327"/>
      <c r="BJ94" s="327"/>
      <c r="BK94" s="16"/>
      <c r="BL94" s="197"/>
      <c r="BM94" s="332"/>
      <c r="BN94" s="75"/>
      <c r="BO94" s="75"/>
      <c r="BP94" s="75"/>
      <c r="BQ94" s="75"/>
      <c r="BR94" s="75"/>
      <c r="BS94" s="75"/>
      <c r="BT94" s="75"/>
      <c r="BU94" s="75"/>
      <c r="BV94" s="75"/>
      <c r="BW94" s="75"/>
      <c r="BX94" s="75"/>
      <c r="CH94" s="75"/>
    </row>
    <row r="95" spans="33:109" ht="15" x14ac:dyDescent="0.25">
      <c r="AR95" s="16"/>
      <c r="AS95" s="323"/>
      <c r="AT95" s="16"/>
      <c r="AU95" s="627"/>
      <c r="AV95" s="222">
        <v>12</v>
      </c>
      <c r="AW95" s="222" t="s">
        <v>44</v>
      </c>
      <c r="AX95" s="370">
        <f>+'Basic rates'!E60</f>
        <v>400</v>
      </c>
      <c r="AY95" s="222" t="s">
        <v>45</v>
      </c>
      <c r="AZ95" s="43"/>
      <c r="BA95" s="43"/>
      <c r="BB95" s="43"/>
      <c r="BC95" s="43"/>
      <c r="BD95" s="43"/>
      <c r="BE95" s="43"/>
      <c r="BF95" s="327"/>
      <c r="BG95" s="327"/>
      <c r="BH95" s="327"/>
      <c r="BI95" s="327"/>
      <c r="BJ95" s="240"/>
      <c r="BK95" s="197"/>
      <c r="BL95" s="197"/>
      <c r="BM95" s="332"/>
      <c r="BW95" s="75"/>
      <c r="BX95" s="75"/>
    </row>
    <row r="96" spans="33:109" ht="15" x14ac:dyDescent="0.25">
      <c r="AG96" s="570" t="s">
        <v>362</v>
      </c>
      <c r="AH96" s="571">
        <v>2</v>
      </c>
      <c r="AI96" s="559"/>
      <c r="AJ96" s="559">
        <v>1</v>
      </c>
      <c r="AK96" s="572" t="s">
        <v>13</v>
      </c>
      <c r="AL96" s="560">
        <v>3000</v>
      </c>
      <c r="AM96" s="560">
        <f>IF(AH96=AH99,AL96*AJ96,0)</f>
        <v>0</v>
      </c>
      <c r="AR96" s="16"/>
      <c r="AS96" s="323"/>
      <c r="AT96" s="16"/>
      <c r="AU96" s="627"/>
      <c r="AV96" s="222">
        <v>24</v>
      </c>
      <c r="AW96" s="222" t="s">
        <v>44</v>
      </c>
      <c r="AX96" s="370">
        <f>+'Basic rates'!E61</f>
        <v>600</v>
      </c>
      <c r="AY96" s="222" t="s">
        <v>45</v>
      </c>
      <c r="AZ96" s="16"/>
      <c r="BA96" s="16"/>
      <c r="BB96" s="16"/>
      <c r="BC96" s="16"/>
      <c r="BD96" s="591">
        <v>0.01</v>
      </c>
      <c r="BE96" s="591">
        <v>30.01</v>
      </c>
      <c r="BF96" s="591">
        <v>13.8</v>
      </c>
      <c r="BG96" s="591" t="s">
        <v>357</v>
      </c>
      <c r="BH96" s="327"/>
      <c r="BI96" s="327"/>
      <c r="BJ96" s="327"/>
      <c r="BK96" s="197"/>
      <c r="BL96" s="197"/>
      <c r="BM96" s="332"/>
      <c r="BW96" s="75"/>
      <c r="BX96" s="75"/>
    </row>
    <row r="97" spans="2:76" ht="12.75" x14ac:dyDescent="0.2">
      <c r="AR97" s="16"/>
      <c r="AS97" s="323"/>
      <c r="AT97" s="16"/>
      <c r="AU97" s="628"/>
      <c r="AV97" s="222">
        <v>36</v>
      </c>
      <c r="AW97" s="222" t="s">
        <v>44</v>
      </c>
      <c r="AX97" s="370">
        <f>+'Basic rates'!E62</f>
        <v>1000</v>
      </c>
      <c r="AY97" s="222" t="s">
        <v>45</v>
      </c>
      <c r="AZ97" s="16"/>
      <c r="BA97" s="16"/>
      <c r="BB97" s="16"/>
      <c r="BC97" s="16"/>
      <c r="BD97" s="591">
        <v>30.01</v>
      </c>
      <c r="BE97" s="591">
        <v>200</v>
      </c>
      <c r="BF97" s="591">
        <v>16.8</v>
      </c>
      <c r="BG97" s="591" t="s">
        <v>358</v>
      </c>
      <c r="BH97" s="327"/>
      <c r="BI97" s="327"/>
      <c r="BJ97" s="327"/>
      <c r="BK97" s="197"/>
      <c r="BL97" s="197"/>
      <c r="BM97" s="332"/>
      <c r="BW97" s="75"/>
      <c r="BX97" s="75"/>
    </row>
    <row r="98" spans="2:76" ht="12.75" x14ac:dyDescent="0.2">
      <c r="AR98" s="16"/>
      <c r="AS98" s="323"/>
      <c r="AT98" s="86"/>
      <c r="AU98" s="222"/>
      <c r="AV98" s="478" t="s">
        <v>46</v>
      </c>
      <c r="AW98" s="222" t="s">
        <v>44</v>
      </c>
      <c r="AX98" s="370">
        <f>+'Basic rates'!E63</f>
        <v>1000</v>
      </c>
      <c r="AY98" s="222" t="s">
        <v>45</v>
      </c>
      <c r="AZ98" s="16"/>
      <c r="BA98" s="16"/>
      <c r="BB98" s="16"/>
      <c r="BC98" s="16"/>
      <c r="BD98" s="16"/>
      <c r="BE98" s="16"/>
      <c r="BF98" s="327"/>
      <c r="BG98" s="327"/>
      <c r="BH98" s="327"/>
      <c r="BI98" s="327"/>
      <c r="BJ98" s="197"/>
      <c r="BK98" s="197"/>
      <c r="BL98" s="197"/>
      <c r="BM98" s="332"/>
      <c r="BW98" s="75"/>
      <c r="BX98" s="75"/>
    </row>
    <row r="99" spans="2:76" ht="12.75" x14ac:dyDescent="0.2">
      <c r="AH99" s="569">
        <v>1</v>
      </c>
      <c r="AR99" s="16"/>
      <c r="AS99" s="323"/>
      <c r="AT99" s="105"/>
      <c r="AU99" s="591"/>
      <c r="AV99" s="479" t="s">
        <v>101</v>
      </c>
      <c r="AW99" s="223" t="s">
        <v>44</v>
      </c>
      <c r="AX99" s="370">
        <f>+'Basic rates'!E64</f>
        <v>1000</v>
      </c>
      <c r="AY99" s="480" t="s">
        <v>13</v>
      </c>
      <c r="AZ99" s="16"/>
      <c r="BA99" s="16"/>
      <c r="BB99" s="16"/>
      <c r="BC99" s="16"/>
      <c r="BD99" s="16"/>
      <c r="BE99" s="16"/>
      <c r="BF99" s="327"/>
      <c r="BG99" s="327"/>
      <c r="BH99" s="327"/>
      <c r="BI99" s="327"/>
      <c r="BJ99" s="327"/>
      <c r="BK99" s="16"/>
      <c r="BL99" s="16"/>
      <c r="BM99" s="17"/>
      <c r="BW99" s="75"/>
      <c r="BX99" s="75"/>
    </row>
    <row r="100" spans="2:76" ht="12.75" x14ac:dyDescent="0.2">
      <c r="AH100" s="569">
        <v>2</v>
      </c>
      <c r="AR100" s="16"/>
      <c r="AS100" s="323"/>
      <c r="AT100" s="105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327"/>
      <c r="BG100" s="327"/>
      <c r="BH100" s="327"/>
      <c r="BI100" s="327"/>
      <c r="BJ100" s="327"/>
      <c r="BK100" s="16"/>
      <c r="BL100" s="16"/>
      <c r="BM100" s="17"/>
      <c r="BW100" s="75"/>
      <c r="BX100" s="75"/>
    </row>
    <row r="101" spans="2:76" ht="12.75" x14ac:dyDescent="0.2">
      <c r="AG101" s="706"/>
      <c r="AH101" s="707"/>
      <c r="AI101" s="706"/>
      <c r="AJ101" s="706"/>
      <c r="AK101" s="706"/>
      <c r="AL101" s="706"/>
      <c r="AM101" s="706"/>
      <c r="AR101" s="16"/>
      <c r="AS101" s="323"/>
      <c r="AT101" s="197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327"/>
      <c r="BG101" s="327"/>
      <c r="BH101" s="327"/>
      <c r="BI101" s="327"/>
      <c r="BJ101" s="327"/>
      <c r="BK101" s="16"/>
      <c r="BL101" s="16"/>
      <c r="BM101" s="17"/>
    </row>
    <row r="102" spans="2:76" ht="12.75" x14ac:dyDescent="0.2">
      <c r="AG102" s="755" t="s">
        <v>440</v>
      </c>
      <c r="AH102" s="756"/>
      <c r="AI102" s="757"/>
      <c r="AJ102" s="708" t="s">
        <v>343</v>
      </c>
      <c r="AK102" s="709">
        <v>5</v>
      </c>
      <c r="AL102" s="710">
        <v>478</v>
      </c>
      <c r="AM102" s="710">
        <f>+AK102*AL102</f>
        <v>2390</v>
      </c>
      <c r="AR102" s="16"/>
      <c r="AS102" s="323"/>
      <c r="AT102" s="197" t="s">
        <v>272</v>
      </c>
      <c r="AU102" s="293" t="s">
        <v>273</v>
      </c>
      <c r="AV102" s="591"/>
      <c r="AW102" s="591"/>
      <c r="AX102" s="591"/>
      <c r="AY102" s="16"/>
      <c r="AZ102" s="16"/>
      <c r="BA102" s="16"/>
      <c r="BB102" s="16"/>
      <c r="BC102" s="16"/>
      <c r="BD102" s="327"/>
      <c r="BE102" s="327"/>
      <c r="BF102" s="327"/>
      <c r="BG102" s="327"/>
      <c r="BH102" s="327"/>
      <c r="BI102" s="327"/>
      <c r="BJ102" s="327"/>
      <c r="BK102" s="16"/>
      <c r="BL102" s="16"/>
      <c r="BM102" s="17"/>
    </row>
    <row r="103" spans="2:76" ht="12.75" x14ac:dyDescent="0.2">
      <c r="AR103" s="16"/>
      <c r="AS103" s="323"/>
      <c r="AT103" s="197"/>
      <c r="AU103" s="591" t="s">
        <v>276</v>
      </c>
      <c r="AV103" s="630" t="s">
        <v>274</v>
      </c>
      <c r="AW103" s="630" t="s">
        <v>275</v>
      </c>
      <c r="AX103" s="630">
        <v>1</v>
      </c>
      <c r="BB103" s="43"/>
      <c r="BC103" s="43"/>
      <c r="BD103" s="241"/>
      <c r="BE103" s="241"/>
      <c r="BF103" s="327"/>
      <c r="BG103" s="327"/>
      <c r="BH103" s="327"/>
      <c r="BI103" s="327"/>
      <c r="BJ103" s="327"/>
      <c r="BK103" s="16"/>
      <c r="BL103" s="16"/>
      <c r="BM103" s="17"/>
      <c r="BW103" s="75"/>
      <c r="BX103" s="75"/>
    </row>
    <row r="104" spans="2:76" ht="12.75" x14ac:dyDescent="0.2">
      <c r="AR104" s="16"/>
      <c r="AS104" s="323"/>
      <c r="AT104" s="197"/>
      <c r="AU104" s="222">
        <v>400</v>
      </c>
      <c r="AV104" s="631">
        <f>+'Basic rates'!E68</f>
        <v>356.23249200000004</v>
      </c>
      <c r="AW104" s="631">
        <f>+'Basic rates'!G68</f>
        <v>407.12284800000009</v>
      </c>
      <c r="AX104" s="630">
        <v>2</v>
      </c>
      <c r="BB104" s="43"/>
      <c r="BC104" s="43"/>
      <c r="BD104" s="241"/>
      <c r="BE104" s="241"/>
      <c r="BF104" s="327"/>
      <c r="BG104" s="327"/>
      <c r="BH104" s="327"/>
      <c r="BI104" s="327"/>
      <c r="BJ104" s="327"/>
      <c r="BK104" s="16"/>
      <c r="BL104" s="16"/>
      <c r="BM104" s="17"/>
      <c r="BN104" s="75"/>
      <c r="BO104" s="75"/>
      <c r="BP104" s="75"/>
      <c r="BQ104" s="75"/>
      <c r="BR104" s="75"/>
      <c r="BS104" s="75"/>
      <c r="BT104" s="75"/>
      <c r="BU104" s="75"/>
      <c r="BV104" s="75"/>
    </row>
    <row r="105" spans="2:76" ht="12.75" x14ac:dyDescent="0.2">
      <c r="AR105" s="16"/>
      <c r="AS105" s="323"/>
      <c r="AT105" s="197"/>
      <c r="AU105" s="222">
        <v>450</v>
      </c>
      <c r="AV105" s="631">
        <f>+'Basic rates'!E69</f>
        <v>404.80965000000009</v>
      </c>
      <c r="AW105" s="631">
        <f>+'Basic rates'!G69</f>
        <v>462.63960000000009</v>
      </c>
      <c r="AX105" s="319"/>
      <c r="BB105" s="43"/>
      <c r="BC105" s="43"/>
      <c r="BD105" s="241"/>
      <c r="BE105" s="241"/>
      <c r="BF105" s="327"/>
      <c r="BG105" s="327"/>
      <c r="BH105" s="327"/>
      <c r="BI105" s="327"/>
      <c r="BJ105" s="327"/>
      <c r="BK105" s="16"/>
      <c r="BL105" s="16"/>
      <c r="BM105" s="17"/>
      <c r="BN105" s="75"/>
      <c r="BO105" s="75"/>
      <c r="BP105" s="75"/>
      <c r="BQ105" s="75"/>
      <c r="BR105" s="75"/>
      <c r="BS105" s="75"/>
      <c r="BT105" s="75"/>
      <c r="BU105" s="75"/>
      <c r="BV105" s="75"/>
    </row>
    <row r="106" spans="2:76" ht="12.75" x14ac:dyDescent="0.2">
      <c r="B106" s="3"/>
      <c r="C106" s="3">
        <v>1</v>
      </c>
      <c r="D106" s="3">
        <v>2</v>
      </c>
      <c r="E106" s="3">
        <v>3</v>
      </c>
      <c r="F106" s="3">
        <v>4</v>
      </c>
      <c r="G106" s="3">
        <v>5</v>
      </c>
      <c r="H106" s="3">
        <v>6</v>
      </c>
      <c r="I106" s="3">
        <v>7</v>
      </c>
      <c r="J106" s="3">
        <v>8</v>
      </c>
      <c r="K106" s="3">
        <v>9</v>
      </c>
      <c r="L106" s="3">
        <v>10</v>
      </c>
      <c r="M106" s="3">
        <v>11</v>
      </c>
      <c r="N106" s="3">
        <v>12</v>
      </c>
      <c r="O106" s="3">
        <v>13</v>
      </c>
      <c r="P106" s="3">
        <v>14</v>
      </c>
      <c r="Q106" s="3">
        <v>15</v>
      </c>
      <c r="R106" s="3">
        <v>16</v>
      </c>
      <c r="S106" s="3">
        <v>1</v>
      </c>
      <c r="T106" s="3">
        <v>2</v>
      </c>
      <c r="U106" s="3">
        <v>3</v>
      </c>
      <c r="V106" s="3">
        <v>4</v>
      </c>
      <c r="W106" s="3">
        <v>5</v>
      </c>
      <c r="X106" s="3">
        <v>6</v>
      </c>
      <c r="Y106" s="3">
        <v>7</v>
      </c>
      <c r="Z106" s="3">
        <v>8</v>
      </c>
      <c r="AA106" s="3">
        <v>9</v>
      </c>
      <c r="AB106" s="3">
        <v>10</v>
      </c>
      <c r="AC106" s="3">
        <v>11</v>
      </c>
      <c r="AD106" s="3">
        <v>12</v>
      </c>
      <c r="AE106" s="3">
        <v>13</v>
      </c>
      <c r="AF106" s="3">
        <v>14</v>
      </c>
      <c r="AN106" s="3">
        <v>22</v>
      </c>
      <c r="AR106" s="16"/>
      <c r="AS106" s="323"/>
      <c r="AT106" s="197"/>
      <c r="AU106" s="222">
        <v>525</v>
      </c>
      <c r="AV106" s="631">
        <f>+'Basic rates'!E70</f>
        <v>477.67538700000011</v>
      </c>
      <c r="AW106" s="631">
        <f>+'Basic rates'!G70</f>
        <v>545.91472800000008</v>
      </c>
      <c r="AX106" s="319"/>
      <c r="BB106" s="241"/>
      <c r="BC106" s="241"/>
      <c r="BD106" s="241"/>
      <c r="BE106" s="241"/>
      <c r="BF106" s="327"/>
      <c r="BG106" s="327"/>
      <c r="BH106" s="327"/>
      <c r="BI106" s="327"/>
      <c r="BJ106" s="327"/>
      <c r="BK106" s="16"/>
      <c r="BL106" s="16"/>
      <c r="BM106" s="17"/>
      <c r="BN106" s="75"/>
      <c r="BO106" s="75"/>
      <c r="BP106" s="75"/>
      <c r="BQ106" s="75"/>
      <c r="BR106" s="75"/>
      <c r="BS106" s="75"/>
      <c r="BT106" s="75"/>
      <c r="BU106" s="75"/>
      <c r="BV106" s="75"/>
    </row>
    <row r="107" spans="2:76" ht="12.75" x14ac:dyDescent="0.2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>
        <f>+IF(AND(AH27=AY64,AH9&lt;=2,AH10&lt;=8),4,0)</f>
        <v>0</v>
      </c>
      <c r="T107" s="3">
        <f>+IF(AND(AH27=AY64,AH9&gt;2,AH9&lt;=2.5,AH10&lt;=6.5),4,0)</f>
        <v>0</v>
      </c>
      <c r="U107" s="3">
        <f>+IF(AND(AH27=AY64,AH9&gt;2.5,AH9&lt;=3,AH10&lt;=6.5),4,0)</f>
        <v>0</v>
      </c>
      <c r="V107" s="3">
        <f>+IF(AND(AH27=AY64,AH9&gt;3,AH9&lt;=3.5,AH10&lt;=5.5),4,0)</f>
        <v>0</v>
      </c>
      <c r="W107" s="3">
        <f>+IF(AND(AH27=AY64,AH9&gt;3.5,AH9&lt;=4,AH10&lt;=3.5),4,0)</f>
        <v>0</v>
      </c>
      <c r="X107" s="3">
        <f>+IF(AND(AH27=AY64,AH9&gt;4,AH9&lt;=4.5,AH10&lt;=2.5),4,0)</f>
        <v>0</v>
      </c>
      <c r="Y107" s="3">
        <f>+IF(AND(AH27=AY64,AH9&gt;4.5,AH9&lt;=5,AH10&lt;=2.5),4,0)</f>
        <v>0</v>
      </c>
      <c r="Z107" s="3"/>
      <c r="AA107" s="3"/>
      <c r="AB107" s="3"/>
      <c r="AC107" s="3"/>
      <c r="AD107" s="3"/>
      <c r="AE107" s="3"/>
      <c r="AF107" s="3"/>
      <c r="AG107" s="3">
        <v>15</v>
      </c>
      <c r="AH107" s="6">
        <v>16</v>
      </c>
      <c r="AI107" s="3"/>
      <c r="AJ107" s="3">
        <v>18</v>
      </c>
      <c r="AK107" s="3">
        <v>19</v>
      </c>
      <c r="AL107" s="3">
        <v>20</v>
      </c>
      <c r="AM107" s="3">
        <v>21</v>
      </c>
      <c r="AN107" s="3"/>
      <c r="AR107" s="16"/>
      <c r="AS107" s="323"/>
      <c r="AT107" s="16"/>
      <c r="AU107" s="222">
        <v>600</v>
      </c>
      <c r="AV107" s="631">
        <f>+'Basic rates'!E71</f>
        <v>550.54112400000008</v>
      </c>
      <c r="AW107" s="631">
        <f>+'Basic rates'!G71</f>
        <v>629.18985600000008</v>
      </c>
      <c r="AX107" s="319"/>
      <c r="BB107" s="241"/>
      <c r="BC107" s="241"/>
      <c r="BD107" s="241"/>
      <c r="BE107" s="241"/>
      <c r="BF107" s="327"/>
      <c r="BG107" s="327"/>
      <c r="BH107" s="327"/>
      <c r="BI107" s="327"/>
      <c r="BJ107" s="327"/>
      <c r="BK107" s="16"/>
      <c r="BL107" s="16"/>
      <c r="BM107" s="17"/>
      <c r="BN107" s="75"/>
      <c r="BO107" s="75"/>
      <c r="BP107" s="75"/>
      <c r="BQ107" s="75"/>
      <c r="BR107" s="75"/>
      <c r="BS107" s="75"/>
      <c r="BT107" s="75"/>
      <c r="BU107" s="75"/>
      <c r="BV107" s="75"/>
    </row>
    <row r="108" spans="2:76" ht="12.75" x14ac:dyDescent="0.2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>
        <f>+IF(AND(AH27=AY64,AH9&lt;=2,AH10&gt;8,AH10&lt;=12.01),5,0)</f>
        <v>0</v>
      </c>
      <c r="T108" s="3">
        <f>+IF(AND(AH27=AY64,AH9&gt;2,AH9&lt;=2.5,AH10&gt;6.5,AH10&lt;=12.01),5,0)</f>
        <v>0</v>
      </c>
      <c r="U108" s="3">
        <f>+IF(AND(AH27=AY64,AH9&gt;2.5,AH9&lt;=3,AH10&gt;6.5,AH10&lt;=8),5,0)</f>
        <v>0</v>
      </c>
      <c r="V108" s="3">
        <f>+IF(AND(AH27=AY64,AH9&gt;3,AH9&lt;=3.5,AH10&gt;5.5,AH10&lt;=8.5),5,0)</f>
        <v>0</v>
      </c>
      <c r="W108" s="3">
        <f>+IF(AND(AH27=AY64,AH9&gt;3.5,AH9&lt;=4,AH10&gt;3.5,AH10&lt;=7),5,0)</f>
        <v>0</v>
      </c>
      <c r="X108" s="3">
        <f>+IF(AND(AH27=AY64,AH9&gt;4,AH9&lt;=4.5,AH10&gt;2.5,AH10&lt;=5.5),5,0)</f>
        <v>0</v>
      </c>
      <c r="Y108" s="3">
        <f>+IF(AND(AH27=AY64,AH9&gt;4.5,AH9&lt;=5,AH10&gt;2.5,AH10&lt;=4),5,0)</f>
        <v>0</v>
      </c>
      <c r="Z108" s="3">
        <f>+IF(AND(AH27=AY64,AH9&gt;5,AH9&lt;=5.5,AH10&lt;=2.5),5,0)</f>
        <v>0</v>
      </c>
      <c r="AA108" s="3"/>
      <c r="AB108" s="3"/>
      <c r="AC108" s="3"/>
      <c r="AD108" s="3"/>
      <c r="AE108" s="3"/>
      <c r="AF108" s="3"/>
      <c r="AG108" s="3"/>
      <c r="AH108" s="6"/>
      <c r="AI108" s="3"/>
      <c r="AJ108" s="3"/>
      <c r="AK108" s="3"/>
      <c r="AL108" s="3"/>
      <c r="AM108" s="3"/>
      <c r="AN108" s="3"/>
      <c r="AR108" s="16"/>
      <c r="AS108" s="323" t="s">
        <v>310</v>
      </c>
      <c r="AT108" s="16"/>
      <c r="AU108" s="222">
        <v>675</v>
      </c>
      <c r="AV108" s="631">
        <f>+'Basic rates'!E72</f>
        <v>623.40686100000005</v>
      </c>
      <c r="AW108" s="631">
        <f>+'Basic rates'!G72</f>
        <v>712.46498400000007</v>
      </c>
      <c r="AX108" s="319"/>
      <c r="BB108" s="241"/>
      <c r="BC108" s="241"/>
      <c r="BD108" s="241"/>
      <c r="BE108" s="241"/>
      <c r="BF108" s="327"/>
      <c r="BG108" s="327"/>
      <c r="BH108" s="327"/>
      <c r="BI108" s="327"/>
      <c r="BJ108" s="240"/>
      <c r="BK108" s="197"/>
      <c r="BL108" s="197"/>
      <c r="BM108" s="332"/>
      <c r="BN108" s="75"/>
      <c r="BO108" s="75"/>
      <c r="BP108" s="75"/>
      <c r="BQ108" s="75"/>
      <c r="BR108" s="75"/>
      <c r="BS108" s="75"/>
      <c r="BT108" s="75"/>
      <c r="BU108" s="75"/>
      <c r="BV108" s="75"/>
    </row>
    <row r="109" spans="2:76" ht="12.75" x14ac:dyDescent="0.2">
      <c r="B109" s="3"/>
      <c r="C109" s="3">
        <f>IF(AND(AH27=AY65,AH9&lt;=4,AH10&lt;=12.1),6,0)</f>
        <v>0</v>
      </c>
      <c r="D109" s="3">
        <f>+IF(AND(AH27=AY65,AH9&gt;4,AH9&lt;=4.5,AH10&lt;=10),6,0)</f>
        <v>0</v>
      </c>
      <c r="E109" s="3">
        <f>+IF(AND(AH27=AY65,AH9&gt;4.5,AH9&lt;=5,AH10&lt;=7),6,0)</f>
        <v>0</v>
      </c>
      <c r="F109" s="3">
        <f>+IF(AND(AH27=AY65,AH9&gt;5,AH9&lt;=5.5,AH10&lt;=5),6,0)</f>
        <v>0</v>
      </c>
      <c r="G109" s="3">
        <f>+IF(AND(AH27=AY65,AH9&gt;5.5,AH9&lt;=6,AH10&lt;=4),6,0)</f>
        <v>0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>
        <f>+IF(AND(AH27=AY64,AH9&gt;2.5,AH9&lt;=3,AH10&gt;8,AH10&lt;=9),6,0)</f>
        <v>0</v>
      </c>
      <c r="V109" s="3">
        <f>+IF(AND(AH27=AY64,AH9&gt;3,AH9&lt;=3.5,AH10&gt;8.5,AH10&lt;=9.5),6,0)</f>
        <v>0</v>
      </c>
      <c r="W109" s="3">
        <f>+IF(AND(AH27=AY64,AH9&gt;3.5,AH9&lt;=4,AH10&gt;7,AH10&lt;=9.5),6,0)</f>
        <v>0</v>
      </c>
      <c r="X109" s="3">
        <f>+IF(AND(AH27=AY64,AH9&gt;4,AH9&lt;=4.5,AH10&gt;5.5,AH10&lt;=9),6,0)</f>
        <v>0</v>
      </c>
      <c r="Y109" s="3">
        <f>+IF(AND(AH27=AY64,AH9&gt;4.5,AH9&lt;=5,AH10&gt;4,AH10&lt;=7.5),6,0)</f>
        <v>6</v>
      </c>
      <c r="Z109" s="3">
        <f>+IF(AND(AH27=AY64,AH9&gt;5,AH9&lt;=5.5,AH10&gt;2.5,AH10&lt;=7.5),6,0)</f>
        <v>0</v>
      </c>
      <c r="AA109" s="3">
        <f>+IF(AND(AH27=AY64,AH9&gt;5.5,AH9&lt;=6,AH10&lt;=6),6,0)</f>
        <v>0</v>
      </c>
      <c r="AB109" s="3">
        <f>+IF(AND(AH27=AY64,AH9&gt;6,AH9&lt;=6.5,AH10&lt;=4),6,0)</f>
        <v>0</v>
      </c>
      <c r="AC109" s="3">
        <f>+IF(AND(AH27=AY64,AH9&gt;6.5,AH9&lt;=7,AH10&lt;=3),6,0)</f>
        <v>0</v>
      </c>
      <c r="AD109" s="3">
        <f>+IF(AND(AH27=AY64,AH9&gt;7,AH9&lt;=7.5,AH10&lt;=2),6,0)</f>
        <v>0</v>
      </c>
      <c r="AE109" s="3"/>
      <c r="AF109" s="3"/>
      <c r="AG109" s="3"/>
      <c r="AH109" s="6"/>
      <c r="AI109" s="3"/>
      <c r="AJ109" s="3"/>
      <c r="AK109" s="3"/>
      <c r="AL109" s="3"/>
      <c r="AM109" s="3"/>
      <c r="AN109" s="3"/>
      <c r="AR109" s="16"/>
      <c r="AS109" s="323"/>
      <c r="AT109" s="197"/>
      <c r="AU109" s="459">
        <v>750</v>
      </c>
      <c r="AV109" s="631">
        <f>+'Basic rates'!E73</f>
        <v>696.27259800000002</v>
      </c>
      <c r="AW109" s="631">
        <f>+'Basic rates'!G73</f>
        <v>795.74011200000007</v>
      </c>
      <c r="AX109" s="319"/>
      <c r="BB109" s="327"/>
      <c r="BC109" s="241"/>
      <c r="BD109" s="241"/>
      <c r="BE109" s="241"/>
      <c r="BF109" s="241"/>
      <c r="BG109" s="241"/>
      <c r="BH109" s="241"/>
      <c r="BI109" s="241"/>
      <c r="BJ109" s="240"/>
      <c r="BK109" s="197"/>
      <c r="BL109" s="197"/>
      <c r="BM109" s="332"/>
      <c r="BN109" s="75"/>
      <c r="BO109" s="75"/>
      <c r="BP109" s="75"/>
      <c r="BQ109" s="75"/>
      <c r="BR109" s="75"/>
      <c r="BS109" s="75"/>
      <c r="BT109" s="75"/>
      <c r="BU109" s="75"/>
      <c r="BV109" s="75"/>
    </row>
    <row r="110" spans="2:76" ht="12.75" x14ac:dyDescent="0.2">
      <c r="B110" s="3"/>
      <c r="C110" s="3"/>
      <c r="D110" s="3">
        <f>+IF(AND(AH27=AY65,AH9&gt;4,AH9&lt;=4.5,AH10&gt;10,AH10&lt;=12.01),8,0)</f>
        <v>0</v>
      </c>
      <c r="E110" s="3">
        <f>+IF(AND(AH27=AY65,AH9&gt;4.5,AH9&lt;=5,AH10&gt;7,AH10&lt;=12.01),8,0)</f>
        <v>0</v>
      </c>
      <c r="F110" s="3">
        <f>+IF(AND(AH27=AY65,AH9&gt;5,AH9&lt;=5.5,AH10&gt;5,AH10&lt;=12.01),8,0)</f>
        <v>0</v>
      </c>
      <c r="G110" s="3">
        <f>+IF(AND(AH27=AY65,AH9&gt;5.5,AH9&lt;=6,AH10&gt;4,AH10&lt;=12.01),8,0)</f>
        <v>0</v>
      </c>
      <c r="H110" s="3">
        <f>+IF(AND(AH27=AY65,AH9&gt;6,AH9&lt;=6.5,AH10&lt;=9),8,0)</f>
        <v>0</v>
      </c>
      <c r="I110" s="3">
        <f>+IF(AND(AH27=AY65,AH9&gt;6.5,AH9&lt;=7,AH10&lt;=6.5),8,0)</f>
        <v>0</v>
      </c>
      <c r="J110" s="3">
        <f>+IF(AND(AH27=AY65,AH9&gt;7,AH9&lt;=7.5,AH10&lt;=5.5),8,0)</f>
        <v>0</v>
      </c>
      <c r="K110" s="3">
        <f>+IF(AND(AH27=AY65,AH9&gt;7.5,AH9&lt;=8,AH10&lt;=4),8,0)</f>
        <v>0</v>
      </c>
      <c r="L110" s="3">
        <f>+IF(AND(AH27=AY65,AH9&gt;8,AH9&lt;=8.5,AH10&lt;=3),8,0)</f>
        <v>0</v>
      </c>
      <c r="M110" s="3">
        <f>+IF(AND(AH27=AY65,AH9&gt;8.5,AH9&lt;=9,AH10&lt;=3),8,0)</f>
        <v>0</v>
      </c>
      <c r="N110" s="3"/>
      <c r="O110" s="3"/>
      <c r="P110" s="3"/>
      <c r="Q110" s="3"/>
      <c r="R110" s="3"/>
      <c r="S110" s="3"/>
      <c r="T110" s="3"/>
      <c r="U110" s="3">
        <f>+IF(AND(AH27=AY64,AH9&gt;2.5,AH9&lt;=3,AH10&gt;9,AH10&lt;=12.01),8,0)</f>
        <v>0</v>
      </c>
      <c r="V110" s="3">
        <f>+IF(AND(AH27=AY64,AH9&gt;3,AH9&lt;=3.5,AH10&gt;9.5,AH10&lt;=12.01),8,0)</f>
        <v>0</v>
      </c>
      <c r="W110" s="3">
        <f>+IF(AND(AH27=AY64,AH9&gt;3.5,AH9&lt;=4,AH10&gt;9.5,AH10&lt;=12.01),8,0)</f>
        <v>0</v>
      </c>
      <c r="X110" s="3">
        <f>+IF(AND(AH27=AY64,AH9&gt;4,AH9&lt;=4.5,AH10&gt;9,AH10&lt;=12.01),8,0)</f>
        <v>0</v>
      </c>
      <c r="Y110" s="3">
        <f>+IF(AND(AH27=AY64,AH9&gt;4.5,AH9&lt;=5,AH10&gt;7.5,AH10&lt;=10),8,0)</f>
        <v>0</v>
      </c>
      <c r="Z110" s="3">
        <f>+IF(AND(AH27=AY64,AH9&gt;5,AH9&lt;=5.5,AH10&gt;7.5,AH10&lt;=10),8,0)</f>
        <v>0</v>
      </c>
      <c r="AA110" s="3">
        <f>+IF(AND(AH27=AY64,AH9&gt;5.5,AH9&lt;=6,AH10&gt;6,AH10&lt;=10.5),8,0)</f>
        <v>0</v>
      </c>
      <c r="AB110" s="3">
        <f>+IF(AND(AH27=AY64,AH9&gt;6,AH9&lt;=6.5,AH10&gt;4,AH10&lt;=10),8,0)</f>
        <v>0</v>
      </c>
      <c r="AC110" s="3">
        <f>+IF(AND(AH27=AY64,AH9&gt;6.5,AH9&lt;=7,AH10&gt;3,AH10&lt;=10),8,0)</f>
        <v>0</v>
      </c>
      <c r="AD110" s="3">
        <f>+IF(AND(AH27=AY64,AH9&gt;7,AH9&lt;=7.5,AH10&gt;2,AH10&lt;=8),8,0)</f>
        <v>0</v>
      </c>
      <c r="AE110" s="3">
        <f>+IF(AND(AH27=AY64,AH9&gt;7.5,AH9&lt;=8,AH10&lt;=6),8,0)</f>
        <v>0</v>
      </c>
      <c r="AF110" s="3">
        <f>+IF(AND(AH27=AY64,AH9&gt;8,AH9&lt;=8.5,AH10&lt;=6),8,0)</f>
        <v>0</v>
      </c>
      <c r="AG110" s="3"/>
      <c r="AH110" s="6"/>
      <c r="AI110" s="3"/>
      <c r="AJ110" s="3"/>
      <c r="AK110" s="3"/>
      <c r="AL110" s="3"/>
      <c r="AM110" s="3"/>
      <c r="AN110" s="3"/>
      <c r="AR110" s="16"/>
      <c r="AS110" s="323"/>
      <c r="AT110" s="16"/>
      <c r="AU110" s="16"/>
      <c r="AV110" s="16"/>
      <c r="AW110" s="16"/>
      <c r="AX110" s="16"/>
      <c r="AY110" s="16"/>
      <c r="AZ110" s="327"/>
      <c r="BA110" s="16"/>
      <c r="BB110" s="16"/>
      <c r="BC110" s="16"/>
      <c r="BD110" s="16"/>
      <c r="BE110" s="241"/>
      <c r="BF110" s="241"/>
      <c r="BG110" s="241"/>
      <c r="BH110" s="241"/>
      <c r="BI110" s="241"/>
      <c r="BJ110" s="240"/>
      <c r="BK110" s="197"/>
      <c r="BL110" s="197"/>
      <c r="BM110" s="332"/>
      <c r="BN110" s="75"/>
      <c r="BO110" s="75"/>
      <c r="BP110" s="75"/>
      <c r="BQ110" s="75"/>
      <c r="BR110" s="75"/>
      <c r="BS110" s="75"/>
      <c r="BT110" s="75"/>
      <c r="BU110" s="75"/>
      <c r="BV110" s="75"/>
    </row>
    <row r="111" spans="2:76" ht="12.75" x14ac:dyDescent="0.2">
      <c r="B111" s="3"/>
      <c r="C111" s="3"/>
      <c r="D111" s="3"/>
      <c r="E111" s="3"/>
      <c r="F111" s="3"/>
      <c r="G111" s="3"/>
      <c r="H111" s="3">
        <f>+IF(AND(AH27=AY65,AH9&gt;6,AH9&lt;=6.5,AH10&gt;9,AH10&lt;=12.01),10,0)</f>
        <v>0</v>
      </c>
      <c r="I111" s="3">
        <f>+IF(AND(AH27=AY65,AH9&gt;6.5,AH9&lt;=7,AH10&gt;6.5,AH10&lt;=12.01),10,0)</f>
        <v>0</v>
      </c>
      <c r="J111" s="3">
        <f>+IF(AND(AH27=AY65,AH9&gt;7,AH9&lt;=7.5,AH10&gt;5.5,AH10&lt;=12.01),10,0)</f>
        <v>0</v>
      </c>
      <c r="K111" s="3">
        <f>+IF(AND(AH27=AY65,AH9&gt;7.5,AH9&lt;=8,AH10&gt;4,AH10&lt;=12.01),10,0)</f>
        <v>0</v>
      </c>
      <c r="L111" s="3">
        <f>+IF(AND(AH27=AY65,AH9&gt;8,AH9&lt;=8.5,AH10&gt;3,AH10&lt;=7.5),10,0)</f>
        <v>0</v>
      </c>
      <c r="M111" s="3">
        <f>+IF(AND(AH27=AY65,AH9&gt;8.5,AH9&lt;=9,AH10&gt;3,AH10&lt;=6),10,0)</f>
        <v>0</v>
      </c>
      <c r="N111" s="3">
        <f>+IF(AND(AH27=AY65,AH9&gt;9,AH9&lt;=9.5,AH10&lt;=5),10,0)</f>
        <v>0</v>
      </c>
      <c r="O111" s="3">
        <f>+IF(AND(AH27=AY65,AH9&gt;9.5,AH9&lt;=10,AH10&lt;=4),10,0)</f>
        <v>0</v>
      </c>
      <c r="P111" s="3">
        <f>+IF(AND(AH27=AY65,AH9&gt;10,AH9&lt;=10.5,AH10&lt;=3.5),10,0)</f>
        <v>0</v>
      </c>
      <c r="Q111" s="3">
        <f>+IF(AND(AH27=AY65,AH9&gt;10.5,AH9&lt;=11,AH10&lt;=2.5),10,0)</f>
        <v>0</v>
      </c>
      <c r="R111" s="3"/>
      <c r="S111" s="3"/>
      <c r="T111" s="3"/>
      <c r="U111" s="3"/>
      <c r="V111" s="3"/>
      <c r="W111" s="3"/>
      <c r="X111" s="3"/>
      <c r="Y111" s="3">
        <f>+IF(AND(AH27=AY64,AH9&gt;4.5,AH9&lt;=5,AH10&gt;10.5,AH10&lt;=12.01),10,0)</f>
        <v>0</v>
      </c>
      <c r="Z111" s="3">
        <f>+IF(AND(AH27=AY64,AH9&gt;5,AH9&lt;=5.5,AH10&gt;10,AH10&lt;=12.01),10,0)</f>
        <v>0</v>
      </c>
      <c r="AA111" s="3">
        <f>+IF(AND(AH27=AY64,AH9&gt;5.5,AH9&lt;=6,AH10&gt;10.5,AH10&lt;=12.01),10,0)</f>
        <v>0</v>
      </c>
      <c r="AB111" s="3">
        <f>+IF(AND(AH27=AY64,AH9&gt;6,AH9&lt;=6.5,AH10&gt;10,AH10&lt;=12.01),10,0)</f>
        <v>0</v>
      </c>
      <c r="AC111" s="3">
        <f>+IF(AND(AH27=AY64,AH9&gt;6.5,AH9&lt;=7,AH10&gt;10,AH10&lt;=12.01),10,0)</f>
        <v>0</v>
      </c>
      <c r="AD111" s="3">
        <f>+IF(AND(AH27=AY64,AH9&gt;7,AH9&lt;=7.5,AH10&gt;8,AH10&lt;=12.01),10,0)</f>
        <v>0</v>
      </c>
      <c r="AE111" s="3">
        <f>+IF(AND(AH27=AY64,AH9&gt;7.5,AH9&lt;=8,AH10&gt;6,AH10&lt;=10.5),10,0)</f>
        <v>0</v>
      </c>
      <c r="AF111" s="3">
        <f>+IF(AND(AH27=AY64,AH9&gt;8,AH9&lt;=8.5,AH10&gt;6,AH10&lt;=10),10,0)</f>
        <v>0</v>
      </c>
      <c r="AG111" s="3">
        <f>+IF(AND(AH27=AY64,AH9&gt;8.5,AH9&lt;=9,AH10&lt;=4),8,0)</f>
        <v>0</v>
      </c>
      <c r="AH111" s="6">
        <f>+IF(AND(AH27=AY64,AH9&gt;9,AH9&lt;=9.5,AH10&lt;=2.5),8,0)</f>
        <v>0</v>
      </c>
      <c r="AI111" s="3"/>
      <c r="AJ111" s="3"/>
      <c r="AK111" s="3"/>
      <c r="AL111" s="3"/>
      <c r="AM111" s="3"/>
      <c r="AN111" s="3">
        <f>+IF(AND(AH27=AY64,AH9&gt;11.5,AH9&lt;=14.01,AH10&lt;=2),10,0)</f>
        <v>0</v>
      </c>
      <c r="AR111" s="16"/>
      <c r="AS111" s="323"/>
      <c r="AT111" s="16"/>
      <c r="AU111" s="16"/>
      <c r="AV111" s="16"/>
      <c r="AW111" s="16"/>
      <c r="AX111" s="16"/>
      <c r="AY111" s="16"/>
      <c r="AZ111" s="327"/>
      <c r="BA111" s="16"/>
      <c r="BB111" s="16"/>
      <c r="BC111" s="16"/>
      <c r="BD111" s="16"/>
      <c r="BE111" s="241"/>
      <c r="BF111" s="241"/>
      <c r="BG111" s="241"/>
      <c r="BH111" s="241"/>
      <c r="BI111" s="241"/>
      <c r="BJ111" s="240"/>
      <c r="BK111" s="197"/>
      <c r="BL111" s="197"/>
      <c r="BM111" s="332"/>
      <c r="BN111" s="75"/>
      <c r="BO111" s="75"/>
      <c r="BP111" s="75"/>
      <c r="BQ111" s="75"/>
      <c r="BR111" s="75"/>
      <c r="BS111" s="75"/>
      <c r="BT111" s="75"/>
      <c r="BU111" s="75"/>
      <c r="BV111" s="75"/>
    </row>
    <row r="112" spans="2:76" ht="12.75" x14ac:dyDescent="0.2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>
        <f>+IF(AND(AH27=AY65,AH9&gt;8,AH9&lt;=8.5,AH10&gt;7.5,AH10&lt;=12.01),12,0)</f>
        <v>0</v>
      </c>
      <c r="M112" s="3">
        <f>+IF(AND(AH27=AY65,AH9&gt;8.5,AH9&lt;=9,AH10&gt;6,AH10&lt;=12.01),12,0)</f>
        <v>0</v>
      </c>
      <c r="N112" s="3">
        <f>+IF(AND(AH27=AY65,AH9&gt;9,AH9&lt;=9.5,AH10&gt;5,AH10&lt;=12.01),12,0)</f>
        <v>0</v>
      </c>
      <c r="O112" s="3">
        <f>+IF(AND(AH27=AY65,AH9&gt;9.5,AH9&lt;=10,AH10&gt;4,AH10&lt;=8.5),12,0)</f>
        <v>0</v>
      </c>
      <c r="P112" s="3">
        <f>+IF(AND(AH27=AY65,AH9&gt;10,AH9&lt;=10.5,AH10&gt;3.5,AH10&lt;=5.5),12,0)</f>
        <v>0</v>
      </c>
      <c r="Q112" s="3">
        <f>+IF(AND(AH27=AY65,AH9&gt;10.5,AH9&lt;=11,AH10&gt;2.5,AH10&lt;=5),12,0)</f>
        <v>0</v>
      </c>
      <c r="R112" s="3">
        <f>+IF(AND(AH27=AY65,AH9&gt;11,AH9&lt;=14.01,AH10&lt;=3.5),12,0)</f>
        <v>0</v>
      </c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>
        <f>+IF(AND(AH27=AY64,AH9&gt;7.5,AH9&lt;=8,AH10&gt;10.5,AH10&lt;=12.01),12,0)</f>
        <v>0</v>
      </c>
      <c r="AF112" s="3">
        <f>+IF(AND(AH27=AY64,AH9&gt;8,AH9&lt;=8.5,AH10&gt;10,AH10&lt;=12.01),12,0)</f>
        <v>0</v>
      </c>
      <c r="AG112" s="3">
        <f>+IF(AND(AH27=AY64,AH9&gt;8.5,AH9&lt;=9,AH10&gt;4,AH10&lt;=9),10,0)</f>
        <v>0</v>
      </c>
      <c r="AH112" s="6">
        <f>+IF(AND(AH27=AY64,AH9&gt;9,AH9&lt;=9.5,AH10&gt;2.5,AH10&lt;=7),10,0)</f>
        <v>0</v>
      </c>
      <c r="AI112" s="3"/>
      <c r="AJ112" s="3">
        <f>+IF(AND(AH27=AY64,AH9&gt;9.5,AH9&lt;=10,AH10&lt;=6),10,0)</f>
        <v>0</v>
      </c>
      <c r="AK112" s="3">
        <f>+IF(AND(AH27=AY64,AH9&gt;10,AH9&lt;=10.5,AH10&lt;=4),10,0)</f>
        <v>0</v>
      </c>
      <c r="AL112" s="3">
        <f>+IF(AND(AH27=AY64,AH9&gt;10.5,AH9&lt;=11,AH10&lt;=4),10,0)</f>
        <v>0</v>
      </c>
      <c r="AM112" s="3">
        <f>+IF(AND(AH27=AY64,AH9&gt;11,AH9&lt;=11.5,AH10&lt;=3),10,0)</f>
        <v>0</v>
      </c>
      <c r="AN112" s="3">
        <f>+IF(AND(AH27=AY64,AH9&gt;11.5,AH9&lt;=14.01,AH10&gt;2,AH10&lt;=5.5),12,0)</f>
        <v>0</v>
      </c>
      <c r="AR112" s="16"/>
      <c r="AS112" s="323"/>
      <c r="AT112" s="16" t="s">
        <v>280</v>
      </c>
      <c r="AU112" s="293" t="s">
        <v>43</v>
      </c>
      <c r="AV112" s="223" t="s">
        <v>74</v>
      </c>
      <c r="AW112" s="223"/>
      <c r="AX112" s="223"/>
      <c r="AY112" s="223"/>
      <c r="AZ112" s="327"/>
      <c r="BA112" s="16"/>
      <c r="BB112" s="16"/>
      <c r="BC112" s="16"/>
      <c r="BD112" s="16"/>
      <c r="BE112" s="243"/>
      <c r="BF112" s="327"/>
      <c r="BG112" s="242"/>
      <c r="BH112" s="242"/>
      <c r="BI112" s="327"/>
      <c r="BJ112" s="240"/>
      <c r="BK112" s="197"/>
      <c r="BL112" s="197"/>
      <c r="BM112" s="332"/>
    </row>
    <row r="113" spans="2:74" ht="12.75" x14ac:dyDescent="0.2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>
        <f>+IF(AND(AH27=AY65,AH9&gt;9.5,AH9&lt;=10,AH10&gt;8.5,AH10&lt;=12.01),14,0)</f>
        <v>0</v>
      </c>
      <c r="P113" s="3">
        <f>+IF(AND(AH27=AY65,AH9&gt;10,AH9&lt;=10.5,AH10&gt;5.5,AH10&lt;=12.01),14,0)</f>
        <v>0</v>
      </c>
      <c r="Q113" s="3">
        <f>+IF(AND(AH27=AY65,AH9&gt;10.5,AH9&lt;=11,AH10&gt;5,AH10&lt;=12.01),14,0)</f>
        <v>0</v>
      </c>
      <c r="R113" s="3">
        <f>+IF(AND(AH27=AY65,AH9&gt;11,AH9&lt;=14.01,AH10&gt;3.5,AH10&lt;=12.01),14,0)</f>
        <v>0</v>
      </c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>
        <f>+IF(AND(AH27=AY64,AH9&gt;8.5,AH9&lt;=9,AH10&gt;9,AH10&lt;=12.01),12,0)</f>
        <v>0</v>
      </c>
      <c r="AH113" s="6">
        <f>+IF(AND(AH27=AY64,AH9&gt;9,AH9&lt;=9.5,AH10&gt;7,AH10&lt;=12.01),12,0)</f>
        <v>0</v>
      </c>
      <c r="AI113" s="3"/>
      <c r="AJ113" s="3">
        <f>+IF(AND(AH27=AY64,AH9&gt;9.5,AH9&lt;=10,AH10&gt;6,AH10&lt;=12.01),12,0)</f>
        <v>0</v>
      </c>
      <c r="AK113" s="3">
        <f>+IF(AND(AH27=AY64,AH9&gt;10,AH9&lt;=10.5,AH10&gt;4,AH10&lt;=10),12,0)</f>
        <v>0</v>
      </c>
      <c r="AL113" s="3">
        <f>+IF(AND(AH27=AY64,AH9&gt;10.5,AH9&lt;=11,AH10&gt;4,AH10&lt;=8),12,0)</f>
        <v>0</v>
      </c>
      <c r="AM113" s="3">
        <f>+IF(AND(AH27=AY64,AH9&gt;11,AH9&lt;=11.5,AH10&gt;3,AH10&lt;=7),12,0)</f>
        <v>0</v>
      </c>
      <c r="AN113" s="3">
        <f>+IF(AND(AH27=AY64,AH9&gt;11.5,AH9&lt;=14.01,AH10&gt;5.5,AH10&lt;=12.01),14,0)</f>
        <v>0</v>
      </c>
      <c r="AR113" s="16"/>
      <c r="AS113" s="323"/>
      <c r="AT113" s="16"/>
      <c r="AU113" s="223"/>
      <c r="AV113" s="223">
        <v>12</v>
      </c>
      <c r="AW113" s="223" t="s">
        <v>44</v>
      </c>
      <c r="AX113" s="590">
        <f>+'Basic rates'!D76</f>
        <v>500</v>
      </c>
      <c r="AY113" s="223" t="s">
        <v>45</v>
      </c>
      <c r="AZ113" s="327"/>
      <c r="BA113" s="16"/>
      <c r="BB113" s="16"/>
      <c r="BC113" s="16"/>
      <c r="BD113" s="16"/>
      <c r="BE113" s="243"/>
      <c r="BF113" s="327"/>
      <c r="BG113" s="242"/>
      <c r="BH113" s="242"/>
      <c r="BI113" s="327"/>
      <c r="BJ113" s="240"/>
      <c r="BK113" s="197"/>
      <c r="BL113" s="197"/>
      <c r="BM113" s="332"/>
    </row>
    <row r="114" spans="2:74" ht="12.75" x14ac:dyDescent="0.2">
      <c r="B114" s="3" t="s">
        <v>359</v>
      </c>
      <c r="C114" s="3">
        <f>IF(AND(AH27=AY65,AH9&lt;=4,AH10&lt;=12.1),6,0)</f>
        <v>0</v>
      </c>
      <c r="D114" s="3">
        <f>+IF(AND(AH27=AY65,AH9&gt;4,AH9&lt;=4.5,AH10&lt;=10),6,0)+IF(AND(AH27=AY65,AH9&gt;4,AH9&lt;=4.5,AH10&gt;10,AH10&lt;=12.01),8,0)</f>
        <v>0</v>
      </c>
      <c r="E114" s="3">
        <f>+IF(AND(AH27=AY65,AH9&gt;4.5,AH9&lt;=5,AH10&lt;=7),6,0)+IF(AND(AH27=AY65,AH9&gt;4.5,AH9&lt;=5,AH10&gt;7,AH10&lt;=12.01),8,0)</f>
        <v>0</v>
      </c>
      <c r="F114" s="3">
        <f>+IF(AND(AH27=AY65,AH9&gt;5,AH9&lt;=5.5,AH10&lt;=5),6,0)+IF(AND(AH27=AY65,AH9&gt;5,AH9&lt;=5.5,AH10&gt;5,AH10&lt;=12.01),8,0)</f>
        <v>0</v>
      </c>
      <c r="G114" s="3">
        <f>+IF(AND(AH27=AY65,AH9&gt;5.5,AH9&lt;=6,AH10&lt;=4),6,0)+IF(AND(AH27=AY65,AH9&gt;5.5,AH9&lt;=6,AH10&gt;4,AH10&lt;=12.01),8,0)</f>
        <v>0</v>
      </c>
      <c r="H114" s="3">
        <f>+IF(AND(AH27=AY65,AH9&gt;6,AH9&lt;=6.5,AH10&lt;=9),8,0)+IF(AND(AH27=AY65,AH9&gt;6,AH9&lt;=6.5,AH10&gt;9,AH10&lt;=12.01),10,0)</f>
        <v>0</v>
      </c>
      <c r="I114" s="3">
        <f>+IF(AND(AH27=AY65,AH9&gt;6.5,AH9&lt;=7,AH10&lt;=6.5),8,0)+IF(AND(AH27=AY65,AH9&gt;6.5,AH9&lt;=7,AH10&gt;6.5,AH10&lt;=12.01),10,0)</f>
        <v>0</v>
      </c>
      <c r="J114" s="3">
        <f>+IF(AND(AH27=AY65,AH9&gt;7,AH9&lt;=7.5,AH10&lt;=5.5),8,0)+IF(AND(AH27=AY65,AH9&gt;7,AH9&lt;=7.5,AH10&gt;5.5,AH10&lt;=12.01),10,0)</f>
        <v>0</v>
      </c>
      <c r="K114" s="3">
        <f>+IF(AND(AH27=AY65,AH9&gt;7.5,AH9&lt;=8,AH10&lt;=4),8,0)+IF(AND(AH27=AY65,AH9&gt;7.5,AH9&lt;=8,AH10&gt;4,AH10&lt;=12.01),10,0)</f>
        <v>0</v>
      </c>
      <c r="L114" s="3">
        <f>+IF(AND(AH27=AY65,AH9&gt;8,AH9&lt;=8.5,AH10&lt;=3),8,0)+IF(AND(AH27=AY65,AH9&gt;8,AH9&lt;=8.5,AH10&gt;3,AH10&lt;=7.5),10,0)+IF(AND(AH27=AY65,AH9&gt;8,AH9&lt;=8.5,AH10&gt;7.5,AH10&lt;=12.01),12,0)</f>
        <v>0</v>
      </c>
      <c r="M114" s="3">
        <f>+IF(AND(AH27=AY65,AH9&gt;8.5,AH9&lt;=9,AH10&lt;=3),8,0)+IF(AND(AH27=AY65,AH9&gt;8.5,AH9&lt;=9,AH10&gt;3,AH10&lt;=6),10,0)+IF(AND(AH27=AY65,AH9&gt;8.5,AH9&lt;=9,AH10&gt;6,AH10&lt;=12.01),12,0)</f>
        <v>0</v>
      </c>
      <c r="N114" s="3">
        <f>+IF(AND(AH27=AY65,AH9&gt;9,AH9&lt;=9.5,AH10&lt;=5),10,0)+IF(AND(AH27=AY65,AH9&gt;9,AH9&lt;=9.5,AH10&gt;5,AH10&lt;=12.01),12,0)</f>
        <v>0</v>
      </c>
      <c r="O114" s="3">
        <f>+IF(AND(AH27=AY65,AH9&gt;9.5,AH9&lt;=10,AH10&lt;=4),10,0)+IF(AND(AH27=AY65,AH9&gt;9.5,AH9&lt;=10,AH10&gt;4,AH10&lt;=8.5),12,0)+IF(AND(AH27=AY65,AH9&gt;9.5,AH9&lt;=10,AH10&gt;8.5,AH10&lt;=12.01),14,0)</f>
        <v>0</v>
      </c>
      <c r="P114" s="3">
        <f>+IF(AND(AH27=AY65,AH9&gt;10,AH9&lt;=10.5,AH10&lt;=3.5),10,0)+IF(AND(AH27=AY65,AH9&gt;10,AH9&lt;=10.5,AH10&gt;3.5,AH10&lt;=5.5),12,0)+IF(AND(AH27=AY65,AH9&gt;10,AH9&lt;=10.5,AH10&gt;5.5,AH10&lt;=12.01),14,0)</f>
        <v>0</v>
      </c>
      <c r="Q114" s="3">
        <f>+IF(AND(AH27=AY65,AH9&gt;10.5,AH9&lt;=11,AH10&lt;=2.5),10,0)+IF(AND(AH27=AY65,AH9&gt;10.5,AH9&lt;=11,AH10&gt;2.5,AH10&lt;=5),12,0)+IF(AND(AH27=AY65,AH9&gt;10.5,AH9&lt;=11,AH10&gt;5,AH10&lt;=12.01),14,0)</f>
        <v>0</v>
      </c>
      <c r="R114" s="3">
        <f>+IF(AND(AH27=AY65,AH9&gt;11,AH9&lt;=14.01,AH10&lt;=3.5),12,0)+IF(AND(AH27=AY65,AH9&gt;11,AH9&lt;=14.01,AH10&gt;3.5,AH10&lt;=12.01),14,0)</f>
        <v>0</v>
      </c>
      <c r="S114" s="3">
        <f>+IF(AND(AH27=AY64,AH9&lt;=2,AH10&lt;=8),4,0)+IF(AND(AH27=AY64,AH9&lt;=2,AH10&gt;8,AH10&lt;=12.01),5,0)</f>
        <v>0</v>
      </c>
      <c r="T114" s="3">
        <f>+IF(AND(AH27=AY64,AH9&gt;2,AH9&lt;=2.5,AH10&lt;=6.5),4,0)+IF(AND(AH27=AY64,AH9&gt;2,AH9&lt;=2.5,AH10&gt;6.5,AH10&lt;=12.01),5,0)</f>
        <v>0</v>
      </c>
      <c r="U114" s="3">
        <f>+IF(AND(AH27=AY64,AH9&gt;2.5,AH9&lt;=3,AH10&lt;=6.5),4,0)+IF(AND(AH27=AY64,AH9&gt;2.5,AH9&lt;=3,AH10&gt;6.5,AH10&lt;=8),5,0)+IF(AND(AH27=AY64,AH9&gt;2.5,AH9&lt;=3,AH10&gt;8,AH10&lt;=9),6,0)+IF(AND(AH27=AY64,AH9&gt;2.5,AH9&lt;=3,AH10&gt;9,AH10&lt;=12.01),8,0)</f>
        <v>0</v>
      </c>
      <c r="V114" s="3">
        <f>+IF(AND(AH27=AY64,AH9&gt;3,AH9&lt;=3.5,AH10&lt;=5.5),4,0)+IF(AND(AH27=AY64,AH9&gt;3,AH9&lt;=3.5,AH10&gt;5.5,AH10&lt;=8.5),5,0)+IF(AND(AH27=AY64,AH9&gt;3,AH9&lt;=3.5,AH10&gt;8.5,AH10&lt;=9.5),6,0)+IF(AND(AH27=AY64,AH9&gt;3,AH9&lt;=3.5,AH10&gt;9.5,AH10&lt;=12.01),8,0)</f>
        <v>0</v>
      </c>
      <c r="W114" s="3">
        <f>+IF(AND(AH27=AY64,AH9&gt;3.5,AH9&lt;=4,AH10&lt;=3.5),4,0)+IF(AND(AH27=AY64,AH9&gt;3.5,AH9&lt;=4,AH10&gt;3.5,AH10&lt;=7),5,0)+IF(AND(AH27=AY64,AH9&gt;3.5,AH9&lt;=4,AH10&gt;7,AH10&lt;=9.5),6,0)+IF(AND(AH27=AY64,AH9&gt;3.5,AH9&lt;=4,AH10&gt;9.5,AH10&lt;=12.01),8,0)</f>
        <v>0</v>
      </c>
      <c r="X114" s="3">
        <f>+IF(AND(AH27=AY64,AH9&gt;4,AH9&lt;=4.5,AH10&lt;=2.5),4,0)+IF(AND(AH27=AY64,AH9&gt;4,AH9&lt;=4.5,AH10&gt;2.5,AH10&lt;=5.5),5,0)+IF(AND(AH27=AY64,AH9&gt;4,AH9&lt;=4.5,AH10&gt;5.5,AH10&lt;=9),6,0)+IF(AND(AH27=AY64,AH9&gt;4,AH9&lt;=4.5,AH10&gt;9,AH10&lt;=12.01),8,0)</f>
        <v>0</v>
      </c>
      <c r="Y114" s="3">
        <f>+IF(AND(AH27=AY64,AH9&gt;4.5,AH9&lt;=5,AH10&lt;=2.5),4,0)+IF(AND(AH27=AY64,AH9&gt;4.5,AH9&lt;=5,AH10&gt;2.5,AH10&lt;=4),5,0)+IF(AND(AH27=AY64,AH9&gt;4.5,AH9&lt;=5,AH10&gt;4,AH10&lt;=7.5),6,0)+IF(AND(AH27=AY64,AH9&gt;4.5,AH9&lt;=5,AH10&gt;7.5,AH10&lt;=10),8,0)+IF(AND(AH27=AY64,AH9&gt;4.5,AH9&lt;=5,AH10&gt;10.5,AH10&lt;=12.01),10,0)</f>
        <v>6</v>
      </c>
      <c r="Z114" s="3">
        <f>+IF(AND(AH27=AY64,AH9&gt;5,AH9&lt;=5.5,AH10&lt;=2.5),5,0)+IF(AND(AH27=AY64,AH9&gt;5,AH9&lt;=5.5,AH10&gt;2.5,AH10&lt;=7.5),6,0)+IF(AND(AH27=AY64,AH9&gt;5,AH9&lt;=5.5,AH10&gt;7.5,AH10&lt;=10),8,0)+IF(AND(AH27=AY64,AH9&gt;5,AH9&lt;=5.5,AH10&gt;10,AH10&lt;=12.01),10,0)</f>
        <v>0</v>
      </c>
      <c r="AA114" s="3">
        <f>+IF(AND(AH27=AY64,AH9&gt;5.5,AH9&lt;=6,AH10&lt;=6),6,0)+IF(AND(AH27=AY64,AH9&gt;5.5,AH9&lt;=6,AH10&gt;6,AH10&lt;=10.5),8,0)+IF(AND(AH27=AY64,AH9&gt;5.5,AH9&lt;=6,AH10&gt;10.5,AH10&lt;=12.01),10,0)</f>
        <v>0</v>
      </c>
      <c r="AB114" s="3">
        <f>+IF(AND(AH27=AY64,AH9&gt;6,AH9&lt;=6.5,AH10&lt;=4),6,0)+IF(AND(AH27=AY64,AH9&gt;6,AH9&lt;=6.5,AH10&gt;4,AH10&lt;=10),8,0)+IF(AND(AH27=AY64,AH9&gt;6,AH9&lt;=6.5,AH10&gt;10,AH10&lt;=12.01),10,0)</f>
        <v>0</v>
      </c>
      <c r="AC114" s="3">
        <f>+IF(AND(AH27=AY64,AH9&gt;6.5,AH9&lt;=7,AH10&lt;=3),6,0)+IF(AND(AH27=AY64,AH9&gt;6.5,AH9&lt;=7,AH10&gt;3,AH10&lt;=10),8,0)+IF(AND(AH27=AY64,AH9&gt;6.5,AH9&lt;=7,AH10&gt;10,AH10&lt;=12.01),10,0)</f>
        <v>0</v>
      </c>
      <c r="AD114" s="3">
        <f>+IF(AND(AH27=AY64,AH9&gt;7,AH9&lt;=7.5,AH10&lt;=2),6,0)+IF(AND(AH27=AY64,AH9&gt;7,AH9&lt;=7.5,AH10&gt;2,AH10&lt;=8),8,0)+IF(AND(AH27=AY64,AH9&gt;7,AH9&lt;=7.5,AH10&gt;8,AH10&lt;=12.01),10,0)</f>
        <v>0</v>
      </c>
      <c r="AE114" s="3">
        <f>+IF(AND(AH27=AY64,AH9&gt;7.5,AH9&lt;=8,AH10&lt;=6),8,0)+IF(AND(AH27=AY64,AH9&gt;7.5,AH9&lt;=8,AH10&gt;6,AH10&lt;=10.5),10,0)+IF(AND(AH27=AY64,AH9&gt;7.5,AH9&lt;=8,AH10&gt;10.5,AH10&lt;=12.01),12,0)</f>
        <v>0</v>
      </c>
      <c r="AF114" s="3">
        <f>+IF(AND(AH27=AY64,AH9&gt;8,AH9&lt;=8.5,AH10&lt;=6),8,0)+IF(AND(AH27=AY64,AH9&gt;8,AH9&lt;=8.5,AH10&gt;6,AH10&lt;=10),10,0)+IF(AND(AH27=AY64,AH9&gt;8,AH9&lt;=8.5,AH10&gt;10,AH10&lt;=12.01),12,0)</f>
        <v>0</v>
      </c>
      <c r="AG114" s="3"/>
      <c r="AH114" s="6"/>
      <c r="AI114" s="3"/>
      <c r="AJ114" s="3"/>
      <c r="AK114" s="3">
        <f>+IF(AND(AH27=AY64,AH9&gt;10,AH9&lt;=10.5,AH10&gt;10,AH10&lt;=12.01),14,0)</f>
        <v>0</v>
      </c>
      <c r="AL114" s="3">
        <f>+IF(AND(AH27=AY64,AH9&gt;10.5,AH9&lt;=11,AH10&gt;8,AH10&lt;=12.01),14,0)</f>
        <v>0</v>
      </c>
      <c r="AM114" s="3">
        <f>+IF(AND(AH27=AY64,AH9&gt;11,AH9&lt;=11.5,AH10&gt;7,AH10&lt;=12.01),14,0)</f>
        <v>0</v>
      </c>
      <c r="AN114" s="3">
        <f>+IF(AND(AH27=AY64,AH9&gt;11.5,AH9&lt;=14.01,AH10&lt;=2),10,0)+IF(AND(AH27=AY64,AH9&gt;11.5,AH9&lt;=14.01,AH10&gt;2,AH10&lt;=5.5),12,0)+IF(AND(AH27=AY64,AH9&gt;11.5,AH9&lt;=14.01,AH10&gt;5.5,AH10&lt;=12.01),14,0)</f>
        <v>0</v>
      </c>
      <c r="AR114" s="16"/>
      <c r="AS114" s="323"/>
      <c r="AT114" s="86"/>
      <c r="AU114" s="223"/>
      <c r="AV114" s="223">
        <v>24</v>
      </c>
      <c r="AW114" s="223" t="s">
        <v>44</v>
      </c>
      <c r="AX114" s="590">
        <f>+'Basic rates'!D77</f>
        <v>1000</v>
      </c>
      <c r="AY114" s="223" t="s">
        <v>45</v>
      </c>
      <c r="AZ114" s="327"/>
      <c r="BA114" s="327"/>
      <c r="BB114" s="327"/>
      <c r="BC114" s="243"/>
      <c r="BD114" s="243"/>
      <c r="BE114" s="111"/>
      <c r="BF114" s="327"/>
      <c r="BG114" s="242"/>
      <c r="BH114" s="242"/>
      <c r="BI114" s="327"/>
      <c r="BJ114" s="240"/>
      <c r="BK114" s="197"/>
      <c r="BL114" s="197"/>
      <c r="BM114" s="332"/>
      <c r="BN114" s="75"/>
      <c r="BO114" s="75"/>
      <c r="BP114" s="75"/>
      <c r="BQ114" s="75"/>
      <c r="BR114" s="75"/>
      <c r="BS114" s="75"/>
      <c r="BT114" s="75"/>
      <c r="BU114" s="75"/>
      <c r="BV114" s="75"/>
    </row>
    <row r="115" spans="2:74" ht="12.75" x14ac:dyDescent="0.2">
      <c r="B115" s="3" t="s">
        <v>359</v>
      </c>
      <c r="C115" s="758">
        <f>IF(AND(AH27=AY65,AH9&lt;=4,AH10&lt;=12.1),6,0)+IF(AND(AH27=AY65,AH9&gt;4,AH9&lt;=4.5,AH10&lt;=10),6,0)+IF(AND(AH27=AY65,AH9&gt;4,AH9&lt;=4.5,AH10&gt;10,AH10&lt;=12.01),8,0)+IF(AND(AH27=AY65,AH9&gt;4.5,AH9&lt;=5,AH10&lt;=7),6,0)+IF(AND(AH27=AY65,AH9&gt;4.5,AH9&lt;=5,AH10&gt;7,AH10&lt;=12.01),8,0)+IF(AND(AH27=AY65,AH9&gt;5,AH9&lt;=5.5,AH10&lt;=5),6,0)+IF(AND(AH27=AY65,AH9&gt;5,AH9&lt;=5.5,AH10&gt;5,AH10&lt;=12.01),8,0)+IF(AND(AH27=AY65,AH9&gt;5.5,AH9&lt;=6,AH10&lt;=4),6,0)+IF(AND(AH27=AY65,AH9&gt;5.5,AH9&lt;=6,AH10&gt;4,AH10&lt;=12.01),8,0)+IF(AND(AH27=AY65,AH9&gt;6,AH9&lt;=6.5,AH10&lt;=9),8,0)+IF(AND(AH27=AY65,AH9&gt;6,AH9&lt;=6.5,AH10&gt;9,AH10&lt;=12.01),10,0)+IF(AND(AH27=AY65,AH9&gt;6.5,AH9&lt;=7,AH10&lt;=6.5),8,0)+IF(AND(AH27=AY65,AH9&gt;6.5,AH9&lt;=7,AH10&gt;6.5,AH10&lt;=12.01),10,0)+IF(AND(AH27=AY65,AH9&gt;7,AH9&lt;=7.5,AH10&lt;=5.5),8,0)+IF(AND(AH27=AY65,AH9&gt;7,AH9&lt;=7.5,AH10&gt;5.5,AH10&lt;=12.01),10,0)+IF(AND(AH27=AY65,AH9&gt;7.5,AH9&lt;=8,AH10&lt;=4),8,0)+IF(AND(AH27=AY65,AH9&gt;7.5,AH9&lt;=8,AH10&gt;4,AH10&lt;=12.01),10,0)+IF(AND(AH27=AY65,AH9&gt;8,AH9&lt;=8.5,AH10&lt;=3),8,0)+IF(AND(AH27=AY65,AH9&gt;8,AH9&lt;=8.5,AH10&gt;3,AH10&lt;=7.5),10,0)+IF(AND(AH27=AY65,AH9&gt;8,AH9&lt;=8.5,AH10&gt;7.5,AH10&lt;=12.01),12,0)+IF(AND(AH27=AY65,AH9&gt;8.5,AH9&lt;=9,AH10&lt;=3),8,0)+IF(AND(AH27=AY65,AH9&gt;8.5,AH9&lt;=9,AH10&gt;3,AH10&lt;=6),10,0)+IF(AND(AH27=AY65,AH9&gt;8.5,AH9&lt;=9,AH10&gt;6,AH10&lt;=12.01),12,0)+IF(AND(AH27=AY65,AH9&gt;9,AH9&lt;=9.5,AH10&lt;=5),10,0)+IF(AND(AH27=AY65,AH9&gt;9,AH9&lt;=9.5,AH10&gt;5,AH10&lt;=12.01),12,0)+IF(AND(AH27=AY65,AH9&gt;9.5,AH9&lt;=10,AH10&lt;=4),10,0)+IF(AND(AH27=AY65,AH9&gt;9.5,AH9&lt;=10,AH10&gt;4,AH10&lt;=8.5),12,0)+IF(AND(AH27=AY65,AH9&gt;9.5,AH9&lt;=10,AH10&gt;8.5,AH10&lt;=12.01),14,0)+IF(AND(AH27=AY65,AH9&gt;10,AH9&lt;=10.5,AH10&lt;=3.5),10,0)+IF(AND(AH27=AY65,AH9&gt;10,AH9&lt;=10.5,AH10&gt;3.5,AH10&lt;=5.5),12,0)+IF(AND(AH27=AY65,AH9&gt;10,AH9&lt;=10.5,AH10&gt;5.5,AH10&lt;=12.01),14,0)+IF(AND(AH27=AY65,AH9&gt;10.5,AH9&lt;=11,AH10&lt;=2.5),10,0)+IF(AND(AH27=AY65,AH9&gt;10.5,AH9&lt;=11,AH10&gt;2.5,AH10&lt;=5),12,0)+IF(AND(AH27=AY65,AH9&gt;10.5,AH9&lt;=11,AH10&gt;5,AH10&lt;=12.01),14,0)+IF(AND(AH27=AY65,AH9&gt;11,AH9&lt;=14.01,AH10&lt;=3.5),12,0)+IF(AND(AH27=AY65,AH9&gt;11,AH9&lt;=14.01,AH10&gt;3.5,AH10&lt;=12.01),14,0)</f>
        <v>0</v>
      </c>
      <c r="D115" s="758"/>
      <c r="E115" s="758"/>
      <c r="F115" s="758"/>
      <c r="G115" s="758"/>
      <c r="H115" s="758"/>
      <c r="I115" s="758"/>
      <c r="J115" s="758"/>
      <c r="K115" s="758"/>
      <c r="L115" s="758"/>
      <c r="M115" s="758"/>
      <c r="N115" s="758"/>
      <c r="O115" s="758"/>
      <c r="P115" s="758"/>
      <c r="Q115" s="758"/>
      <c r="R115" s="758"/>
      <c r="S115" s="661">
        <f>+IF(AND(AH27=AY64,AH9&lt;=2,AH10&lt;=8),4,0)+IF(AND(AH27=AY64,AH9&lt;=2,AH10&gt;8,AH10&lt;=12.01),5,0)+IF(AND(AH27=AY64,AH9&gt;2,AH9&lt;=2.5,AH10&lt;=6.5),4,0)+IF(AND(AH27=AY64,AH9&gt;2,AH9&lt;=2.5,AH10&gt;6.5,AH10&lt;=12.01),5,0)+IF(AND(AH27=AY64,AH9&gt;2.5,AH9&lt;=3,AH10&lt;=6.5),4,0)+IF(AND(AH27=AY64,AH9&gt;2.5,AH9&lt;=3,AH10&gt;6.5,AH10&lt;=8),5,0)+IF(AND(AH27=AY64,AH9&gt;2.5,AH9&lt;=3,AH10&gt;8,AH10&lt;=9),6,0)+IF(AND(AH27=AY64,AH9&gt;2.5,AH9&lt;=3,AH10&gt;9,AH10&lt;=12.01),8,0)+IF(AND(AH27=AY64,AH9&gt;3,AH9&lt;=3.5,AH10&lt;=5.5),4,0)+IF(AND(AH27=AY64,AH9&gt;3,AH9&lt;=3.5,AH10&gt;5.5,AH10&lt;=8.5),5,0)+IF(AND(AH27=AY64,AH9&gt;3,AH9&lt;=3.5,AH10&gt;8.5,AH10&lt;=9.5),6,0)+IF(AND(AH27=AY64,AH9&gt;3,AH9&lt;=3.5,AH10&gt;9.5,AH10&lt;=12.01),8,0)+IF(AND(AH27=AY64,AH9&gt;3.5,AH9&lt;=4,AH10&lt;=3.5),4,0)+IF(AND(AH27=AY64,AH9&gt;3.5,AH9&lt;=4,AH10&gt;3.5,AH10&lt;=7),5,0)+IF(AND(AH27=AY64,AH9&gt;3.5,AH9&lt;=4,AH10&gt;7,AH10&lt;=9.5),6,0)+IF(AND(AH27=AY64,AH9&gt;3.5,AH9&lt;=4,AH10&gt;9.5,AH10&lt;=12.01),8,0)+IF(AND(AH27=AY64,AH9&gt;4,AH9&lt;=4.5,AH10&lt;=2.5),4,0)+IF(AND(AH27=AY64,AH9&gt;4,AH9&lt;=4.5,AH10&gt;2.5,AH10&lt;=5.5),5,0)+IF(AND(AH27=AY64,AH9&gt;4,AH9&lt;=4.5,AH10&gt;5.5,AH10&lt;=9),6,0)+IF(AND(AH27=AY64,AH9&gt;4,AH9&lt;=4.5,AH10&gt;9,AH10&lt;=12.01),8,0)+IF(AND(AH27=AY64,AH9&gt;4.5,AH9&lt;=5,AH10&lt;=2.5),4,0)+IF(AND(AH27=AY64,AH9&gt;4.5,AH9&lt;=5,AH10&gt;2.5,AH10&lt;=4),5,0)+IF(AND(AH27=AY64,AH9&gt;4.5,AH9&lt;=5,AH10&gt;4,AH10&lt;=7.5),6,0)+IF(AND(AH27=AY64,AH9&gt;4.5,AH9&lt;=5,AH10&gt;7.5,AH10&lt;=10),8,0)+IF(AND(AH27=AY64,AH9&gt;4.5,AH9&lt;=5,AH10&gt;10.5,AH10&lt;=12.01),10,0)+IF(AND(AH27=AY64,AH9&gt;5,AH9&lt;=5.5,AH10&lt;=2.5),5,0)+IF(AND(AH27=AY64,AH9&gt;5,AH9&lt;=5.5,AH10&gt;2.5,AH10&lt;=7.5),6,0)+IF(AND(AH27=AY64,AH9&gt;5,AH9&lt;=5.5,AH10&gt;7.5,AH10&lt;=10),8,0)+IF(AND(AH27=AY64,AH9&gt;5,AH9&lt;=5.5,AH10&gt;10,AH10&lt;=12.01),10,0)+IF(AND(AH27=AY64,AH9&gt;5.5,AH9&lt;=6,AH10&lt;=6),6,0)+IF(AND(AH27=AY64,AH9&gt;5.5,AH9&lt;=6,AH10&gt;6,AH10&lt;=10.5),8,0)+IF(AND(AH27=AY64,AH9&gt;5.5,AH9&lt;=6,AH10&gt;10.5,AH10&lt;=12.01),10,0)+IF(AND(AH27=AY64,AH9&gt;6,AH9&lt;=6.5,AH10&lt;=4),6,0)+IF(AND(AH27=AY64,AH9&gt;6,AH9&lt;=6.5,AH10&gt;4,AH10&lt;=10),8,0)+IF(AND(AH27=AY64,AH9&gt;6,AH9&lt;=6.5,AH10&gt;10,AH10&lt;=12.01),10,0)+IF(AND(AH27=AY64,AH9&gt;6.5,AH9&lt;=7,AH10&lt;=3),6,0)+IF(AND(AH27=AY64,AH9&gt;6.5,AH9&lt;=7,AH10&gt;3,AH10&lt;=10),8,0)+IF(AND(AH27=AY64,AH9&gt;6.5,AH9&lt;=7,AH10&gt;10,AH10&lt;=12.01),10,0)+IF(AND(AH27=AY64,AH9&gt;7,AH9&lt;=7.5,AH10&lt;=2),6,0)+IF(AND(AH27=AY64,AH9&gt;7,AH9&lt;=7.5,AH10&gt;2,AH10&lt;=8),8,0)+IF(AND(AH27=AY64,AH9&gt;7,AH9&lt;=7.5,AH10&gt;8,AH10&lt;=12.01),10,0)+IF(AND(AH27=AY64,AH9&gt;7.5,AH9&lt;=8,AH10&lt;=6),8,0)+IF(AND(AH27=AY64,AH9&gt;7.5,AH9&lt;=8,AH10&gt;6,AH10&lt;=10.5),10,0)+IF(AND(AH27=AY64,AH9&gt;7.5,AH9&lt;=8,AH10&gt;10.5,AH10&lt;=12.01),12,0)+IF(AND(AH27=AY64,AH9&gt;8,AH9&lt;=8.5,AH10&lt;=6),8,0)+IF(AND(AH27=AY64,AH9&gt;8,AH9&lt;=8.5,AH10&gt;6,AH10&lt;=10),10,0)+IF(AND(AH27=AY64,AH9&gt;8,AH9&lt;=8.5,AH10&gt;10,AH10&lt;=12.01),12,0)+IF(AND(AH27=AY64,AH9&gt;8.5,AH9&lt;=9,AH10&lt;=4),8,0)+IF(AND(AH27=AY64,AH9&gt;8.5,AH9&lt;=9,AH10&gt;4,AH10&lt;=9),10,0)+IF(AND(AH27=AY64,AH9&gt;8.5,AH9&lt;=9,AH10&gt;9,AH10&lt;=12.01),12,0)+IF(AND(AH27=AY64,AH9&gt;9,AH9&lt;=9.5,AH10&lt;=2.5),8,0)+IF(AND(AH27=AY64,AH9&gt;9,AH9&lt;=9.5,AH10&gt;2.5,AH10&lt;=7),10,0)+IF(AND(AH27=AY64,AH9&gt;9,AH9&lt;=9.5,AH10&gt;7,AH10&lt;=12.01),12,0)+IF(AND(AH27=AY64,AH9&gt;9,AH9&lt;=9.5,AH10&lt;=2.5),8,0)+IF(AND(AH27=AY64,AH9&gt;9.5,AH9&lt;=10,AH10&lt;=6),10,0)+IF(AND(AH27=AY64,AH9&gt;9.5,AH9&lt;=10,AH10&gt;6,AH10&lt;=12.01),12,0)+IF(AND(AH27=AY64,AH9&gt;10,AH9&lt;=10.5,AH10&lt;=4),10,0)+IF(AND(AH27=AY64,AH9&gt;10,AH9&lt;=10.5,AH10&gt;4,AH10&lt;=10),12,0)+IF(AND(AH27=AY64,AH9&gt;10,AH9&lt;=10.5,AH10&gt;10,AH10&lt;=12.01),14,0)+IF(AND(AH27=AY64,AH9&gt;10.5,AH9&lt;=11,AH10&lt;=4),10,0)+IF(AND(AH27=AY64,AH9&gt;10.5,AH9&lt;=11,AH10&gt;4,AH10&lt;=8),12,0)+IF(AND(AH27=AY64,AH9&gt;10.5,AH9&lt;=11,AH10&gt;8,AH10&lt;=12.01),14,0)+IF(AND(AH27=AY64,AH9&gt;11,AH9&lt;=11.5,AH10&lt;=3),10,0)+IF(AND(AH27=AY64,AH9&gt;11,AH9&lt;=11.5,AH10&gt;3,AH10&lt;=7),12,0)+IF(AND(AH27=AY64,AH9&gt;11,AH9&lt;=11.5,AH10&gt;7,AH10&lt;=12.01),14,0)+IF(AND(AH27=AY64,AH9&gt;11.5,AH9&lt;=14.01,AH10&lt;=2),10,0)+IF(AND(AH27=AY64,AH9&gt;11.5,AH9&lt;=14.01,AH10&gt;2,AH10&lt;=5.5),12,0)+IF(AND(AH27=AY64,AH9&gt;11.5,AH9&lt;=14.01,AH10&gt;5.5,AH10&lt;=12.01),14,0)</f>
        <v>6</v>
      </c>
      <c r="T115" s="661"/>
      <c r="U115" s="661"/>
      <c r="V115" s="661"/>
      <c r="W115" s="661"/>
      <c r="X115" s="661"/>
      <c r="Y115" s="661"/>
      <c r="Z115" s="661"/>
      <c r="AA115" s="661"/>
      <c r="AB115" s="661"/>
      <c r="AC115" s="661"/>
      <c r="AD115" s="661"/>
      <c r="AE115" s="661"/>
      <c r="AF115" s="661"/>
      <c r="AG115" s="3">
        <f>+IF(AND(AH27=AY64,AH9&gt;8.5,AH9&lt;=9,AH10&lt;=4),8,0)+IF(AND(AH27=AY64,AH9&gt;8.5,AH9&lt;=9,AH10&gt;4,AH10&lt;=9),10,0)+IF(AND(AH27=AY64,AH9&gt;8.5,AH9&lt;=9,AH10&gt;9,AH10&lt;=12.01),12,0)</f>
        <v>0</v>
      </c>
      <c r="AH115" s="6">
        <f>+IF(AND(AH27=AY64,AH9&gt;9,AH9&lt;=9.5,AH10&lt;=2.5),8,0)+IF(AND(AH27=AY64,AH9&gt;9,AH9&lt;=9.5,AH10&gt;2.5,AH10&lt;=7),10,0)+IF(AND(AH27=AY64,AH9&gt;9,AH9&lt;=9.5,AH10&gt;7,AH10&lt;=12.01),12,0)</f>
        <v>0</v>
      </c>
      <c r="AI115" s="3"/>
      <c r="AJ115" s="3">
        <f>+IF(AND(AH27=AY64,AH9&gt;9.5,AH9&lt;=10,AH10&lt;=6),10,0)+IF(AND(AH27=AY64,AH9&gt;9.5,AH9&lt;=10,AH10&gt;6,AH10&lt;=12.01),12,0)</f>
        <v>0</v>
      </c>
      <c r="AK115" s="3">
        <f>+IF(AND(AH27=AY64,AH9&gt;10,AH9&lt;=10.5,AH10&lt;=4),10,0)+IF(AND(AH27=AY64,AH9&gt;10,AH9&lt;=10.5,AH10&gt;4,AH10&lt;=10),12,0)+IF(AND(AH27=AY64,AH9&gt;10,AH9&lt;=10.5,AH10&gt;10,AH10&lt;=12.01),14,0)</f>
        <v>0</v>
      </c>
      <c r="AL115" s="3">
        <f>+IF(AND(AH27=AY64,AH9&gt;10.5,AH9&lt;=11,AH10&lt;=4),10,0)+IF(AND(AH27=AY64,AH9&gt;10.5,AH9&lt;=11,AH10&gt;4,AH10&lt;=8),12,0)+IF(AND(AH27=AY64,AH9&gt;10.5,AH9&lt;=11,AH10&gt;8,AH10&lt;=12.01),14,0)</f>
        <v>0</v>
      </c>
      <c r="AM115" s="3">
        <f>+IF(AND(AH27=AY64,AH9&gt;11,AH9&lt;=11.5,AH10&lt;=3),10,0)+IF(AND(AH27=AY64,AH9&gt;11,AH9&lt;=11.5,AH10&gt;3,AH10&lt;=7),12,0)+IF(AND(AH27=AY64,AH9&gt;11,AH9&lt;=11.5,AH10&gt;7,AH10&lt;=12.01),14,0)</f>
        <v>0</v>
      </c>
      <c r="AN115" s="661"/>
      <c r="AR115" s="16"/>
      <c r="AS115" s="323"/>
      <c r="AT115" s="86"/>
      <c r="AU115" s="480"/>
      <c r="AV115" s="223">
        <v>36</v>
      </c>
      <c r="AW115" s="480" t="s">
        <v>44</v>
      </c>
      <c r="AX115" s="590">
        <f>+'Basic rates'!D78</f>
        <v>1500</v>
      </c>
      <c r="AY115" s="480" t="s">
        <v>45</v>
      </c>
      <c r="AZ115" s="327"/>
      <c r="BA115" s="327"/>
      <c r="BB115" s="16"/>
      <c r="BC115" s="16"/>
      <c r="BD115" s="16"/>
      <c r="BE115" s="16"/>
      <c r="BF115" s="16"/>
      <c r="BG115" s="16"/>
      <c r="BH115" s="16"/>
      <c r="BI115" s="16"/>
      <c r="BJ115" s="240"/>
      <c r="BK115" s="197"/>
      <c r="BL115" s="197"/>
      <c r="BM115" s="332"/>
    </row>
    <row r="116" spans="2:74" ht="12.75" x14ac:dyDescent="0.2">
      <c r="B116" s="3" t="s">
        <v>360</v>
      </c>
      <c r="C116" s="661">
        <f>IF(AND(AH27=AY65,AH9&lt;=4,AH10&lt;=12.1),6,0)+IF(AND(AH27=AY65,AH9&gt;4,AH9&lt;=4.5,AH10&lt;=10),6,0)+IF(AND(AH27=AY65,AH9&gt;4,AH9&lt;=4.5,AH10&gt;10,AH10&lt;=12.01),8,0)+IF(AND(AH27=AY65,AH9&gt;4.5,AH9&lt;=5,AH10&lt;=7),6,0)+IF(AND(AH27=AY65,AH9&gt;4.5,AH9&lt;=5,AH10&gt;7,AH10&lt;=12.01),8,0)+IF(AND(AH27=AY65,AH9&gt;5,AH9&lt;=5.5,AH10&lt;=5),6,0)+IF(AND(AH27=AY65,AH9&gt;5,AH9&lt;=5.5,AH10&gt;5,AH10&lt;=12.01),8,0)+IF(AND(AH27=AY65,AH9&gt;5.5,AH9&lt;=6,AH10&lt;=4),6,0)+IF(AND(AH27=AY65,AH9&gt;5.5,AH9&lt;=6,AH10&gt;4,AH10&lt;=12.01),8,0)+IF(AND(AH27=AY65,AH9&gt;6,AH9&lt;=6.5,AH10&lt;=9),8,0)+IF(AND(AH27=AY65,AH9&gt;6,AH9&lt;=6.5,AH10&gt;9,AH10&lt;=12.01),10,0)+IF(AND(AH27=AY65,AH9&gt;6.5,AH9&lt;=7,AH10&lt;=6.5),8,0)+IF(AND(AH27=AY65,AH9&gt;6.5,AH9&lt;=7,AH10&gt;6.5,AH10&lt;=12.01),10,0)+IF(AND(AH27=AY65,AH9&gt;7,AH9&lt;=7.5,AH10&lt;=5.5),8,0)+IF(AND(AH27=AY65,AH9&gt;7,AH9&lt;=7.5,AH10&gt;5.5,AH10&lt;=12.01),10,0)+IF(AND(AH27=AY65,AH9&gt;7.5,AH9&lt;=8,AH10&lt;=4),8,0)+IF(AND(AH27=AY65,AH9&gt;7.5,AH9&lt;=8,AH10&gt;4,AH10&lt;=12.01),10,0)+IF(AND(AH27=AY65,AH9&gt;8,AH9&lt;=8.5,AH10&lt;=3),8,0)+IF(AND(AH27=AY65,AH9&gt;8,AH9&lt;=8.5,AH10&gt;3,AH10&lt;=7.5),10,0)+IF(AND(AH27=AY65,AH9&gt;8,AH9&lt;=8.5,AH10&gt;7.5,AH10&lt;=12.01),12,0)+IF(AND(AH27=AY65,AH9&gt;8.5,AH9&lt;=9,AH10&lt;=3),8,0)+IF(AND(AH27=AY65,AH9&gt;8.5,AH9&lt;=9,AH10&gt;3,AH10&lt;=6),10,0)+IF(AND(AH27=AY65,AH9&gt;8.5,AH9&lt;=9,AH10&gt;6,AH10&lt;=12.01),12,0)+IF(AND(AH27=AY65,AH9&gt;9,AH9&lt;=9.5,AH10&lt;=5),10,0)+IF(AND(AH27=AY65,AH9&gt;9,AH9&lt;=9.5,AH10&gt;5,AH10&lt;=12.01),12,0)+IF(AND(AH27=AY65,AH9&gt;9.5,AH9&lt;=10,AH10&lt;=4),10,0)+IF(AND(AH27=AY65,AH9&gt;9.5,AH9&lt;=10,AH10&gt;4,AH10&lt;=8.5),12,0)+IF(AND(AH27=AY65,AH9&gt;9.5,AH9&lt;=10,AH10&gt;8.5,AH10&lt;=12.01),14,0)+IF(AND(AH27=AY65,AH9&gt;10,AH9&lt;=10.5,AH10&lt;=3.5),10,0)+IF(AND(AH27=AY65,AH9&gt;10,AH9&lt;=10.5,AH10&gt;3.5,AH10&lt;=5.5),12,0)+IF(AND(AH27=AY65,AH9&gt;10,AH9&lt;=10.5,AH10&gt;5.5,AH10&lt;=12.01),14,0)+IF(AND(AH27=AY65,AH9&gt;10.5,AH9&lt;=11,AH10&lt;=2.5),10,0)+IF(AND(AH27=AY65,AH9&gt;10.5,AH9&lt;=11,AH10&gt;2.5,AH10&lt;=5),12,0)+IF(AND(AH27=AY65,AH9&gt;10.5,AH9&lt;=11,AH10&gt;5,AH10&lt;=12.01),14,0)+IF(AND(AH27=AY65,AH9&gt;11,AH9&lt;=14.01,AH10&lt;=3.5),12,0)+IF(AND(AH27=AY65,AH9&gt;11,AH9&lt;=14.01,AH10&gt;3.5,AH10&lt;=12.01),14,0)+IF(AND(AH27=AY64,AH9&lt;=2,AH10&lt;=8),4,0)+IF(AND(AH27=AY64,AH9&lt;=2,AH10&gt;8,AH10&lt;=12.01),5,0)+IF(AND(AH27=AY64,AH9&gt;2,AH9&lt;=2.5,AH10&lt;=6.5),4,0)+IF(AND(AH27=AY64,AH9&gt;2,AH9&lt;=2.5,AH10&gt;6.5,AH10&lt;=12.01),5,0)+IF(AND(AH27=AY64,AH9&gt;2.5,AH9&lt;=3,AH10&lt;=6.5),4,0)+IF(AND(AH27=AY64,AH9&gt;2.5,AH9&lt;=3,AH10&gt;6.5,AH10&lt;=8),5,0)+IF(AND(AH27=AY64,AH9&gt;2.5,AH9&lt;=3,AH10&gt;8,AH10&lt;=9),6,0)+IF(AND(AH27=AY64,AH9&gt;2.5,AH9&lt;=3,AH10&gt;9,AH10&lt;=12.01),8,0)+IF(AND(AH27=AY64,AH9&gt;3,AH9&lt;=3.5,AH10&lt;=5.5),4,0)+IF(AND(AH27=AY64,AH9&gt;3,AH9&lt;=3.5,AH10&gt;5.5,AH10&lt;=8.5),5,0)+IF(AND(AH27=AY64,AH9&gt;3,AH9&lt;=3.5,AH10&gt;8.5,AH10&lt;=9.5),6,0)+IF(AND(AH27=AY64,AH9&gt;3,AH9&lt;=3.5,AH10&gt;9.5,AH10&lt;=12.01),8,0)+IF(AND(AH27=AY64,AH9&gt;3.5,AH9&lt;=4,AH10&lt;=3.5),4,0)+IF(AND(AH27=AY64,AH9&gt;3.5,AH9&lt;=4,AH10&gt;3.5,AH10&lt;=7),5,0)+IF(AND(AH27=AY64,AH9&gt;3.5,AH9&lt;=4,AH10&gt;7,AH10&lt;=9.5),6,0)+IF(AND(AH27=AY64,AH9&gt;3.5,AH9&lt;=4,AH10&gt;9.5,AH10&lt;=12.01),8,0)+IF(AND(AH27=AY64,AH9&gt;4,AH9&lt;=4.5,AH10&lt;=2.5),4,0)+IF(AND(AH27=AY64,AH9&gt;4,AH9&lt;=4.5,AH10&gt;2.5,AH10&lt;=5.5),5,0)+IF(AND(AH27=AY64,AH9&gt;4,AH9&lt;=4.5,AH10&gt;5.5,AH10&lt;=9),6,0)+IF(AND(AH27=AY64,AH9&gt;4,AH9&lt;=4.5,AH10&gt;9,AH10&lt;=12.01),8,0)+IF(AND(AH27=AY64,AH9&gt;4.5,AH9&lt;=5,AH10&lt;=2.5),4,0)+IF(AND(AH27=AY64,AH9&gt;4.5,AH9&lt;=5,AH10&gt;2.5,AH10&lt;=4),5,0)+IF(AND(AH27=AY64,AH9&gt;4.5,AH9&lt;=5,AH10&gt;4,AH10&lt;=7.5),6,0)+IF(AND(AH27=AY64,AH9&gt;4.5,AH9&lt;=5,AH10&gt;7.5,AH10&lt;=10),8,0)+IF(AND(AH27=AY64,AH9&gt;4.5,AH9&lt;=5,AH10&gt;10.5,AH10&lt;=12.01),10,0)+IF(AND(AH27=AY64,AH9&gt;5,AH9&lt;=5.5,AH10&lt;=2.5),5,0)+IF(AND(AH27=AY64,AH9&gt;5,AH9&lt;=5.5,AH10&gt;2.5,AH10&lt;=7.5),6,0)+IF(AND(AH27=AY64,AH9&gt;5,AH9&lt;=5.5,AH10&gt;7.5,AH10&lt;=10),8,0)+IF(AND(AH27=AY64,AH9&gt;5,AH9&lt;=5.5,AH10&gt;10,AH10&lt;=12.01),10,0)+IF(AND(AH27=AY64,AH9&gt;5.5,AH9&lt;=6,AH10&lt;=6),6,0)+IF(AND(AH27=AY64,AH9&gt;5.5,AH9&lt;=6,AH10&gt;6,AH10&lt;=10.5),8,0)+IF(AND(AH27=AY64,AH9&gt;5.5,AH9&lt;=6,AH10&gt;10.5,AH10&lt;=12.01),10,0)+IF(AND(AH27=AY64,AH9&gt;6,AH9&lt;=6.5,AH10&lt;=4),6,0)+IF(AND(AH27=AY64,AH9&gt;6,AH9&lt;=6.5,AH10&gt;4,AH10&lt;=10),8,0)+IF(AND(AH27=AY64,AH9&gt;6,AH9&lt;=6.5,AH10&gt;10,AH10&lt;=12.01),10,0)+IF(AND(AH27=AY64,AH9&gt;6.5,AH9&lt;=7,AH10&lt;=3),6,0)+IF(AND(AH27=AY64,AH9&gt;6.5,AH9&lt;=7,AH10&gt;3,AH10&lt;=10),8,0)+IF(AND(AH27=AY64,AH9&gt;6.5,AH9&lt;=7,AH10&gt;10,AH10&lt;=12.01),10,0)+IF(AND(AH27=AY64,AH9&gt;7,AH9&lt;=7.5,AH10&lt;=2),6,0)+IF(AND(AH27=AY64,AH9&gt;7,AH9&lt;=7.5,AH10&gt;2,AH10&lt;=8),8,0)+IF(AND(AH27=AY64,AH9&gt;7,AH9&lt;=7.5,AH10&gt;8,AH10&lt;=12.01),10,0)+IF(AND(AH27=AY64,AH9&gt;7.5,AH9&lt;=8,AH10&lt;=6),8,0)+IF(AND(AH27=AY64,AH9&gt;7.5,AH9&lt;=8,AH10&gt;6,AH10&lt;=10.5),10,0)+IF(AND(AH27=AY64,AH9&gt;7.5,AH9&lt;=8,AH10&gt;10.5,AH10&lt;=12.01),12,0)+IF(AND(AH27=AY64,AH9&gt;8,AH9&lt;=8.5,AH10&lt;=6),8,0)+IF(AND(AH27=AY64,AH9&gt;8,AH9&lt;=8.5,AH10&gt;6,AH10&lt;=10),10,0)+IF(AND(AH27=AY64,AH9&gt;8,AH9&lt;=8.5,AH10&gt;10,AH10&lt;=12.01),12,0)+IF(AND(AH27=AY64,AH9&gt;8.5,AH9&lt;=9,AH10&lt;=4),8,0)+IF(AND(AH27=AY64,AH9&gt;8.5,AH9&lt;=9,AH10&gt;4,AH10&lt;=9),10,0)+IF(AND(AH27=AY64,AH9&gt;8.5,AH9&lt;=9,AH10&gt;9,AH10&lt;=12.01),12,0)+IF(AND(AH27=AY64,AH9&gt;9,AH9&lt;=9.5,AH10&lt;=2.5),8,0)+IF(AND(AH27=AY64,AH9&gt;9,AH9&lt;=9.5,AH10&gt;2.5,AH10&lt;=7),10,0)+IF(AND(AH27=AY64,AH9&gt;9,AH9&lt;=9.5,AH10&gt;7,AH10&lt;=12.01),12,0)+IF(AND(AH27=AY64,AH9&gt;9,AH9&lt;=9.5,AH10&lt;=2.5),8,0)+IF(AND(AH27=AY64,AH9&gt;9.5,AH9&lt;=10,AH10&lt;=6),10,0)+IF(AND(AH27=AY64,AH9&gt;9.5,AH9&lt;=10,AH10&gt;6,AH10&lt;=12.01),12,0)+IF(AND(AH27=AY64,AH9&gt;10,AH9&lt;=10.5,AH10&lt;=4),10,0)+IF(AND(AH27=AY64,AH9&gt;10,AH9&lt;=10.5,AH10&gt;4,AH10&lt;=10),12,0)+IF(AND(AH27=AY64,AH9&gt;10,AH9&lt;=10.5,AH10&gt;10,AH10&lt;=12.01),14,0)+IF(AND(AH27=AY64,AH9&gt;10.5,AH9&lt;=11,AH10&lt;=4),10,0)+IF(AND(AH27=AY64,AH9&gt;10.5,AH9&lt;=11,AH10&gt;4,AH10&lt;=8),12,0)+IF(AND(AH27=AY64,AH9&gt;10.5,AH9&lt;=11,AH10&gt;8,AH10&lt;=12.01),14,0)+IF(AND(AH27=AY64,AH9&gt;11,AH9&lt;=11.5,AH10&lt;=3),10,0)+IF(AND(AH27=AY64,AH9&gt;11,AH9&lt;=11.5,AH10&gt;3,AH10&lt;=7),12,0)+IF(AND(AH27=AY64,AH9&gt;11,AH9&lt;=11.5,AH10&gt;7,AH10&lt;=12.01),14,0)+IF(AND(AH27=AY64,AH9&gt;11.5,AH9&lt;=14.01,AH10&lt;=2),10,0)+IF(AND(AH27=AY64,AH9&gt;11.5,AH9&lt;=14.01,AH10&gt;2,AH10&lt;=5.5),12,0)+IF(AND(AH27=AY64,AH9&gt;11.5,AH9&lt;=14.01,AH10&gt;5.5,AH10&lt;=12.01),14,0)</f>
        <v>6</v>
      </c>
      <c r="D116" s="661"/>
      <c r="E116" s="661"/>
      <c r="F116" s="661"/>
      <c r="G116" s="661"/>
      <c r="H116" s="661"/>
      <c r="I116" s="661"/>
      <c r="J116" s="661"/>
      <c r="K116" s="661"/>
      <c r="L116" s="661"/>
      <c r="M116" s="661"/>
      <c r="N116" s="661"/>
      <c r="O116" s="661"/>
      <c r="P116" s="661"/>
      <c r="Q116" s="661"/>
      <c r="R116" s="661"/>
      <c r="S116" s="661"/>
      <c r="T116" s="661"/>
      <c r="U116" s="661"/>
      <c r="V116" s="661"/>
      <c r="W116" s="661"/>
      <c r="X116" s="661"/>
      <c r="Y116" s="661"/>
      <c r="Z116" s="661"/>
      <c r="AA116" s="661"/>
      <c r="AB116" s="661"/>
      <c r="AC116" s="661"/>
      <c r="AD116" s="661"/>
      <c r="AE116" s="661"/>
      <c r="AF116" s="661"/>
      <c r="AG116" s="661"/>
      <c r="AH116" s="661"/>
      <c r="AI116" s="661"/>
      <c r="AJ116" s="661"/>
      <c r="AK116" s="661"/>
      <c r="AL116" s="661"/>
      <c r="AM116" s="661"/>
      <c r="AN116" s="661"/>
      <c r="AR116" s="16"/>
      <c r="AS116" s="323"/>
      <c r="AT116" s="86"/>
      <c r="AU116" s="480"/>
      <c r="AV116" s="484" t="s">
        <v>46</v>
      </c>
      <c r="AW116" s="480" t="s">
        <v>44</v>
      </c>
      <c r="AX116" s="590">
        <f>+'Basic rates'!D79</f>
        <v>1750</v>
      </c>
      <c r="AY116" s="480" t="s">
        <v>45</v>
      </c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327"/>
      <c r="BK116" s="16"/>
      <c r="BL116" s="16"/>
      <c r="BM116" s="17"/>
    </row>
    <row r="117" spans="2:74" ht="12.75" x14ac:dyDescent="0.2">
      <c r="AG117" s="661"/>
      <c r="AH117" s="661"/>
      <c r="AI117" s="661"/>
      <c r="AJ117" s="661"/>
      <c r="AK117" s="661"/>
      <c r="AL117" s="661"/>
      <c r="AM117" s="661"/>
      <c r="AR117" s="16"/>
      <c r="AS117" s="323"/>
      <c r="AT117" s="86"/>
      <c r="AU117" s="324"/>
      <c r="AV117" s="324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327"/>
      <c r="BK117" s="16"/>
      <c r="BL117" s="16"/>
      <c r="BM117" s="17"/>
    </row>
    <row r="118" spans="2:74" ht="12.75" x14ac:dyDescent="0.2">
      <c r="AR118" s="16"/>
      <c r="AS118" s="323"/>
      <c r="AT118" s="8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240"/>
      <c r="BK118" s="197"/>
      <c r="BL118" s="197"/>
      <c r="BM118" s="332"/>
    </row>
    <row r="119" spans="2:74" ht="12.75" x14ac:dyDescent="0.2">
      <c r="AR119" s="16"/>
      <c r="AS119" s="323"/>
      <c r="AT119" s="86" t="s">
        <v>281</v>
      </c>
      <c r="AU119" s="293" t="s">
        <v>48</v>
      </c>
      <c r="AV119" s="223" t="s">
        <v>74</v>
      </c>
      <c r="AW119" s="223"/>
      <c r="AX119" s="223"/>
      <c r="AY119" s="223"/>
      <c r="AZ119" s="223"/>
      <c r="BA119" s="16"/>
      <c r="BB119" s="16"/>
      <c r="BC119" s="16"/>
      <c r="BD119" s="16"/>
      <c r="BE119" s="16"/>
      <c r="BF119" s="16"/>
      <c r="BG119" s="16"/>
      <c r="BH119" s="16"/>
      <c r="BI119" s="16"/>
      <c r="BJ119" s="327"/>
      <c r="BK119" s="16"/>
      <c r="BL119" s="16"/>
      <c r="BM119" s="17"/>
    </row>
    <row r="120" spans="2:74" ht="12.75" x14ac:dyDescent="0.2">
      <c r="AR120" s="16"/>
      <c r="AS120" s="323"/>
      <c r="AT120" s="86"/>
      <c r="AU120" s="480"/>
      <c r="AV120" s="223">
        <v>12</v>
      </c>
      <c r="AW120" s="223" t="s">
        <v>44</v>
      </c>
      <c r="AX120" s="590">
        <f>+'Basic rates'!D82</f>
        <v>550</v>
      </c>
      <c r="AY120" s="223" t="s">
        <v>47</v>
      </c>
      <c r="AZ120" s="223"/>
      <c r="BA120" s="16"/>
      <c r="BB120" s="16"/>
      <c r="BC120" s="31"/>
      <c r="BD120" s="31"/>
      <c r="BE120" s="31"/>
      <c r="BF120" s="16"/>
      <c r="BG120" s="16"/>
      <c r="BH120" s="16"/>
      <c r="BI120" s="324"/>
      <c r="BJ120" s="327"/>
      <c r="BK120" s="16"/>
      <c r="BL120" s="16"/>
      <c r="BM120" s="17"/>
    </row>
    <row r="121" spans="2:74" ht="12.75" x14ac:dyDescent="0.2">
      <c r="AR121" s="16"/>
      <c r="AS121" s="323"/>
      <c r="AT121" s="86"/>
      <c r="AU121" s="480"/>
      <c r="AV121" s="223">
        <v>24</v>
      </c>
      <c r="AW121" s="223" t="s">
        <v>44</v>
      </c>
      <c r="AX121" s="590">
        <f>+'Basic rates'!D83</f>
        <v>450</v>
      </c>
      <c r="AY121" s="223" t="s">
        <v>47</v>
      </c>
      <c r="AZ121" s="223"/>
      <c r="BA121" s="16"/>
      <c r="BB121" s="16"/>
      <c r="BC121" s="31"/>
      <c r="BD121" s="31"/>
      <c r="BE121" s="31"/>
      <c r="BF121" s="16"/>
      <c r="BG121" s="16"/>
      <c r="BH121" s="16"/>
      <c r="BI121" s="324"/>
      <c r="BJ121" s="327"/>
      <c r="BK121" s="16"/>
      <c r="BL121" s="16"/>
      <c r="BM121" s="17"/>
    </row>
    <row r="122" spans="2:74" ht="12.75" x14ac:dyDescent="0.2">
      <c r="AR122" s="16"/>
      <c r="AS122" s="323"/>
      <c r="AT122" s="86"/>
      <c r="AU122" s="223"/>
      <c r="AV122" s="223">
        <v>36</v>
      </c>
      <c r="AW122" s="223" t="s">
        <v>44</v>
      </c>
      <c r="AX122" s="590">
        <f>+'Basic rates'!D84</f>
        <v>350</v>
      </c>
      <c r="AY122" s="223" t="s">
        <v>47</v>
      </c>
      <c r="AZ122" s="223"/>
      <c r="BA122" s="16"/>
      <c r="BB122" s="16"/>
      <c r="BC122" s="31"/>
      <c r="BD122" s="31"/>
      <c r="BE122" s="31"/>
      <c r="BF122" s="16"/>
      <c r="BG122" s="16"/>
      <c r="BH122" s="16"/>
      <c r="BI122" s="16"/>
      <c r="BJ122" s="327"/>
      <c r="BK122" s="16"/>
      <c r="BL122" s="16"/>
      <c r="BM122" s="17"/>
    </row>
    <row r="123" spans="2:74" ht="12.75" x14ac:dyDescent="0.2">
      <c r="AR123" s="16"/>
      <c r="AS123" s="323"/>
      <c r="AT123" s="86"/>
      <c r="AU123" s="223"/>
      <c r="AV123" s="484" t="s">
        <v>46</v>
      </c>
      <c r="AW123" s="223" t="s">
        <v>44</v>
      </c>
      <c r="AX123" s="590">
        <f>+'Basic rates'!D85</f>
        <v>330</v>
      </c>
      <c r="AY123" s="223" t="s">
        <v>47</v>
      </c>
      <c r="AZ123" s="223"/>
      <c r="BA123" s="16"/>
      <c r="BB123" s="16"/>
      <c r="BC123" s="117"/>
      <c r="BD123" s="117"/>
      <c r="BE123" s="117"/>
      <c r="BF123" s="16"/>
      <c r="BG123" s="16"/>
      <c r="BH123" s="16"/>
      <c r="BI123" s="333" t="s">
        <v>12</v>
      </c>
      <c r="BJ123" s="327"/>
      <c r="BK123" s="16"/>
      <c r="BL123" s="16"/>
      <c r="BM123" s="17"/>
    </row>
    <row r="124" spans="2:74" ht="12.75" x14ac:dyDescent="0.2">
      <c r="AR124" s="16"/>
      <c r="AS124" s="323"/>
      <c r="AT124" s="86"/>
      <c r="AU124" s="480"/>
      <c r="AV124" s="479" t="s">
        <v>101</v>
      </c>
      <c r="AW124" s="480" t="s">
        <v>44</v>
      </c>
      <c r="AX124" s="590">
        <f>+'Basic rates'!D86</f>
        <v>400</v>
      </c>
      <c r="AY124" s="223" t="s">
        <v>47</v>
      </c>
      <c r="AZ124" s="223"/>
      <c r="BA124" s="16"/>
      <c r="BB124" s="16"/>
      <c r="BC124" s="16"/>
      <c r="BD124" s="16"/>
      <c r="BE124" s="16"/>
      <c r="BF124" s="16"/>
      <c r="BG124" s="16"/>
      <c r="BH124" s="16"/>
      <c r="BI124" s="333" t="s">
        <v>13</v>
      </c>
      <c r="BJ124" s="327"/>
      <c r="BK124" s="16"/>
      <c r="BL124" s="16"/>
      <c r="BM124" s="17"/>
    </row>
    <row r="125" spans="2:74" ht="12.75" x14ac:dyDescent="0.2">
      <c r="AR125" s="16"/>
      <c r="AS125" s="323"/>
      <c r="AT125" s="86"/>
      <c r="AU125" s="86"/>
      <c r="AV125" s="86"/>
      <c r="AW125" s="86"/>
      <c r="AX125" s="86"/>
      <c r="AY125" s="86"/>
      <c r="AZ125" s="86"/>
      <c r="BA125" s="16"/>
      <c r="BB125" s="16"/>
      <c r="BC125" s="16"/>
      <c r="BD125" s="16"/>
      <c r="BE125" s="16"/>
      <c r="BF125" s="16"/>
      <c r="BG125" s="16"/>
      <c r="BH125" s="16"/>
      <c r="BI125" s="333"/>
      <c r="BJ125" s="327"/>
      <c r="BK125" s="16"/>
      <c r="BL125" s="16"/>
      <c r="BM125" s="17"/>
    </row>
    <row r="126" spans="2:74" ht="12.75" x14ac:dyDescent="0.2">
      <c r="AR126" s="16"/>
      <c r="AS126" s="323"/>
      <c r="AT126" s="86"/>
      <c r="AU126" s="86"/>
      <c r="AV126" s="86"/>
      <c r="AW126" s="86"/>
      <c r="AX126" s="86"/>
      <c r="AY126" s="86"/>
      <c r="AZ126" s="86"/>
      <c r="BA126" s="16"/>
      <c r="BB126" s="16"/>
      <c r="BC126" s="16"/>
      <c r="BD126" s="16"/>
      <c r="BE126" s="16"/>
      <c r="BF126" s="16"/>
      <c r="BG126" s="16"/>
      <c r="BH126" s="16"/>
      <c r="BI126" s="333"/>
      <c r="BJ126" s="327"/>
      <c r="BK126" s="16"/>
      <c r="BL126" s="16"/>
      <c r="BM126" s="17"/>
    </row>
    <row r="127" spans="2:74" ht="12.75" x14ac:dyDescent="0.2">
      <c r="AR127" s="16"/>
      <c r="AS127" s="323"/>
      <c r="AT127" s="86"/>
      <c r="AU127" s="86"/>
      <c r="AV127" s="86"/>
      <c r="AW127" s="86"/>
      <c r="AX127" s="86"/>
      <c r="AY127" s="86"/>
      <c r="AZ127" s="86"/>
      <c r="BA127" s="16"/>
      <c r="BB127" s="16"/>
      <c r="BC127" s="16"/>
      <c r="BD127" s="16"/>
      <c r="BE127" s="16"/>
      <c r="BF127" s="16"/>
      <c r="BG127" s="16"/>
      <c r="BH127" s="16"/>
      <c r="BI127" s="333"/>
      <c r="BJ127" s="327"/>
      <c r="BK127" s="16"/>
      <c r="BL127" s="16"/>
      <c r="BM127" s="17"/>
    </row>
    <row r="128" spans="2:74" ht="12.75" x14ac:dyDescent="0.2">
      <c r="AR128" s="16"/>
      <c r="AS128" s="323"/>
      <c r="AT128" s="86"/>
      <c r="AU128" s="86"/>
      <c r="AV128" s="86"/>
      <c r="AW128" s="86"/>
      <c r="AX128" s="86"/>
      <c r="AY128" s="86"/>
      <c r="AZ128" s="86"/>
      <c r="BA128" s="16"/>
      <c r="BB128" s="16"/>
      <c r="BC128" s="16"/>
      <c r="BD128" s="16"/>
      <c r="BE128" s="16"/>
      <c r="BF128" s="16"/>
      <c r="BG128" s="16"/>
      <c r="BH128" s="16"/>
      <c r="BI128" s="333"/>
      <c r="BJ128" s="327"/>
      <c r="BK128" s="16"/>
      <c r="BL128" s="16"/>
      <c r="BM128" s="17"/>
    </row>
    <row r="129" spans="44:65" ht="12.75" x14ac:dyDescent="0.2">
      <c r="AR129" s="16"/>
      <c r="AS129" s="323"/>
      <c r="AT129" s="86"/>
      <c r="AU129" s="86"/>
      <c r="AV129" s="86"/>
      <c r="AW129" s="86"/>
      <c r="AX129" s="86"/>
      <c r="AY129" s="86"/>
      <c r="AZ129" s="86"/>
      <c r="BA129" s="16"/>
      <c r="BB129" s="16"/>
      <c r="BC129" s="16"/>
      <c r="BD129" s="16"/>
      <c r="BE129" s="16"/>
      <c r="BF129" s="16"/>
      <c r="BG129" s="16"/>
      <c r="BH129" s="16"/>
      <c r="BI129" s="333"/>
      <c r="BJ129" s="327"/>
      <c r="BK129" s="16"/>
      <c r="BL129" s="16"/>
      <c r="BM129" s="17"/>
    </row>
    <row r="130" spans="44:65" ht="12.75" x14ac:dyDescent="0.2">
      <c r="AR130" s="16"/>
      <c r="AS130" s="323"/>
      <c r="AT130" s="8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333"/>
      <c r="BJ130" s="327"/>
      <c r="BK130" s="16"/>
      <c r="BL130" s="16"/>
      <c r="BM130" s="17"/>
    </row>
    <row r="131" spans="44:65" ht="13.5" thickBot="1" x14ac:dyDescent="0.25">
      <c r="AR131" s="16"/>
      <c r="AS131" s="21"/>
      <c r="AT131" s="334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335"/>
      <c r="BJ131" s="336"/>
      <c r="BK131" s="18"/>
      <c r="BL131" s="18"/>
      <c r="BM131" s="34"/>
    </row>
    <row r="132" spans="44:65" ht="12.75" x14ac:dyDescent="0.2">
      <c r="AR132" s="16"/>
      <c r="AS132" s="16"/>
      <c r="AT132" s="86"/>
      <c r="BI132" s="9"/>
    </row>
    <row r="133" spans="44:65" ht="12.75" x14ac:dyDescent="0.2">
      <c r="AR133" s="287"/>
      <c r="AS133" s="542" t="s">
        <v>283</v>
      </c>
      <c r="AT133" s="542"/>
      <c r="AU133" s="542"/>
      <c r="AV133" s="542"/>
      <c r="AW133" s="542"/>
      <c r="AX133" s="542"/>
      <c r="AY133" s="542"/>
      <c r="AZ133" s="542"/>
      <c r="BA133" s="542"/>
      <c r="BB133" s="542"/>
      <c r="BC133" s="542"/>
      <c r="BD133" s="542"/>
      <c r="BE133" s="542"/>
      <c r="BF133" s="542"/>
      <c r="BG133" s="542"/>
      <c r="BH133" s="542"/>
      <c r="BI133" s="542"/>
      <c r="BJ133" s="542"/>
      <c r="BK133" s="542"/>
      <c r="BL133" s="542"/>
      <c r="BM133" s="542"/>
    </row>
    <row r="134" spans="44:65" ht="13.5" thickBot="1" x14ac:dyDescent="0.25">
      <c r="AR134" s="16"/>
      <c r="AS134" s="338"/>
      <c r="AT134" s="339"/>
      <c r="AU134" s="340"/>
      <c r="AV134" s="340"/>
      <c r="AW134" s="340"/>
      <c r="AX134" s="340"/>
      <c r="AY134" s="340"/>
      <c r="AZ134" s="340"/>
      <c r="BA134" s="340"/>
      <c r="BB134" s="340"/>
      <c r="BC134" s="340"/>
      <c r="BD134" s="340"/>
      <c r="BE134" s="340"/>
      <c r="BF134" s="340"/>
      <c r="BG134" s="340"/>
      <c r="BH134" s="340"/>
      <c r="BI134" s="341"/>
      <c r="BJ134" s="342"/>
      <c r="BK134" s="340"/>
      <c r="BL134" s="340"/>
      <c r="BM134" s="343"/>
    </row>
    <row r="135" spans="44:65" ht="12.75" x14ac:dyDescent="0.2">
      <c r="AR135" s="16"/>
      <c r="AS135" s="344"/>
      <c r="AT135" s="86" t="s">
        <v>216</v>
      </c>
      <c r="AU135" s="337" t="s">
        <v>289</v>
      </c>
      <c r="AV135" s="197"/>
      <c r="AW135" s="197"/>
      <c r="AX135" s="39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333"/>
      <c r="BJ135" s="327"/>
      <c r="BK135" s="16"/>
      <c r="BL135" s="16"/>
      <c r="BM135" s="287"/>
    </row>
    <row r="136" spans="44:65" ht="14.25" x14ac:dyDescent="0.2">
      <c r="AR136" s="16"/>
      <c r="AS136" s="344"/>
      <c r="AT136" s="86"/>
      <c r="AU136" s="221">
        <v>3</v>
      </c>
      <c r="AV136" s="16"/>
      <c r="AW136" s="320"/>
      <c r="AX136" s="16"/>
      <c r="AY136" s="16"/>
      <c r="AZ136" s="16"/>
      <c r="BA136" s="16"/>
      <c r="BB136" s="543" t="s">
        <v>185</v>
      </c>
      <c r="BC136" s="544"/>
      <c r="BD136" s="16"/>
      <c r="BE136" s="16"/>
      <c r="BF136" s="16"/>
      <c r="BG136" s="16"/>
      <c r="BH136" s="16"/>
      <c r="BI136" s="333"/>
      <c r="BJ136" s="327"/>
      <c r="BK136" s="16"/>
      <c r="BL136" s="16"/>
      <c r="BM136" s="287"/>
    </row>
    <row r="137" spans="44:65" ht="12.75" x14ac:dyDescent="0.2">
      <c r="AR137" s="16"/>
      <c r="AS137" s="344"/>
      <c r="AT137" s="86"/>
      <c r="AU137" s="221">
        <v>6</v>
      </c>
      <c r="AV137" s="16"/>
      <c r="AW137" s="197"/>
      <c r="AX137" s="16"/>
      <c r="AY137" s="16"/>
      <c r="AZ137" s="16"/>
      <c r="BA137" s="16"/>
      <c r="BB137" s="3" t="s">
        <v>187</v>
      </c>
      <c r="BC137" s="3">
        <v>0.05</v>
      </c>
      <c r="BD137" s="16"/>
      <c r="BE137" s="16"/>
      <c r="BF137" s="16"/>
      <c r="BG137" s="16"/>
      <c r="BH137" s="16"/>
      <c r="BI137" s="333"/>
      <c r="BJ137" s="327"/>
      <c r="BK137" s="16"/>
      <c r="BL137" s="16"/>
      <c r="BM137" s="287"/>
    </row>
    <row r="138" spans="44:65" ht="12.75" x14ac:dyDescent="0.2">
      <c r="AR138" s="16"/>
      <c r="AS138" s="344"/>
      <c r="AT138" s="86"/>
      <c r="AU138" s="221">
        <v>7</v>
      </c>
      <c r="AV138" s="16"/>
      <c r="AW138" s="16"/>
      <c r="AX138" s="16"/>
      <c r="AY138" s="16"/>
      <c r="AZ138" s="16"/>
      <c r="BA138" s="16"/>
      <c r="BB138" s="3" t="s">
        <v>188</v>
      </c>
      <c r="BC138" s="3">
        <v>0.1</v>
      </c>
      <c r="BD138" s="16"/>
      <c r="BE138" s="16"/>
      <c r="BF138" s="16"/>
      <c r="BG138" s="16"/>
      <c r="BH138" s="16"/>
      <c r="BI138" s="333"/>
      <c r="BJ138" s="327"/>
      <c r="BK138" s="16"/>
      <c r="BL138" s="16"/>
      <c r="BM138" s="287"/>
    </row>
    <row r="139" spans="44:65" ht="13.5" thickBot="1" x14ac:dyDescent="0.25">
      <c r="AR139" s="16"/>
      <c r="AS139" s="344"/>
      <c r="AT139" s="86"/>
      <c r="AU139" s="16"/>
      <c r="AV139" s="16"/>
      <c r="AW139" s="16"/>
      <c r="AX139" s="16"/>
      <c r="AY139" s="16"/>
      <c r="AZ139" s="16"/>
      <c r="BA139" s="16"/>
      <c r="BB139" s="3" t="s">
        <v>189</v>
      </c>
      <c r="BC139" s="3">
        <v>0.15</v>
      </c>
      <c r="BD139" s="16"/>
      <c r="BE139" s="16"/>
      <c r="BF139" s="16"/>
      <c r="BG139" s="16"/>
      <c r="BH139" s="16"/>
      <c r="BI139" s="333"/>
      <c r="BJ139" s="327"/>
      <c r="BK139" s="16"/>
      <c r="BL139" s="16"/>
      <c r="BM139" s="287"/>
    </row>
    <row r="140" spans="44:65" ht="13.5" thickBot="1" x14ac:dyDescent="0.25">
      <c r="AR140" s="16"/>
      <c r="AS140" s="344"/>
      <c r="AT140" s="86" t="s">
        <v>217</v>
      </c>
      <c r="AU140" s="20" t="s">
        <v>287</v>
      </c>
      <c r="AV140" s="20" t="s">
        <v>286</v>
      </c>
      <c r="AW140" s="20" t="s">
        <v>288</v>
      </c>
      <c r="AX140" s="16"/>
      <c r="AY140" s="16"/>
      <c r="AZ140" s="16"/>
      <c r="BA140" s="16"/>
      <c r="BB140" s="3" t="s">
        <v>190</v>
      </c>
      <c r="BC140" s="3">
        <v>0.2</v>
      </c>
      <c r="BD140" s="16"/>
      <c r="BE140" s="16"/>
      <c r="BF140" s="324"/>
      <c r="BG140" s="324"/>
      <c r="BH140" s="324"/>
      <c r="BI140" s="324"/>
      <c r="BJ140" s="327"/>
      <c r="BK140" s="16"/>
      <c r="BL140" s="16"/>
      <c r="BM140" s="287"/>
    </row>
    <row r="141" spans="44:65" ht="12.75" x14ac:dyDescent="0.2">
      <c r="AR141" s="16"/>
      <c r="AS141" s="344"/>
      <c r="AT141" s="86"/>
      <c r="AU141" s="3">
        <v>2</v>
      </c>
      <c r="AV141" s="632">
        <f>+'Basic rates'!X16</f>
        <v>1800</v>
      </c>
      <c r="AW141" s="221">
        <v>4</v>
      </c>
      <c r="AX141" s="16"/>
      <c r="AY141" s="16"/>
      <c r="AZ141" s="16"/>
      <c r="BA141" s="16"/>
      <c r="BB141" s="244" t="s">
        <v>23</v>
      </c>
      <c r="BC141" s="3">
        <v>0</v>
      </c>
      <c r="BD141" s="16"/>
      <c r="BE141" s="16"/>
      <c r="BF141" s="324"/>
      <c r="BG141" s="324"/>
      <c r="BH141" s="324"/>
      <c r="BI141" s="324"/>
      <c r="BJ141" s="327"/>
      <c r="BK141" s="16"/>
      <c r="BL141" s="16"/>
      <c r="BM141" s="287"/>
    </row>
    <row r="142" spans="44:65" ht="12.75" x14ac:dyDescent="0.2">
      <c r="AR142" s="16"/>
      <c r="AS142" s="344"/>
      <c r="AT142" s="86"/>
      <c r="AU142" s="3">
        <v>3</v>
      </c>
      <c r="AV142" s="632">
        <f>+'Basic rates'!X17</f>
        <v>600</v>
      </c>
      <c r="AW142" s="221">
        <v>5</v>
      </c>
      <c r="AX142" s="16"/>
      <c r="AY142" s="16"/>
      <c r="AZ142" s="16"/>
      <c r="BA142" s="16"/>
      <c r="BB142" s="16"/>
      <c r="BC142" s="16"/>
      <c r="BD142" s="16"/>
      <c r="BE142" s="16"/>
      <c r="BF142" s="324"/>
      <c r="BG142" s="324"/>
      <c r="BH142" s="324"/>
      <c r="BI142" s="324"/>
      <c r="BJ142" s="327"/>
      <c r="BK142" s="16"/>
      <c r="BL142" s="16"/>
      <c r="BM142" s="287"/>
    </row>
    <row r="143" spans="44:65" ht="12.75" x14ac:dyDescent="0.2">
      <c r="AR143" s="16"/>
      <c r="AS143" s="344"/>
      <c r="AT143" s="86"/>
      <c r="AU143" s="3">
        <v>4</v>
      </c>
      <c r="AV143" s="632">
        <f>+'Basic rates'!X18</f>
        <v>600</v>
      </c>
      <c r="AW143" s="221">
        <v>7</v>
      </c>
      <c r="AX143" s="16"/>
      <c r="AY143" s="16"/>
      <c r="AZ143" s="16"/>
      <c r="BA143" s="16"/>
      <c r="BB143" s="16"/>
      <c r="BC143" s="16"/>
      <c r="BD143" s="16"/>
      <c r="BE143" s="16"/>
      <c r="BF143" s="324"/>
      <c r="BG143" s="324"/>
      <c r="BH143" s="324"/>
      <c r="BI143" s="324"/>
      <c r="BJ143" s="327"/>
      <c r="BK143" s="16"/>
      <c r="BL143" s="16"/>
      <c r="BM143" s="287"/>
    </row>
    <row r="144" spans="44:65" ht="13.5" thickBot="1" x14ac:dyDescent="0.25">
      <c r="AR144" s="16"/>
      <c r="AS144" s="344"/>
      <c r="AT144" s="86"/>
      <c r="AU144" s="16"/>
      <c r="AV144" s="16"/>
      <c r="AW144" s="16"/>
      <c r="AX144" s="16"/>
      <c r="AY144" s="16"/>
      <c r="AZ144" s="16"/>
      <c r="BA144" s="111"/>
      <c r="BB144" s="111"/>
      <c r="BC144" s="111"/>
      <c r="BD144" s="111"/>
      <c r="BE144" s="111"/>
      <c r="BF144" s="324"/>
      <c r="BG144" s="324"/>
      <c r="BH144" s="324"/>
      <c r="BI144" s="324"/>
      <c r="BJ144" s="327"/>
      <c r="BK144" s="16"/>
      <c r="BL144" s="16"/>
      <c r="BM144" s="287"/>
    </row>
    <row r="145" spans="44:65" ht="12.75" x14ac:dyDescent="0.2">
      <c r="AR145" s="16"/>
      <c r="AS145" s="344"/>
      <c r="AT145" s="16" t="s">
        <v>254</v>
      </c>
      <c r="AU145" s="337" t="s">
        <v>291</v>
      </c>
      <c r="AV145" s="337" t="s">
        <v>286</v>
      </c>
      <c r="AW145" s="16"/>
      <c r="AX145" s="16"/>
      <c r="AY145" s="16"/>
      <c r="AZ145" s="111"/>
      <c r="BA145" s="111"/>
      <c r="BB145" s="111"/>
      <c r="BC145" s="111"/>
      <c r="BD145" s="111"/>
      <c r="BE145" s="111"/>
      <c r="BF145" s="324"/>
      <c r="BG145" s="324"/>
      <c r="BH145" s="324"/>
      <c r="BI145" s="324"/>
      <c r="BJ145" s="327"/>
      <c r="BK145" s="16"/>
      <c r="BL145" s="16"/>
      <c r="BM145" s="287"/>
    </row>
    <row r="146" spans="44:65" ht="12.75" x14ac:dyDescent="0.2">
      <c r="AR146" s="16"/>
      <c r="AS146" s="344"/>
      <c r="AT146" s="16"/>
      <c r="AU146" s="221">
        <v>2</v>
      </c>
      <c r="AV146" s="319">
        <f>+'Basic rates'!D89</f>
        <v>500</v>
      </c>
      <c r="AW146" s="16"/>
      <c r="AX146" s="16"/>
      <c r="AY146" s="16"/>
      <c r="AZ146" s="111"/>
      <c r="BA146" s="111"/>
      <c r="BB146" s="111"/>
      <c r="BC146" s="111"/>
      <c r="BD146" s="111"/>
      <c r="BE146" s="111"/>
      <c r="BF146" s="324"/>
      <c r="BG146" s="324"/>
      <c r="BH146" s="324"/>
      <c r="BI146" s="324"/>
      <c r="BJ146" s="327"/>
      <c r="BK146" s="16"/>
      <c r="BL146" s="16"/>
      <c r="BM146" s="287"/>
    </row>
    <row r="147" spans="44:65" ht="12.75" x14ac:dyDescent="0.2">
      <c r="AR147" s="16"/>
      <c r="AS147" s="344"/>
      <c r="AT147" s="16"/>
      <c r="AU147" s="221">
        <v>3</v>
      </c>
      <c r="AV147" s="319">
        <f>+'Basic rates'!D90</f>
        <v>700</v>
      </c>
      <c r="AW147" s="16"/>
      <c r="AX147" s="16" t="b">
        <f>AI41=AU149</f>
        <v>0</v>
      </c>
      <c r="AY147" s="16"/>
      <c r="AZ147" s="117"/>
      <c r="BA147" s="117"/>
      <c r="BB147" s="117"/>
      <c r="BC147" s="117"/>
      <c r="BD147" s="117"/>
      <c r="BE147" s="117"/>
      <c r="BF147" s="324"/>
      <c r="BG147" s="324"/>
      <c r="BH147" s="324"/>
      <c r="BI147" s="324"/>
      <c r="BJ147" s="327"/>
      <c r="BK147" s="16"/>
      <c r="BL147" s="16"/>
      <c r="BM147" s="287"/>
    </row>
    <row r="148" spans="44:65" ht="12.75" x14ac:dyDescent="0.2">
      <c r="AR148" s="16"/>
      <c r="AS148" s="344"/>
      <c r="AT148" s="16"/>
      <c r="AU148" s="221">
        <v>4</v>
      </c>
      <c r="AV148" s="319">
        <f>+'Basic rates'!D91</f>
        <v>650</v>
      </c>
      <c r="AW148" s="16"/>
      <c r="AX148" s="16"/>
      <c r="AY148" s="16"/>
      <c r="AZ148" s="117"/>
      <c r="BA148" s="117"/>
      <c r="BB148" s="117"/>
      <c r="BC148" s="117"/>
      <c r="BD148" s="117"/>
      <c r="BE148" s="117"/>
      <c r="BF148" s="324"/>
      <c r="BG148" s="324"/>
      <c r="BH148" s="324"/>
      <c r="BI148" s="324"/>
      <c r="BJ148" s="327"/>
      <c r="BK148" s="16"/>
      <c r="BL148" s="16"/>
      <c r="BM148" s="287"/>
    </row>
    <row r="149" spans="44:65" ht="12.75" x14ac:dyDescent="0.2">
      <c r="AR149" s="16"/>
      <c r="AS149" s="344"/>
      <c r="AT149" s="16"/>
      <c r="AU149" s="221">
        <v>5</v>
      </c>
      <c r="AV149" s="319">
        <f>+'Basic rates'!D92</f>
        <v>500</v>
      </c>
      <c r="AW149" s="16"/>
      <c r="AX149" s="16"/>
      <c r="AY149" s="16"/>
      <c r="AZ149" s="16"/>
      <c r="BA149" s="324"/>
      <c r="BB149" s="324"/>
      <c r="BC149" s="324"/>
      <c r="BD149" s="324"/>
      <c r="BE149" s="324"/>
      <c r="BF149" s="324"/>
      <c r="BG149" s="324"/>
      <c r="BH149" s="324"/>
      <c r="BI149" s="324"/>
      <c r="BJ149" s="16"/>
      <c r="BK149" s="16"/>
      <c r="BL149" s="16"/>
      <c r="BM149" s="287"/>
    </row>
    <row r="150" spans="44:65" ht="12.75" x14ac:dyDescent="0.2">
      <c r="AR150" s="16"/>
      <c r="AS150" s="344"/>
      <c r="AT150" s="16"/>
      <c r="AU150" s="3">
        <v>6</v>
      </c>
      <c r="AV150" s="3">
        <v>0</v>
      </c>
      <c r="AW150" s="16"/>
      <c r="AX150" s="16"/>
      <c r="AY150" s="16"/>
      <c r="AZ150" s="16"/>
      <c r="BA150" s="324"/>
      <c r="BB150" s="324"/>
      <c r="BC150" s="324"/>
      <c r="BD150" s="324"/>
      <c r="BE150" s="324"/>
      <c r="BF150" s="324"/>
      <c r="BG150" s="111"/>
      <c r="BH150" s="111"/>
      <c r="BI150" s="324"/>
      <c r="BJ150" s="16"/>
      <c r="BK150" s="16"/>
      <c r="BL150" s="16"/>
      <c r="BM150" s="287"/>
    </row>
    <row r="151" spans="44:65" ht="12.75" x14ac:dyDescent="0.2">
      <c r="AR151" s="16"/>
      <c r="AS151" s="344"/>
      <c r="AT151" s="16"/>
      <c r="AU151" s="16"/>
      <c r="AV151" s="16"/>
      <c r="AW151" s="16"/>
      <c r="AX151" s="16"/>
      <c r="AY151" s="16"/>
      <c r="AZ151" s="16"/>
      <c r="BA151" s="324"/>
      <c r="BB151" s="324"/>
      <c r="BC151" s="324"/>
      <c r="BD151" s="324"/>
      <c r="BE151" s="324"/>
      <c r="BF151" s="324"/>
      <c r="BG151" s="111"/>
      <c r="BH151" s="111"/>
      <c r="BI151" s="324"/>
      <c r="BJ151" s="16"/>
      <c r="BK151" s="16"/>
      <c r="BL151" s="16"/>
      <c r="BM151" s="287"/>
    </row>
    <row r="152" spans="44:65" ht="12.75" x14ac:dyDescent="0.2">
      <c r="AR152" s="16"/>
      <c r="AS152" s="344"/>
      <c r="AT152" s="16"/>
      <c r="AU152" s="16"/>
      <c r="AV152" s="16"/>
      <c r="AW152" s="16"/>
      <c r="AX152" s="16"/>
      <c r="AY152" s="16"/>
      <c r="AZ152" s="16"/>
      <c r="BA152" s="324"/>
      <c r="BB152" s="324"/>
      <c r="BC152" s="324"/>
      <c r="BD152" s="324"/>
      <c r="BE152" s="324"/>
      <c r="BF152" s="324"/>
      <c r="BG152" s="111"/>
      <c r="BH152" s="111"/>
      <c r="BI152" s="324"/>
      <c r="BJ152" s="16"/>
      <c r="BK152" s="16"/>
      <c r="BL152" s="16"/>
      <c r="BM152" s="287"/>
    </row>
    <row r="153" spans="44:65" ht="12.75" x14ac:dyDescent="0.2">
      <c r="AR153" s="16"/>
      <c r="AS153" s="344"/>
      <c r="AT153" s="16" t="s">
        <v>255</v>
      </c>
      <c r="AU153" s="723" t="s">
        <v>178</v>
      </c>
      <c r="AV153" s="724"/>
      <c r="AW153" s="16"/>
      <c r="AX153" s="16"/>
      <c r="AY153" s="16"/>
      <c r="AZ153" s="16"/>
      <c r="BA153" s="324"/>
      <c r="BB153" s="324"/>
      <c r="BC153" s="324"/>
      <c r="BD153" s="324"/>
      <c r="BE153" s="324"/>
      <c r="BF153" s="324"/>
      <c r="BG153" s="111"/>
      <c r="BH153" s="111"/>
      <c r="BI153" s="324"/>
      <c r="BJ153" s="16"/>
      <c r="BK153" s="16"/>
      <c r="BL153" s="16"/>
      <c r="BM153" s="287"/>
    </row>
    <row r="154" spans="44:65" ht="12.75" x14ac:dyDescent="0.2">
      <c r="AR154" s="16"/>
      <c r="AS154" s="344"/>
      <c r="AT154" s="16"/>
      <c r="AU154" s="244">
        <v>2</v>
      </c>
      <c r="AV154" s="244">
        <f>+'Basic rates'!D96</f>
        <v>17500</v>
      </c>
      <c r="AW154" s="244">
        <v>1</v>
      </c>
      <c r="AX154" s="16"/>
      <c r="AY154" s="16"/>
      <c r="AZ154" s="16"/>
      <c r="BA154" s="324"/>
      <c r="BB154" s="324"/>
      <c r="BC154" s="324"/>
      <c r="BD154" s="324"/>
      <c r="BE154" s="324"/>
      <c r="BF154" s="324"/>
      <c r="BG154" s="111"/>
      <c r="BH154" s="111"/>
      <c r="BI154" s="324"/>
      <c r="BJ154" s="327"/>
      <c r="BK154" s="16"/>
      <c r="BL154" s="16"/>
      <c r="BM154" s="287"/>
    </row>
    <row r="155" spans="44:65" ht="12.75" x14ac:dyDescent="0.2">
      <c r="AR155" s="16"/>
      <c r="AS155" s="344"/>
      <c r="AT155" s="16"/>
      <c r="AU155" s="244">
        <v>3</v>
      </c>
      <c r="AV155" s="244">
        <f>+'Basic rates'!D97</f>
        <v>18700</v>
      </c>
      <c r="AW155" s="244">
        <v>2</v>
      </c>
      <c r="AX155" s="16"/>
      <c r="AY155" s="16"/>
      <c r="AZ155" s="16"/>
      <c r="BA155" s="324"/>
      <c r="BB155" s="324"/>
      <c r="BC155" s="324"/>
      <c r="BD155" s="324"/>
      <c r="BE155" s="324"/>
      <c r="BF155" s="324"/>
      <c r="BG155" s="111"/>
      <c r="BH155" s="111"/>
      <c r="BI155" s="324"/>
      <c r="BJ155" s="327"/>
      <c r="BK155" s="16"/>
      <c r="BL155" s="16"/>
      <c r="BM155" s="287"/>
    </row>
    <row r="156" spans="44:65" ht="12.75" x14ac:dyDescent="0.2">
      <c r="AR156" s="16"/>
      <c r="AS156" s="344"/>
      <c r="AT156" s="16"/>
      <c r="AU156" s="221">
        <v>4</v>
      </c>
      <c r="AV156" s="244">
        <f>+'Basic rates'!D98</f>
        <v>20500</v>
      </c>
      <c r="AW156" s="16"/>
      <c r="AX156" s="16"/>
      <c r="AY156" s="16"/>
      <c r="AZ156" s="16"/>
      <c r="BA156" s="324"/>
      <c r="BB156" s="324"/>
      <c r="BC156" s="324"/>
      <c r="BD156" s="324"/>
      <c r="BE156" s="324"/>
      <c r="BF156" s="324"/>
      <c r="BG156" s="111"/>
      <c r="BH156" s="111"/>
      <c r="BI156" s="324"/>
      <c r="BJ156" s="327"/>
      <c r="BK156" s="16"/>
      <c r="BL156" s="16"/>
      <c r="BM156" s="287"/>
    </row>
    <row r="157" spans="44:65" ht="12.75" x14ac:dyDescent="0.2">
      <c r="AR157" s="16"/>
      <c r="AS157" s="344"/>
      <c r="AT157" s="16"/>
      <c r="AU157" s="16"/>
      <c r="AV157" s="16"/>
      <c r="AW157" s="16"/>
      <c r="AX157" s="16"/>
      <c r="AY157" s="16"/>
      <c r="AZ157" s="16"/>
      <c r="BA157" s="324"/>
      <c r="BB157" s="324"/>
      <c r="BC157" s="324"/>
      <c r="BD157" s="324"/>
      <c r="BE157" s="324"/>
      <c r="BF157" s="324"/>
      <c r="BG157" s="111"/>
      <c r="BH157" s="111"/>
      <c r="BI157" s="324"/>
      <c r="BJ157" s="327"/>
      <c r="BK157" s="16"/>
      <c r="BL157" s="16"/>
      <c r="BM157" s="287"/>
    </row>
    <row r="158" spans="44:65" ht="12.75" x14ac:dyDescent="0.2">
      <c r="AR158" s="16"/>
      <c r="AS158" s="344"/>
      <c r="AT158" s="16" t="s">
        <v>256</v>
      </c>
      <c r="AU158" s="731" t="s">
        <v>161</v>
      </c>
      <c r="AV158" s="731"/>
      <c r="AW158" s="731"/>
      <c r="AX158" s="16"/>
      <c r="AY158" s="16"/>
      <c r="AZ158" s="16"/>
      <c r="BA158" s="324"/>
      <c r="BB158" s="324"/>
      <c r="BC158" s="324"/>
      <c r="BD158" s="324"/>
      <c r="BE158" s="324"/>
      <c r="BF158" s="324"/>
      <c r="BG158" s="193"/>
      <c r="BH158" s="193"/>
      <c r="BI158" s="324"/>
      <c r="BJ158" s="327"/>
      <c r="BK158" s="16"/>
      <c r="BL158" s="16"/>
      <c r="BM158" s="287"/>
    </row>
    <row r="159" spans="44:65" ht="30" x14ac:dyDescent="0.2">
      <c r="AR159" s="16"/>
      <c r="AS159" s="344"/>
      <c r="AT159" s="16"/>
      <c r="AU159" s="192" t="s">
        <v>159</v>
      </c>
      <c r="AV159" s="192"/>
      <c r="AW159" s="189" t="s">
        <v>160</v>
      </c>
      <c r="AX159" s="16"/>
      <c r="AY159" s="16"/>
      <c r="AZ159" s="16"/>
      <c r="BA159" s="324"/>
      <c r="BB159" s="324"/>
      <c r="BC159" s="324"/>
      <c r="BD159" s="324"/>
      <c r="BE159" s="324"/>
      <c r="BF159" s="324"/>
      <c r="BG159" s="193"/>
      <c r="BH159" s="193"/>
      <c r="BI159" s="324"/>
      <c r="BJ159" s="327"/>
      <c r="BK159" s="16"/>
      <c r="BL159" s="16"/>
      <c r="BM159" s="287"/>
    </row>
    <row r="160" spans="44:65" ht="12.75" x14ac:dyDescent="0.2">
      <c r="AR160" s="16"/>
      <c r="AS160" s="344"/>
      <c r="AT160" s="16"/>
      <c r="AU160" s="3">
        <v>2.0099999999999998</v>
      </c>
      <c r="AV160" s="190">
        <v>3.01</v>
      </c>
      <c r="AW160" s="191">
        <v>9</v>
      </c>
      <c r="AX160" s="16"/>
      <c r="AY160" s="16"/>
      <c r="AZ160" s="16"/>
      <c r="BA160" s="324"/>
      <c r="BB160" s="324"/>
      <c r="BC160" s="324"/>
      <c r="BD160" s="324"/>
      <c r="BE160" s="324"/>
      <c r="BF160" s="324"/>
      <c r="BG160" s="193"/>
      <c r="BH160" s="193"/>
      <c r="BI160" s="324"/>
      <c r="BJ160" s="327"/>
      <c r="BK160" s="16"/>
      <c r="BL160" s="16"/>
      <c r="BM160" s="287"/>
    </row>
    <row r="161" spans="44:65" ht="12.75" x14ac:dyDescent="0.2">
      <c r="AR161" s="16"/>
      <c r="AS161" s="344"/>
      <c r="AT161" s="16"/>
      <c r="AU161" s="3">
        <v>3.01</v>
      </c>
      <c r="AV161" s="190">
        <v>4.01</v>
      </c>
      <c r="AW161" s="191">
        <v>14</v>
      </c>
      <c r="AX161" s="16"/>
      <c r="AY161" s="16"/>
      <c r="AZ161" s="16"/>
      <c r="BA161" s="324"/>
      <c r="BB161" s="324"/>
      <c r="BC161" s="324"/>
      <c r="BD161" s="324"/>
      <c r="BE161" s="324"/>
      <c r="BF161" s="324"/>
      <c r="BG161" s="193"/>
      <c r="BH161" s="193"/>
      <c r="BI161" s="324"/>
      <c r="BJ161" s="327"/>
      <c r="BK161" s="16"/>
      <c r="BL161" s="16"/>
      <c r="BM161" s="287"/>
    </row>
    <row r="162" spans="44:65" ht="12.75" x14ac:dyDescent="0.2">
      <c r="AS162" s="344"/>
      <c r="AT162" s="16"/>
      <c r="AU162" s="3">
        <v>4.01</v>
      </c>
      <c r="AV162" s="190">
        <v>5.01</v>
      </c>
      <c r="AW162" s="191">
        <v>18</v>
      </c>
      <c r="AX162" s="16"/>
      <c r="AY162" s="16"/>
      <c r="AZ162" s="16"/>
      <c r="BA162" s="324"/>
      <c r="BB162" s="324"/>
      <c r="BC162" s="324"/>
      <c r="BD162" s="324"/>
      <c r="BE162" s="324"/>
      <c r="BF162" s="324"/>
      <c r="BG162" s="193"/>
      <c r="BH162" s="193"/>
      <c r="BI162" s="324"/>
      <c r="BJ162" s="327"/>
      <c r="BK162" s="16"/>
      <c r="BL162" s="16"/>
      <c r="BM162" s="287"/>
    </row>
    <row r="163" spans="44:65" ht="12.75" x14ac:dyDescent="0.2">
      <c r="AS163" s="344"/>
      <c r="AT163" s="16"/>
      <c r="AU163" s="3">
        <v>5.01</v>
      </c>
      <c r="AV163" s="190">
        <v>6.01</v>
      </c>
      <c r="AW163" s="191">
        <v>23</v>
      </c>
      <c r="AX163" s="16"/>
      <c r="AY163" s="16"/>
      <c r="AZ163" s="16"/>
      <c r="BA163" s="324"/>
      <c r="BB163" s="324"/>
      <c r="BC163" s="324"/>
      <c r="BD163" s="324"/>
      <c r="BE163" s="324"/>
      <c r="BF163" s="324"/>
      <c r="BG163" s="193"/>
      <c r="BH163" s="193"/>
      <c r="BI163" s="324"/>
      <c r="BJ163" s="327"/>
      <c r="BK163" s="16"/>
      <c r="BL163" s="16"/>
      <c r="BM163" s="287"/>
    </row>
    <row r="164" spans="44:65" ht="12.75" x14ac:dyDescent="0.2">
      <c r="AS164" s="344"/>
      <c r="AT164" s="16"/>
      <c r="AU164" s="3">
        <v>6.01</v>
      </c>
      <c r="AV164" s="190">
        <v>7.01</v>
      </c>
      <c r="AW164" s="191">
        <v>28</v>
      </c>
      <c r="AX164" s="16"/>
      <c r="AY164" s="16"/>
      <c r="AZ164" s="16"/>
      <c r="BA164" s="324"/>
      <c r="BB164" s="324"/>
      <c r="BC164" s="324"/>
      <c r="BD164" s="324"/>
      <c r="BE164" s="324"/>
      <c r="BF164" s="324"/>
      <c r="BG164" s="193"/>
      <c r="BH164" s="193"/>
      <c r="BI164" s="324"/>
      <c r="BJ164" s="327"/>
      <c r="BK164" s="16"/>
      <c r="BL164" s="16"/>
      <c r="BM164" s="287"/>
    </row>
    <row r="165" spans="44:65" ht="12.75" x14ac:dyDescent="0.2">
      <c r="AS165" s="344"/>
      <c r="AT165" s="16"/>
      <c r="AU165" s="3">
        <v>7.01</v>
      </c>
      <c r="AV165" s="190">
        <v>8.01</v>
      </c>
      <c r="AW165" s="191">
        <v>32</v>
      </c>
      <c r="AX165" s="16"/>
      <c r="AY165" s="16"/>
      <c r="AZ165" s="16"/>
      <c r="BA165" s="324"/>
      <c r="BB165" s="324"/>
      <c r="BC165" s="324"/>
      <c r="BD165" s="324"/>
      <c r="BE165" s="324"/>
      <c r="BF165" s="324"/>
      <c r="BG165" s="193"/>
      <c r="BH165" s="193"/>
      <c r="BI165" s="324"/>
      <c r="BJ165" s="327"/>
      <c r="BK165" s="16"/>
      <c r="BL165" s="16"/>
      <c r="BM165" s="287"/>
    </row>
    <row r="166" spans="44:65" ht="12.75" x14ac:dyDescent="0.2">
      <c r="AS166" s="344"/>
      <c r="AT166" s="16"/>
      <c r="AU166" s="3">
        <v>8.01</v>
      </c>
      <c r="AV166" s="190">
        <v>9.01</v>
      </c>
      <c r="AW166" s="191">
        <v>37</v>
      </c>
      <c r="AX166" s="16"/>
      <c r="AY166" s="16"/>
      <c r="AZ166" s="16"/>
      <c r="BA166" s="324"/>
      <c r="BB166" s="324"/>
      <c r="BC166" s="324"/>
      <c r="BD166" s="324"/>
      <c r="BE166" s="324"/>
      <c r="BF166" s="324"/>
      <c r="BG166" s="193"/>
      <c r="BH166" s="193"/>
      <c r="BI166" s="324"/>
      <c r="BJ166" s="327"/>
      <c r="BK166" s="16"/>
      <c r="BL166" s="16"/>
      <c r="BM166" s="287"/>
    </row>
    <row r="167" spans="44:65" ht="12.75" x14ac:dyDescent="0.2">
      <c r="AS167" s="344"/>
      <c r="AT167" s="16"/>
      <c r="AU167" s="3">
        <v>9.01</v>
      </c>
      <c r="AV167" s="190">
        <v>10.01</v>
      </c>
      <c r="AW167" s="191">
        <v>42</v>
      </c>
      <c r="AX167" s="16"/>
      <c r="AY167" s="16"/>
      <c r="AZ167" s="16"/>
      <c r="BA167" s="324"/>
      <c r="BB167" s="324"/>
      <c r="BC167" s="324"/>
      <c r="BD167" s="324"/>
      <c r="BE167" s="324"/>
      <c r="BF167" s="324"/>
      <c r="BG167" s="193"/>
      <c r="BH167" s="193"/>
      <c r="BI167" s="324"/>
      <c r="BJ167" s="327"/>
      <c r="BK167" s="16"/>
      <c r="BL167" s="16"/>
      <c r="BM167" s="287"/>
    </row>
    <row r="168" spans="44:65" ht="12.75" x14ac:dyDescent="0.2">
      <c r="AS168" s="344"/>
      <c r="AT168" s="16"/>
      <c r="AU168" s="3">
        <v>10.01</v>
      </c>
      <c r="AV168" s="190">
        <v>11.01</v>
      </c>
      <c r="AW168" s="191">
        <v>46</v>
      </c>
      <c r="AX168" s="16"/>
      <c r="AY168" s="16"/>
      <c r="AZ168" s="16"/>
      <c r="BA168" s="324"/>
      <c r="BB168" s="324"/>
      <c r="BC168" s="324"/>
      <c r="BD168" s="324"/>
      <c r="BE168" s="324"/>
      <c r="BF168" s="324"/>
      <c r="BG168" s="16"/>
      <c r="BH168" s="16"/>
      <c r="BI168" s="324"/>
      <c r="BJ168" s="327"/>
      <c r="BK168" s="16"/>
      <c r="BL168" s="16"/>
      <c r="BM168" s="287"/>
    </row>
    <row r="169" spans="44:65" ht="12.75" x14ac:dyDescent="0.2">
      <c r="AS169" s="344"/>
      <c r="AT169" s="16"/>
      <c r="AU169" s="3">
        <v>11.01</v>
      </c>
      <c r="AV169" s="190">
        <v>12.01</v>
      </c>
      <c r="AW169" s="191">
        <v>51</v>
      </c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324"/>
      <c r="BJ169" s="327"/>
      <c r="BK169" s="16"/>
      <c r="BL169" s="16"/>
      <c r="BM169" s="287"/>
    </row>
    <row r="170" spans="44:65" ht="12.75" x14ac:dyDescent="0.2">
      <c r="AS170" s="344"/>
      <c r="AT170" s="16"/>
      <c r="AU170" s="3">
        <v>12.01</v>
      </c>
      <c r="AV170" s="190">
        <v>13.01</v>
      </c>
      <c r="AW170" s="191">
        <v>56</v>
      </c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324"/>
      <c r="BJ170" s="327"/>
      <c r="BK170" s="16"/>
      <c r="BL170" s="16"/>
      <c r="BM170" s="287"/>
    </row>
    <row r="171" spans="44:65" ht="12.75" x14ac:dyDescent="0.2">
      <c r="AS171" s="344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324"/>
      <c r="BJ171" s="327"/>
      <c r="BK171" s="16"/>
      <c r="BL171" s="16"/>
      <c r="BM171" s="287"/>
    </row>
    <row r="172" spans="44:65" ht="12.75" x14ac:dyDescent="0.2">
      <c r="AS172" s="344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324"/>
      <c r="BJ172" s="327"/>
      <c r="BK172" s="16"/>
      <c r="BL172" s="16"/>
      <c r="BM172" s="287"/>
    </row>
    <row r="173" spans="44:65" ht="12.75" x14ac:dyDescent="0.2">
      <c r="AS173" s="344"/>
      <c r="AT173" s="16" t="s">
        <v>257</v>
      </c>
      <c r="AU173" s="731" t="s">
        <v>209</v>
      </c>
      <c r="AV173" s="731"/>
      <c r="AW173" s="731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324"/>
      <c r="BJ173" s="327"/>
      <c r="BK173" s="16"/>
      <c r="BL173" s="16"/>
      <c r="BM173" s="287"/>
    </row>
    <row r="174" spans="44:65" ht="12.75" x14ac:dyDescent="0.2">
      <c r="AS174" s="344"/>
      <c r="AT174" s="16"/>
      <c r="AU174" s="244" t="s">
        <v>296</v>
      </c>
      <c r="AV174" s="244" t="s">
        <v>297</v>
      </c>
      <c r="AW174" s="244" t="s">
        <v>298</v>
      </c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324"/>
      <c r="BJ174" s="327"/>
      <c r="BK174" s="16"/>
      <c r="BL174" s="16"/>
      <c r="BM174" s="287"/>
    </row>
    <row r="175" spans="44:65" ht="12.75" x14ac:dyDescent="0.2">
      <c r="AS175" s="344"/>
      <c r="AT175" s="16"/>
      <c r="AU175" s="244">
        <v>8</v>
      </c>
      <c r="AV175" s="244">
        <v>8</v>
      </c>
      <c r="AW175" s="244">
        <v>55000</v>
      </c>
      <c r="AX175" s="244">
        <v>1</v>
      </c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324"/>
      <c r="BJ175" s="327"/>
      <c r="BK175" s="16"/>
      <c r="BL175" s="16"/>
      <c r="BM175" s="287"/>
    </row>
    <row r="176" spans="44:65" ht="12.75" x14ac:dyDescent="0.2">
      <c r="AS176" s="344"/>
      <c r="AT176" s="16"/>
      <c r="AU176" s="221">
        <v>10</v>
      </c>
      <c r="AV176" s="244">
        <v>10</v>
      </c>
      <c r="AW176" s="244">
        <v>95000</v>
      </c>
      <c r="AX176" s="244">
        <v>2</v>
      </c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324"/>
      <c r="BJ176" s="327"/>
      <c r="BK176" s="16"/>
      <c r="BL176" s="16"/>
      <c r="BM176" s="287"/>
    </row>
    <row r="177" spans="45:65" ht="12.75" x14ac:dyDescent="0.2">
      <c r="AS177" s="345"/>
      <c r="AT177" s="346"/>
      <c r="AU177" s="346"/>
      <c r="AV177" s="346"/>
      <c r="AW177" s="346"/>
      <c r="AX177" s="346"/>
      <c r="AY177" s="346"/>
      <c r="AZ177" s="346"/>
      <c r="BA177" s="346"/>
      <c r="BB177" s="346"/>
      <c r="BC177" s="346"/>
      <c r="BD177" s="346"/>
      <c r="BE177" s="346"/>
      <c r="BF177" s="346"/>
      <c r="BG177" s="346"/>
      <c r="BH177" s="346"/>
      <c r="BI177" s="347"/>
      <c r="BJ177" s="348"/>
      <c r="BK177" s="346"/>
      <c r="BL177" s="346"/>
      <c r="BM177" s="349"/>
    </row>
    <row r="178" spans="45:65" ht="12.75" x14ac:dyDescent="0.2">
      <c r="AS178" s="542" t="s">
        <v>299</v>
      </c>
      <c r="AT178" s="542"/>
      <c r="AU178" s="542"/>
      <c r="AV178" s="542"/>
      <c r="AW178" s="542"/>
      <c r="AX178" s="542"/>
      <c r="AY178" s="542"/>
      <c r="AZ178" s="542"/>
      <c r="BA178" s="542"/>
      <c r="BB178" s="542"/>
      <c r="BC178" s="542"/>
      <c r="BD178" s="542"/>
      <c r="BE178" s="542"/>
      <c r="BF178" s="542"/>
      <c r="BG178" s="542"/>
      <c r="BH178" s="542"/>
      <c r="BI178" s="542"/>
      <c r="BJ178" s="542"/>
      <c r="BK178" s="542"/>
      <c r="BL178" s="542"/>
      <c r="BM178" s="542"/>
    </row>
    <row r="179" spans="45:65" ht="12.75" x14ac:dyDescent="0.2">
      <c r="AS179" s="344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324"/>
      <c r="BJ179" s="327"/>
      <c r="BK179" s="16"/>
      <c r="BL179" s="16"/>
      <c r="BM179" s="287"/>
    </row>
    <row r="180" spans="45:65" ht="12.75" x14ac:dyDescent="0.2">
      <c r="AS180" s="344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324"/>
      <c r="BJ180" s="327"/>
      <c r="BK180" s="16"/>
      <c r="BL180" s="16"/>
      <c r="BM180" s="287"/>
    </row>
    <row r="181" spans="45:65" ht="12.75" x14ac:dyDescent="0.2">
      <c r="AS181" s="344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324"/>
      <c r="BJ181" s="327"/>
      <c r="BK181" s="16"/>
      <c r="BL181" s="16"/>
      <c r="BM181" s="287"/>
    </row>
    <row r="182" spans="45:65" ht="12.75" x14ac:dyDescent="0.2">
      <c r="AS182" s="344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324"/>
      <c r="BJ182" s="327"/>
      <c r="BK182" s="16"/>
      <c r="BL182" s="16"/>
      <c r="BM182" s="287"/>
    </row>
    <row r="183" spans="45:65" ht="12.75" x14ac:dyDescent="0.2">
      <c r="AS183" s="344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324"/>
      <c r="BJ183" s="327"/>
      <c r="BK183" s="16"/>
      <c r="BL183" s="16"/>
      <c r="BM183" s="287"/>
    </row>
    <row r="184" spans="45:65" ht="12.75" x14ac:dyDescent="0.2">
      <c r="AS184" s="344"/>
      <c r="AT184" s="16"/>
      <c r="AU184" s="16"/>
      <c r="AV184" s="16"/>
      <c r="AW184" s="16"/>
      <c r="AX184" s="16"/>
      <c r="AY184" s="16">
        <f>(AW189+AX189)*26%</f>
        <v>2093</v>
      </c>
      <c r="AZ184" s="16"/>
      <c r="BA184" s="16"/>
      <c r="BB184" s="16"/>
      <c r="BC184" s="16"/>
      <c r="BD184" s="16"/>
      <c r="BE184" s="16"/>
      <c r="BF184" s="16"/>
      <c r="BG184" s="16"/>
      <c r="BH184" s="16"/>
      <c r="BI184" s="324"/>
      <c r="BJ184" s="327"/>
      <c r="BK184" s="16"/>
      <c r="BL184" s="16"/>
      <c r="BM184" s="287"/>
    </row>
    <row r="185" spans="45:65" ht="12.75" x14ac:dyDescent="0.2">
      <c r="AS185" s="344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324"/>
      <c r="BJ185" s="327"/>
      <c r="BK185" s="16"/>
      <c r="BL185" s="16"/>
      <c r="BM185" s="287"/>
    </row>
    <row r="186" spans="45:65" ht="12.75" x14ac:dyDescent="0.2">
      <c r="AS186" s="344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324"/>
      <c r="BJ186" s="327"/>
      <c r="BK186" s="16"/>
      <c r="BL186" s="16"/>
      <c r="BM186" s="287"/>
    </row>
    <row r="187" spans="45:65" ht="12.75" x14ac:dyDescent="0.2">
      <c r="AS187" s="344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324"/>
      <c r="BJ187" s="327"/>
      <c r="BK187" s="16"/>
      <c r="BL187" s="16"/>
      <c r="BM187" s="287"/>
    </row>
    <row r="188" spans="45:65" ht="12.75" x14ac:dyDescent="0.2">
      <c r="AS188" s="350"/>
      <c r="AT188" s="308" t="s">
        <v>207</v>
      </c>
      <c r="AU188" s="351" t="s">
        <v>111</v>
      </c>
      <c r="AV188" s="358"/>
      <c r="AW188" s="351" t="s">
        <v>116</v>
      </c>
      <c r="AX188" s="351" t="s">
        <v>33</v>
      </c>
      <c r="AY188" s="351" t="s">
        <v>117</v>
      </c>
      <c r="AZ188" s="351" t="s">
        <v>118</v>
      </c>
      <c r="BA188" s="351" t="s">
        <v>0</v>
      </c>
      <c r="BB188" s="16"/>
      <c r="BC188" s="16"/>
      <c r="BD188" s="16"/>
      <c r="BE188" s="16"/>
      <c r="BF188" s="16"/>
      <c r="BG188" s="16"/>
      <c r="BH188" s="196"/>
      <c r="BI188" s="196"/>
      <c r="BJ188" s="327"/>
      <c r="BK188" s="16"/>
      <c r="BL188" s="16"/>
      <c r="BM188" s="287"/>
    </row>
    <row r="189" spans="45:65" ht="12.75" x14ac:dyDescent="0.2">
      <c r="AS189" s="350"/>
      <c r="AT189" s="349">
        <v>600</v>
      </c>
      <c r="AU189" s="362" t="s">
        <v>112</v>
      </c>
      <c r="AV189" s="363">
        <v>100</v>
      </c>
      <c r="AW189" s="363">
        <f t="shared" ref="AW189:AW194" si="6">AV189*AH$19</f>
        <v>7300</v>
      </c>
      <c r="AX189" s="363">
        <v>750</v>
      </c>
      <c r="AY189" s="363">
        <v>1522.5</v>
      </c>
      <c r="AZ189" s="363">
        <f>+'Basic rates'!J102</f>
        <v>11431.533093749998</v>
      </c>
      <c r="BA189" s="363">
        <v>0.4</v>
      </c>
      <c r="BB189" s="3">
        <v>0</v>
      </c>
      <c r="BC189" s="3">
        <v>550</v>
      </c>
      <c r="BD189" s="16"/>
      <c r="BE189" s="16">
        <v>1</v>
      </c>
      <c r="BF189" s="16"/>
      <c r="BG189" s="16"/>
      <c r="BH189" s="179"/>
      <c r="BI189" s="179"/>
      <c r="BJ189" s="327"/>
      <c r="BK189" s="16"/>
      <c r="BL189" s="16"/>
      <c r="BM189" s="287"/>
    </row>
    <row r="190" spans="45:65" ht="12.75" x14ac:dyDescent="0.2">
      <c r="AS190" s="350"/>
      <c r="AT190" s="285">
        <v>800</v>
      </c>
      <c r="AU190" s="362" t="s">
        <v>113</v>
      </c>
      <c r="AV190" s="363">
        <v>140</v>
      </c>
      <c r="AW190" s="363">
        <f t="shared" si="6"/>
        <v>10220</v>
      </c>
      <c r="AX190" s="363">
        <v>1000</v>
      </c>
      <c r="AY190" s="363">
        <v>2117</v>
      </c>
      <c r="AZ190" s="363">
        <f>+'Basic rates'!J103</f>
        <v>16079.397468749998</v>
      </c>
      <c r="BA190" s="363">
        <v>0.4</v>
      </c>
      <c r="BB190" s="3">
        <v>550.01</v>
      </c>
      <c r="BC190" s="3">
        <v>750</v>
      </c>
      <c r="BD190" s="16"/>
      <c r="BE190" s="16">
        <v>2</v>
      </c>
      <c r="BF190" s="16"/>
      <c r="BG190" s="16"/>
      <c r="BH190" s="179"/>
      <c r="BI190" s="179"/>
      <c r="BJ190" s="327"/>
      <c r="BK190" s="16"/>
      <c r="BL190" s="16"/>
      <c r="BM190" s="287"/>
    </row>
    <row r="191" spans="45:65" ht="12.75" x14ac:dyDescent="0.2">
      <c r="AS191" s="350"/>
      <c r="AT191" s="285">
        <v>1000</v>
      </c>
      <c r="AU191" s="362" t="s">
        <v>114</v>
      </c>
      <c r="AV191" s="363">
        <v>160</v>
      </c>
      <c r="AW191" s="363">
        <f t="shared" si="6"/>
        <v>11680</v>
      </c>
      <c r="AX191" s="363">
        <v>1000</v>
      </c>
      <c r="AY191" s="363">
        <v>2378</v>
      </c>
      <c r="AZ191" s="363">
        <f>+'Basic rates'!J104</f>
        <v>18204.135468749999</v>
      </c>
      <c r="BA191" s="363">
        <v>0.4</v>
      </c>
      <c r="BB191" s="3">
        <v>750.01</v>
      </c>
      <c r="BC191" s="3">
        <v>950</v>
      </c>
      <c r="BD191" s="16"/>
      <c r="BE191" s="16"/>
      <c r="BF191" s="16"/>
      <c r="BG191" s="16"/>
      <c r="BH191" s="179"/>
      <c r="BI191" s="179"/>
      <c r="BJ191" s="327"/>
      <c r="BK191" s="16"/>
      <c r="BL191" s="16"/>
      <c r="BM191" s="287"/>
    </row>
    <row r="192" spans="45:65" ht="12.75" x14ac:dyDescent="0.2">
      <c r="AS192" s="350"/>
      <c r="AT192" s="285">
        <v>1300</v>
      </c>
      <c r="AU192" s="362" t="s">
        <v>115</v>
      </c>
      <c r="AV192" s="363">
        <v>227.5</v>
      </c>
      <c r="AW192" s="363">
        <f t="shared" si="6"/>
        <v>16607.5</v>
      </c>
      <c r="AX192" s="363">
        <v>1200</v>
      </c>
      <c r="AY192" s="363">
        <v>3316.8749999999995</v>
      </c>
      <c r="AZ192" s="363">
        <f>+'Basic rates'!J105</f>
        <v>23383.184343749999</v>
      </c>
      <c r="BA192" s="363">
        <v>0.4</v>
      </c>
      <c r="BB192" s="363">
        <v>950.01</v>
      </c>
      <c r="BC192" s="363">
        <v>1250</v>
      </c>
      <c r="BD192" s="179"/>
      <c r="BE192" s="16">
        <v>1</v>
      </c>
      <c r="BF192" s="179"/>
      <c r="BG192" s="16"/>
      <c r="BH192" s="179"/>
      <c r="BI192" s="179"/>
      <c r="BJ192" s="327"/>
      <c r="BK192" s="16"/>
      <c r="BL192" s="16"/>
      <c r="BM192" s="287"/>
    </row>
    <row r="193" spans="45:65" ht="12.75" x14ac:dyDescent="0.2">
      <c r="AS193" s="350"/>
      <c r="AT193" s="285">
        <v>1500</v>
      </c>
      <c r="AU193" s="362" t="s">
        <v>119</v>
      </c>
      <c r="AV193" s="363">
        <v>277.5</v>
      </c>
      <c r="AW193" s="363">
        <f t="shared" si="6"/>
        <v>20257.5</v>
      </c>
      <c r="AX193" s="363">
        <v>1500</v>
      </c>
      <c r="AY193" s="363">
        <v>4056.3749999999995</v>
      </c>
      <c r="AZ193" s="363">
        <f>+'Basic rates'!J106</f>
        <v>28827.825468750001</v>
      </c>
      <c r="BA193" s="363">
        <v>0.4</v>
      </c>
      <c r="BB193" s="363">
        <v>1250.0999999999999</v>
      </c>
      <c r="BC193" s="363">
        <v>1450</v>
      </c>
      <c r="BD193" s="179"/>
      <c r="BE193" s="16">
        <v>2</v>
      </c>
      <c r="BF193" s="179"/>
      <c r="BG193" s="16"/>
      <c r="BH193" s="179"/>
      <c r="BI193" s="179"/>
      <c r="BJ193" s="327"/>
      <c r="BK193" s="16"/>
      <c r="BL193" s="16"/>
      <c r="BM193" s="287"/>
    </row>
    <row r="194" spans="45:65" ht="12.75" x14ac:dyDescent="0.2">
      <c r="AS194" s="350"/>
      <c r="AT194" s="285">
        <v>2000</v>
      </c>
      <c r="AU194" s="362" t="s">
        <v>153</v>
      </c>
      <c r="AV194" s="363">
        <v>1114</v>
      </c>
      <c r="AW194" s="363">
        <f t="shared" si="6"/>
        <v>81322</v>
      </c>
      <c r="AX194" s="363">
        <v>4000</v>
      </c>
      <c r="AY194" s="363">
        <v>15697.699999999999</v>
      </c>
      <c r="AZ194" s="363">
        <f>+'Basic rates'!J107</f>
        <v>49411.224843749995</v>
      </c>
      <c r="BA194" s="363">
        <v>0.8</v>
      </c>
      <c r="BB194" s="363">
        <v>1450.1</v>
      </c>
      <c r="BC194" s="363">
        <v>2000</v>
      </c>
      <c r="BD194" s="179"/>
      <c r="BE194" s="16">
        <v>3</v>
      </c>
      <c r="BF194" s="179"/>
      <c r="BG194" s="16"/>
      <c r="BH194" s="179"/>
      <c r="BI194" s="179"/>
      <c r="BJ194" s="327"/>
      <c r="BK194" s="16"/>
      <c r="BL194" s="16"/>
      <c r="BM194" s="287"/>
    </row>
    <row r="195" spans="45:65" ht="12.75" x14ac:dyDescent="0.2">
      <c r="AS195" s="350"/>
      <c r="AT195" s="285">
        <v>3000</v>
      </c>
      <c r="AU195" s="362" t="s">
        <v>206</v>
      </c>
      <c r="AV195" s="363"/>
      <c r="AW195" s="363"/>
      <c r="AX195" s="363"/>
      <c r="AY195" s="363"/>
      <c r="AZ195" s="363">
        <f>+'Basic rates'!J108</f>
        <v>133402.5</v>
      </c>
      <c r="BA195" s="363">
        <v>0.8</v>
      </c>
      <c r="BB195" s="363">
        <v>2000.01</v>
      </c>
      <c r="BC195" s="363">
        <v>3000</v>
      </c>
      <c r="BD195" s="179"/>
      <c r="BE195" s="16">
        <v>4</v>
      </c>
      <c r="BF195" s="179"/>
      <c r="BG195" s="16"/>
      <c r="BH195" s="179"/>
      <c r="BI195" s="179"/>
      <c r="BJ195" s="327"/>
      <c r="BK195" s="16"/>
      <c r="BL195" s="16"/>
      <c r="BM195" s="287"/>
    </row>
    <row r="196" spans="45:65" ht="12.75" x14ac:dyDescent="0.2">
      <c r="AS196" s="350"/>
      <c r="AT196" s="285">
        <v>170</v>
      </c>
      <c r="AU196" s="362" t="s">
        <v>104</v>
      </c>
      <c r="AV196" s="363">
        <f>23047+4904</f>
        <v>27951</v>
      </c>
      <c r="AW196" s="363"/>
      <c r="AX196" s="363">
        <v>1868.65</v>
      </c>
      <c r="AY196" s="363"/>
      <c r="AZ196" s="363">
        <f>+'Basic rates'!J109</f>
        <v>50341.252500000002</v>
      </c>
      <c r="BA196" s="363">
        <v>0.8</v>
      </c>
      <c r="BB196" s="363">
        <v>0</v>
      </c>
      <c r="BC196" s="363">
        <v>150</v>
      </c>
      <c r="BD196" s="174"/>
      <c r="BE196" s="174"/>
      <c r="BF196" s="174"/>
      <c r="BG196" s="16"/>
      <c r="BH196" s="179"/>
      <c r="BI196" s="179"/>
      <c r="BJ196" s="327"/>
      <c r="BK196" s="16"/>
      <c r="BL196" s="16"/>
      <c r="BM196" s="287"/>
    </row>
    <row r="197" spans="45:65" ht="12.75" x14ac:dyDescent="0.2">
      <c r="AS197" s="350"/>
      <c r="AT197" s="285">
        <v>250</v>
      </c>
      <c r="AU197" s="362" t="s">
        <v>105</v>
      </c>
      <c r="AV197" s="363">
        <f>24280+4904</f>
        <v>29184</v>
      </c>
      <c r="AW197" s="363"/>
      <c r="AX197" s="363">
        <v>1951.0400000000002</v>
      </c>
      <c r="AY197" s="362"/>
      <c r="AZ197" s="363">
        <f>+'Basic rates'!J110</f>
        <v>50341.252500000002</v>
      </c>
      <c r="BA197" s="363">
        <v>0.8</v>
      </c>
      <c r="BB197" s="362">
        <v>150.01</v>
      </c>
      <c r="BC197" s="362">
        <v>230</v>
      </c>
      <c r="BD197" s="174"/>
      <c r="BE197" s="174"/>
      <c r="BF197" s="174"/>
      <c r="BG197" s="16"/>
      <c r="BH197" s="179"/>
      <c r="BI197" s="179"/>
      <c r="BJ197" s="327"/>
      <c r="BK197" s="16"/>
      <c r="BL197" s="16"/>
      <c r="BM197" s="287"/>
    </row>
    <row r="198" spans="45:65" ht="12.75" x14ac:dyDescent="0.2">
      <c r="AS198" s="350"/>
      <c r="AT198" s="285">
        <v>350</v>
      </c>
      <c r="AU198" s="362" t="s">
        <v>106</v>
      </c>
      <c r="AV198" s="363">
        <f>28694+4904</f>
        <v>33598</v>
      </c>
      <c r="AW198" s="363"/>
      <c r="AX198" s="363">
        <v>2246.1600000000003</v>
      </c>
      <c r="AY198" s="362"/>
      <c r="AZ198" s="363">
        <f>+'Basic rates'!J111</f>
        <v>62409.217499999999</v>
      </c>
      <c r="BA198" s="363">
        <v>0.8</v>
      </c>
      <c r="BB198" s="362">
        <v>230.01</v>
      </c>
      <c r="BC198" s="362">
        <v>325</v>
      </c>
      <c r="BD198" s="174"/>
      <c r="BE198" s="174"/>
      <c r="BF198" s="174"/>
      <c r="BG198" s="16"/>
      <c r="BH198" s="179"/>
      <c r="BI198" s="179"/>
      <c r="BJ198" s="327"/>
      <c r="BK198" s="16"/>
      <c r="BL198" s="16"/>
      <c r="BM198" s="287"/>
    </row>
    <row r="199" spans="45:65" ht="12.75" x14ac:dyDescent="0.2">
      <c r="AS199" s="350"/>
      <c r="AT199" s="285">
        <v>500</v>
      </c>
      <c r="AU199" s="362" t="s">
        <v>109</v>
      </c>
      <c r="AV199" s="363">
        <f>37523+4904</f>
        <v>42427</v>
      </c>
      <c r="AW199" s="363"/>
      <c r="AX199" s="363">
        <v>2836.4</v>
      </c>
      <c r="AY199" s="362"/>
      <c r="AZ199" s="363">
        <f>+'Basic rates'!J112</f>
        <v>70767.26999999999</v>
      </c>
      <c r="BA199" s="363">
        <v>0.8</v>
      </c>
      <c r="BB199" s="362">
        <v>325.01</v>
      </c>
      <c r="BC199" s="362">
        <v>475</v>
      </c>
      <c r="BD199" s="174"/>
      <c r="BE199" s="174"/>
      <c r="BF199" s="174"/>
      <c r="BG199" s="16"/>
      <c r="BH199" s="179"/>
      <c r="BI199" s="179"/>
      <c r="BJ199" s="327"/>
      <c r="BK199" s="16"/>
      <c r="BL199" s="16"/>
      <c r="BM199" s="287"/>
    </row>
    <row r="200" spans="45:65" ht="12.75" x14ac:dyDescent="0.2">
      <c r="AS200" s="350"/>
      <c r="AT200" s="285">
        <v>750</v>
      </c>
      <c r="AU200" s="362" t="s">
        <v>110</v>
      </c>
      <c r="AV200" s="363">
        <f>40221+4904</f>
        <v>45125</v>
      </c>
      <c r="AW200" s="363"/>
      <c r="AX200" s="363">
        <v>3016.7900000000004</v>
      </c>
      <c r="AY200" s="362"/>
      <c r="AZ200" s="363">
        <f>+'Basic rates'!J113</f>
        <v>88215.434999999998</v>
      </c>
      <c r="BA200" s="363">
        <v>0.8</v>
      </c>
      <c r="BB200" s="362">
        <v>475.01</v>
      </c>
      <c r="BC200" s="362">
        <v>725</v>
      </c>
      <c r="BD200" s="16"/>
      <c r="BE200" s="327"/>
      <c r="BF200" s="16"/>
      <c r="BG200" s="16"/>
      <c r="BH200" s="16"/>
      <c r="BI200" s="16"/>
      <c r="BJ200" s="327"/>
      <c r="BK200" s="16"/>
      <c r="BL200" s="16"/>
      <c r="BM200" s="287"/>
    </row>
    <row r="201" spans="45:65" ht="12.75" x14ac:dyDescent="0.2">
      <c r="AS201" s="350"/>
      <c r="AT201" s="285">
        <v>15001</v>
      </c>
      <c r="AU201" s="362" t="s">
        <v>151</v>
      </c>
      <c r="AV201" s="362">
        <f>42015+4038+15606</f>
        <v>61659</v>
      </c>
      <c r="AW201" s="362"/>
      <c r="AX201" s="362"/>
      <c r="AY201" s="362"/>
      <c r="AZ201" s="363">
        <f>+'Basic rates'!J114</f>
        <v>148379</v>
      </c>
      <c r="BA201" s="362">
        <v>0.8</v>
      </c>
      <c r="BB201" s="362">
        <v>725.01</v>
      </c>
      <c r="BC201" s="362">
        <v>1400</v>
      </c>
      <c r="BD201" s="16"/>
      <c r="BE201" s="327"/>
      <c r="BF201" s="16"/>
      <c r="BG201" s="16"/>
      <c r="BH201" s="16"/>
      <c r="BI201" s="16"/>
      <c r="BJ201" s="327"/>
      <c r="BK201" s="16"/>
      <c r="BL201" s="16"/>
      <c r="BM201" s="287"/>
    </row>
    <row r="202" spans="45:65" ht="12.75" x14ac:dyDescent="0.2">
      <c r="AS202" s="350"/>
      <c r="AT202" s="285">
        <v>22001</v>
      </c>
      <c r="AU202" s="362" t="s">
        <v>152</v>
      </c>
      <c r="AV202" s="362">
        <f>43040+4038+15606</f>
        <v>62684</v>
      </c>
      <c r="AW202" s="362"/>
      <c r="AX202" s="362"/>
      <c r="AY202" s="362"/>
      <c r="AZ202" s="363">
        <f>+'Basic rates'!J115</f>
        <v>158379</v>
      </c>
      <c r="BA202" s="362">
        <v>0.8</v>
      </c>
      <c r="BB202" s="362">
        <v>1401</v>
      </c>
      <c r="BC202" s="362">
        <v>2200</v>
      </c>
      <c r="BD202" s="16"/>
      <c r="BE202" s="327"/>
      <c r="BF202" s="16"/>
      <c r="BG202" s="16"/>
      <c r="BH202" s="16"/>
      <c r="BI202" s="16"/>
      <c r="BJ202" s="327"/>
      <c r="BK202" s="16"/>
      <c r="BL202" s="16"/>
      <c r="BM202" s="287"/>
    </row>
    <row r="203" spans="45:65" ht="12.75" x14ac:dyDescent="0.2">
      <c r="AS203" s="350"/>
      <c r="AT203" s="285"/>
      <c r="AU203" s="362" t="s">
        <v>108</v>
      </c>
      <c r="AV203" s="363">
        <v>8500</v>
      </c>
      <c r="AW203" s="362"/>
      <c r="AX203" s="362"/>
      <c r="AY203" s="362"/>
      <c r="AZ203" s="362"/>
      <c r="BA203" s="174"/>
      <c r="BB203" s="174"/>
      <c r="BC203" s="174"/>
      <c r="BD203" s="16"/>
      <c r="BE203" s="327"/>
      <c r="BF203" s="16"/>
      <c r="BG203" s="16"/>
      <c r="BH203" s="16"/>
      <c r="BI203" s="16"/>
      <c r="BJ203" s="327"/>
      <c r="BK203" s="16"/>
      <c r="BL203" s="16"/>
      <c r="BM203" s="287"/>
    </row>
    <row r="204" spans="45:65" ht="12.75" x14ac:dyDescent="0.2">
      <c r="AS204" s="350"/>
      <c r="AT204" s="285"/>
      <c r="AU204" s="362" t="s">
        <v>107</v>
      </c>
      <c r="AV204" s="363">
        <v>6500</v>
      </c>
      <c r="AW204" s="362"/>
      <c r="AX204" s="362"/>
      <c r="AY204" s="362"/>
      <c r="AZ204" s="362"/>
      <c r="BA204" s="174"/>
      <c r="BB204" s="174"/>
      <c r="BC204" s="174"/>
      <c r="BD204" s="16"/>
      <c r="BE204" s="327"/>
      <c r="BF204" s="16"/>
      <c r="BG204" s="16"/>
      <c r="BH204" s="16"/>
      <c r="BI204" s="16"/>
      <c r="BJ204" s="327"/>
      <c r="BK204" s="16"/>
      <c r="BL204" s="16"/>
      <c r="BM204" s="287"/>
    </row>
    <row r="205" spans="45:65" ht="12.75" x14ac:dyDescent="0.2">
      <c r="AS205" s="350"/>
      <c r="AT205" s="285"/>
      <c r="AU205" s="362" t="s">
        <v>23</v>
      </c>
      <c r="AV205" s="362"/>
      <c r="AW205" s="362"/>
      <c r="AX205" s="362"/>
      <c r="AY205" s="362"/>
      <c r="AZ205" s="362"/>
      <c r="BA205" s="174"/>
      <c r="BB205" s="174"/>
      <c r="BC205" s="174"/>
      <c r="BD205" s="16"/>
      <c r="BE205" s="327"/>
      <c r="BF205" s="16"/>
      <c r="BG205" s="16"/>
      <c r="BH205" s="16"/>
      <c r="BI205" s="16"/>
      <c r="BJ205" s="327"/>
      <c r="BK205" s="16"/>
      <c r="BL205" s="16"/>
      <c r="BM205" s="287"/>
    </row>
    <row r="206" spans="45:65" ht="12.75" x14ac:dyDescent="0.2">
      <c r="AS206" s="350"/>
      <c r="AT206" s="285"/>
      <c r="AU206" s="362" t="s">
        <v>154</v>
      </c>
      <c r="AV206" s="362">
        <f>35125+4370</f>
        <v>39495</v>
      </c>
      <c r="AW206" s="362"/>
      <c r="AX206" s="362"/>
      <c r="AY206" s="362"/>
      <c r="AZ206" s="362"/>
      <c r="BA206" s="174"/>
      <c r="BB206" s="174"/>
      <c r="BC206" s="174"/>
      <c r="BD206" s="16"/>
      <c r="BE206" s="327"/>
      <c r="BF206" s="16"/>
      <c r="BG206" s="16"/>
      <c r="BH206" s="16"/>
      <c r="BI206" s="16"/>
      <c r="BJ206" s="327"/>
      <c r="BK206" s="16"/>
      <c r="BL206" s="16"/>
      <c r="BM206" s="287"/>
    </row>
    <row r="207" spans="45:65" ht="12.75" x14ac:dyDescent="0.2">
      <c r="AS207" s="350"/>
      <c r="AT207" s="285"/>
      <c r="AU207" s="362" t="s">
        <v>155</v>
      </c>
      <c r="AV207" s="362">
        <f>57874+4402</f>
        <v>62276</v>
      </c>
      <c r="AW207" s="362"/>
      <c r="AX207" s="362"/>
      <c r="AY207" s="362"/>
      <c r="AZ207" s="362"/>
      <c r="BA207" s="174"/>
      <c r="BB207" s="174"/>
      <c r="BC207" s="174"/>
      <c r="BD207" s="16"/>
      <c r="BE207" s="327"/>
      <c r="BF207" s="16"/>
      <c r="BG207" s="16"/>
      <c r="BH207" s="16"/>
      <c r="BI207" s="16"/>
      <c r="BJ207" s="327"/>
      <c r="BK207" s="16"/>
      <c r="BL207" s="16"/>
      <c r="BM207" s="287"/>
    </row>
    <row r="208" spans="45:65" ht="12.75" x14ac:dyDescent="0.2">
      <c r="AS208" s="350"/>
      <c r="AT208" s="285"/>
      <c r="AU208" s="362" t="s">
        <v>156</v>
      </c>
      <c r="AV208" s="362">
        <f>76475+9318</f>
        <v>85793</v>
      </c>
      <c r="AW208" s="362"/>
      <c r="AX208" s="362"/>
      <c r="AY208" s="362"/>
      <c r="AZ208" s="362"/>
      <c r="BA208" s="174"/>
      <c r="BB208" s="174"/>
      <c r="BC208" s="174"/>
      <c r="BD208" s="16"/>
      <c r="BE208" s="327"/>
      <c r="BF208" s="16"/>
      <c r="BG208" s="16"/>
      <c r="BH208" s="16"/>
      <c r="BI208" s="16"/>
      <c r="BJ208" s="327"/>
      <c r="BK208" s="16"/>
      <c r="BL208" s="16"/>
      <c r="BM208" s="287"/>
    </row>
    <row r="209" spans="45:65" ht="12.75" x14ac:dyDescent="0.2">
      <c r="AS209" s="350"/>
      <c r="AT209" s="285"/>
      <c r="AU209" s="362" t="s">
        <v>23</v>
      </c>
      <c r="AV209" s="362"/>
      <c r="AW209" s="362"/>
      <c r="AX209" s="362"/>
      <c r="AY209" s="362"/>
      <c r="AZ209" s="362"/>
      <c r="BA209" s="174"/>
      <c r="BB209" s="174"/>
      <c r="BC209" s="174"/>
      <c r="BD209" s="16"/>
      <c r="BE209" s="327"/>
      <c r="BF209" s="16"/>
      <c r="BG209" s="16"/>
      <c r="BH209" s="16"/>
      <c r="BI209" s="16"/>
      <c r="BJ209" s="327"/>
      <c r="BK209" s="16"/>
      <c r="BL209" s="16"/>
      <c r="BM209" s="287"/>
    </row>
    <row r="210" spans="45:65" ht="13.5" thickBot="1" x14ac:dyDescent="0.25">
      <c r="AS210" s="350"/>
      <c r="AT210" s="285"/>
      <c r="AU210" s="336" t="s">
        <v>157</v>
      </c>
      <c r="AV210" s="360">
        <v>22874</v>
      </c>
      <c r="AW210" s="181"/>
      <c r="AX210" s="360">
        <v>1601.18</v>
      </c>
      <c r="AY210" s="181"/>
      <c r="AZ210" s="361">
        <v>24475.18</v>
      </c>
      <c r="BA210" s="179"/>
      <c r="BB210" s="179"/>
      <c r="BC210" s="179"/>
      <c r="BD210" s="16"/>
      <c r="BE210" s="16"/>
      <c r="BF210" s="16"/>
      <c r="BG210" s="16"/>
      <c r="BH210" s="16"/>
      <c r="BI210" s="327"/>
      <c r="BJ210" s="327"/>
      <c r="BK210" s="16"/>
      <c r="BL210" s="16"/>
      <c r="BM210" s="287"/>
    </row>
    <row r="211" spans="45:65" ht="12.75" x14ac:dyDescent="0.2">
      <c r="AS211" s="344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327"/>
      <c r="BK211" s="16"/>
      <c r="BL211" s="16"/>
      <c r="BM211" s="287"/>
    </row>
    <row r="212" spans="45:65" ht="12.75" x14ac:dyDescent="0.2">
      <c r="AS212" s="345"/>
      <c r="AT212" s="346"/>
      <c r="AU212" s="346"/>
      <c r="AV212" s="346"/>
      <c r="AW212" s="346"/>
      <c r="AX212" s="346"/>
      <c r="AY212" s="346"/>
      <c r="AZ212" s="346"/>
      <c r="BA212" s="346"/>
      <c r="BB212" s="346"/>
      <c r="BC212" s="346"/>
      <c r="BD212" s="346"/>
      <c r="BE212" s="346"/>
      <c r="BF212" s="346"/>
      <c r="BG212" s="346"/>
      <c r="BH212" s="346"/>
      <c r="BI212" s="346"/>
      <c r="BJ212" s="348"/>
      <c r="BK212" s="346"/>
      <c r="BL212" s="346"/>
      <c r="BM212" s="349"/>
    </row>
    <row r="213" spans="45:65" ht="12.75" x14ac:dyDescent="0.2">
      <c r="AS213" s="16"/>
      <c r="BJ213" s="52"/>
      <c r="BK213" s="162"/>
    </row>
    <row r="214" spans="45:65" ht="12.75" x14ac:dyDescent="0.2">
      <c r="BJ214" s="52"/>
      <c r="BK214" s="162"/>
    </row>
    <row r="215" spans="45:65" ht="12.75" x14ac:dyDescent="0.2">
      <c r="BJ215" s="52"/>
      <c r="BK215" s="162"/>
    </row>
    <row r="216" spans="45:65" ht="12.75" x14ac:dyDescent="0.2">
      <c r="BJ216" s="52"/>
      <c r="BK216" s="162"/>
    </row>
    <row r="217" spans="45:65" ht="12.75" x14ac:dyDescent="0.2">
      <c r="BJ217" s="52"/>
      <c r="BK217" s="162"/>
    </row>
    <row r="218" spans="45:65" ht="12.75" x14ac:dyDescent="0.2">
      <c r="BJ218" s="1"/>
      <c r="BK218" s="162"/>
    </row>
    <row r="219" spans="45:65" ht="12.75" x14ac:dyDescent="0.2">
      <c r="BJ219" s="1"/>
      <c r="BK219" s="162"/>
    </row>
    <row r="220" spans="45:65" ht="12.75" x14ac:dyDescent="0.2">
      <c r="BJ220" s="1"/>
      <c r="BK220" s="162"/>
    </row>
    <row r="221" spans="45:65" ht="12.75" x14ac:dyDescent="0.2">
      <c r="BJ221" s="1"/>
      <c r="BK221" s="162"/>
    </row>
    <row r="222" spans="45:65" ht="12.75" x14ac:dyDescent="0.2">
      <c r="BJ222" s="1"/>
      <c r="BK222" s="162"/>
    </row>
    <row r="223" spans="45:65" ht="12.75" x14ac:dyDescent="0.2">
      <c r="BJ223" s="1"/>
      <c r="BK223" s="162"/>
    </row>
    <row r="224" spans="45:65" ht="12.75" x14ac:dyDescent="0.2">
      <c r="BJ224" s="1"/>
      <c r="BK224" s="162"/>
    </row>
    <row r="225" spans="62:62" ht="12.75" x14ac:dyDescent="0.2">
      <c r="BJ225" s="1"/>
    </row>
    <row r="226" spans="62:62" ht="12.75" x14ac:dyDescent="0.2">
      <c r="BJ226" s="1"/>
    </row>
    <row r="227" spans="62:62" ht="12.75" x14ac:dyDescent="0.2">
      <c r="BJ227" s="1"/>
    </row>
    <row r="228" spans="62:62" ht="12.75" x14ac:dyDescent="0.2">
      <c r="BJ228" s="1"/>
    </row>
    <row r="229" spans="62:62" ht="12.75" x14ac:dyDescent="0.2">
      <c r="BJ229" s="1"/>
    </row>
    <row r="230" spans="62:62" ht="12.75" x14ac:dyDescent="0.2">
      <c r="BJ230" s="1"/>
    </row>
    <row r="231" spans="62:62" ht="15.75" customHeight="1" x14ac:dyDescent="0.2">
      <c r="BJ231" s="1"/>
    </row>
    <row r="232" spans="62:62" ht="15.75" customHeight="1" x14ac:dyDescent="0.2">
      <c r="BJ232" s="1"/>
    </row>
    <row r="233" spans="62:62" ht="15.75" customHeight="1" x14ac:dyDescent="0.2">
      <c r="BJ233" s="1"/>
    </row>
    <row r="234" spans="62:62" ht="15.75" customHeight="1" x14ac:dyDescent="0.2">
      <c r="BJ234" s="1"/>
    </row>
    <row r="235" spans="62:62" ht="15.75" customHeight="1" x14ac:dyDescent="0.2">
      <c r="BJ235" s="1"/>
    </row>
  </sheetData>
  <mergeCells count="41">
    <mergeCell ref="AS3:BM3"/>
    <mergeCell ref="AU6:AW6"/>
    <mergeCell ref="AW7:AY7"/>
    <mergeCell ref="AG59:AI59"/>
    <mergeCell ref="AG46:AL46"/>
    <mergeCell ref="AG48:AL48"/>
    <mergeCell ref="AG50:AP50"/>
    <mergeCell ref="AG55:AL55"/>
    <mergeCell ref="AG57:AP57"/>
    <mergeCell ref="AG58:AI58"/>
    <mergeCell ref="AU28:AZ28"/>
    <mergeCell ref="AU35:AZ35"/>
    <mergeCell ref="AU42:AZ42"/>
    <mergeCell ref="AV49:AX49"/>
    <mergeCell ref="AY49:BA49"/>
    <mergeCell ref="C115:R115"/>
    <mergeCell ref="AG72:AI72"/>
    <mergeCell ref="AG76:AI76"/>
    <mergeCell ref="AG21:AH21"/>
    <mergeCell ref="AG2:AH2"/>
    <mergeCell ref="AG3:AH3"/>
    <mergeCell ref="AG60:AI60"/>
    <mergeCell ref="AG61:AI61"/>
    <mergeCell ref="AG62:AI62"/>
    <mergeCell ref="AG63:AI63"/>
    <mergeCell ref="AG64:AI64"/>
    <mergeCell ref="AG65:AI65"/>
    <mergeCell ref="AG67:AI67"/>
    <mergeCell ref="AG68:AI68"/>
    <mergeCell ref="AG70:AI70"/>
    <mergeCell ref="AH69:AI69"/>
    <mergeCell ref="AG71:AI71"/>
    <mergeCell ref="AU158:AW158"/>
    <mergeCell ref="AU173:AW173"/>
    <mergeCell ref="AG73:AI73"/>
    <mergeCell ref="AG74:AI74"/>
    <mergeCell ref="AU74:AU75"/>
    <mergeCell ref="AG78:AL78"/>
    <mergeCell ref="AU153:AV153"/>
    <mergeCell ref="AG82:AM82"/>
    <mergeCell ref="AG102:AI102"/>
  </mergeCells>
  <conditionalFormatting sqref="AJ27">
    <cfRule type="expression" dxfId="1" priority="1" stopIfTrue="1">
      <formula>$AJ$27=0</formula>
    </cfRule>
  </conditionalFormatting>
  <dataValidations count="28">
    <dataValidation type="list" allowBlank="1" showInputMessage="1" showErrorMessage="1" sqref="AH96">
      <formula1>$AH$99:$AH$100</formula1>
    </dataValidation>
    <dataValidation type="list" allowBlank="1" showInputMessage="1" showErrorMessage="1" sqref="AH24:AH25">
      <formula1>$AX$175:$AX$176</formula1>
    </dataValidation>
    <dataValidation type="list" allowBlank="1" showErrorMessage="1" errorTitle="Too Long" error="The height of the shutter is too long_x000a_" sqref="AH15">
      <formula1>$AW$14:$AW$25</formula1>
    </dataValidation>
    <dataValidation allowBlank="1" showInputMessage="1" showErrorMessage="1" promptTitle="Pipe Thickness" prompt="Pipe Thickness" sqref="AJ27"/>
    <dataValidation allowBlank="1" showErrorMessage="1" promptTitle="Height" prompt="Enter the Height _x000a_" sqref="AL23:AL25 AL28:AL30"/>
    <dataValidation allowBlank="1" showErrorMessage="1" promptTitle="Pipe Thickness" prompt="Pipe Thickness" sqref="AK27"/>
    <dataValidation type="list" allowBlank="1" showInputMessage="1" showErrorMessage="1" sqref="AG23">
      <formula1>$AV$50:$AX$50</formula1>
    </dataValidation>
    <dataValidation type="list" allowBlank="1" showInputMessage="1" showErrorMessage="1" sqref="AG32:AH32">
      <formula1>$AX$103:$AX$104</formula1>
    </dataValidation>
    <dataValidation allowBlank="1" showInputMessage="1" showErrorMessage="1" promptTitle="Unit" prompt="In MM_x000a_" sqref="AI23:AI25 AG24:AG25"/>
    <dataValidation type="list" allowBlank="1" showErrorMessage="1" errorTitle="Too Long" error="The height of the shutter is too long_x000a_" sqref="AH14">
      <formula1>$AU$14:$AU$17</formula1>
    </dataValidation>
    <dataValidation type="list" allowBlank="1" showInputMessage="1" showErrorMessage="1" sqref="AH8">
      <formula1>$AU$9:$AU$11</formula1>
    </dataValidation>
    <dataValidation allowBlank="1" showErrorMessage="1" errorTitle="Too Long" error="The height of the shutter is too long_x000a_" sqref="AH10"/>
    <dataValidation allowBlank="1" showErrorMessage="1" errorTitle="Too Long" error="The length of the shutter is too long_x000a_" sqref="AH9"/>
    <dataValidation type="list" allowBlank="1" showInputMessage="1" showErrorMessage="1" sqref="AH16">
      <formula1>$AV$14:$AV$20</formula1>
    </dataValidation>
    <dataValidation allowBlank="1" showInputMessage="1" showErrorMessage="1" promptTitle="Enter Value" prompt="Enter The height" sqref="AK39"/>
    <dataValidation allowBlank="1" showInputMessage="1" showErrorMessage="1" promptTitle="Enter Value" prompt="Enter height_x000a_" sqref="AK40"/>
    <dataValidation type="list" allowBlank="1" showInputMessage="1" showErrorMessage="1" sqref="AJ42">
      <formula1>$AU$154:$AU$156</formula1>
    </dataValidation>
    <dataValidation allowBlank="1" showInputMessage="1" showErrorMessage="1" promptTitle="Enter Rates per Sqm" prompt="Enter rates per Sqm_x000a_" sqref="AJ45"/>
    <dataValidation type="list" allowBlank="1" showInputMessage="1" showErrorMessage="1" sqref="AG40:AH40">
      <formula1>$AU$141:$AU$143</formula1>
    </dataValidation>
    <dataValidation type="list" allowBlank="1" showInputMessage="1" showErrorMessage="1" sqref="AI39">
      <formula1>$AU$136:$AU$138</formula1>
    </dataValidation>
    <dataValidation type="list" allowBlank="1" showInputMessage="1" showErrorMessage="1" sqref="AI40">
      <formula1>$AW$141:$AW$143</formula1>
    </dataValidation>
    <dataValidation type="list" allowBlank="1" showInputMessage="1" showErrorMessage="1" sqref="AI41">
      <formula1>$AU$146:$AU$150</formula1>
    </dataValidation>
    <dataValidation type="list" allowBlank="1" showInputMessage="1" showErrorMessage="1" sqref="AI42:AI43">
      <formula1>$AW$154:$AW$155</formula1>
    </dataValidation>
    <dataValidation allowBlank="1" showInputMessage="1" showErrorMessage="1" promptTitle="Enter Value" prompt="Enter Reason for increase in rates per No" sqref="AI45"/>
    <dataValidation allowBlank="1" showErrorMessage="1" sqref="AI47:AJ47"/>
    <dataValidation type="list" allowBlank="1" showInputMessage="1" showErrorMessage="1" sqref="AK52">
      <formula1>$BE$189:$BE$190</formula1>
    </dataValidation>
    <dataValidation type="list" allowBlank="1" showInputMessage="1" showErrorMessage="1" sqref="AI52">
      <formula1>$BE$192:$BE$195</formula1>
    </dataValidation>
    <dataValidation type="list" allowBlank="1" showInputMessage="1" showErrorMessage="1" sqref="AH69:AI69">
      <formula1>$BA$70:$BA$71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F236"/>
  <sheetViews>
    <sheetView topLeftCell="AF68" workbookViewId="0">
      <selection activeCell="AM103" sqref="AM103"/>
    </sheetView>
  </sheetViews>
  <sheetFormatPr defaultRowHeight="15.75" customHeight="1" x14ac:dyDescent="0.2"/>
  <cols>
    <col min="1" max="1" width="3.140625" style="1" hidden="1" customWidth="1"/>
    <col min="2" max="2" width="12.140625" style="1" hidden="1" customWidth="1"/>
    <col min="3" max="3" width="3.140625" style="1" hidden="1" customWidth="1"/>
    <col min="4" max="8" width="9.28515625" style="1" hidden="1" customWidth="1"/>
    <col min="9" max="9" width="3.140625" style="1" hidden="1" customWidth="1"/>
    <col min="10" max="11" width="5.42578125" style="1" hidden="1" customWidth="1"/>
    <col min="12" max="17" width="3.140625" style="1" hidden="1" customWidth="1"/>
    <col min="18" max="18" width="5.85546875" style="1" hidden="1" customWidth="1"/>
    <col min="19" max="31" width="3.140625" style="1" hidden="1" customWidth="1"/>
    <col min="32" max="32" width="13.85546875" style="1" customWidth="1"/>
    <col min="33" max="33" width="43" style="1" customWidth="1"/>
    <col min="34" max="34" width="26.85546875" style="2" bestFit="1" customWidth="1"/>
    <col min="35" max="35" width="19" style="1" customWidth="1"/>
    <col min="36" max="36" width="18" style="1" customWidth="1"/>
    <col min="37" max="37" width="14" style="1" customWidth="1"/>
    <col min="38" max="38" width="19.85546875" style="1" customWidth="1"/>
    <col min="39" max="39" width="16.140625" style="1" customWidth="1"/>
    <col min="40" max="40" width="13.85546875" style="1" customWidth="1"/>
    <col min="41" max="41" width="11.140625" style="1" customWidth="1"/>
    <col min="42" max="42" width="16" style="1" customWidth="1"/>
    <col min="43" max="43" width="30.5703125" style="1" customWidth="1"/>
    <col min="44" max="44" width="14.140625" style="1" customWidth="1"/>
    <col min="45" max="45" width="11.85546875" style="1" customWidth="1"/>
    <col min="46" max="46" width="10.85546875" style="1" customWidth="1"/>
    <col min="47" max="47" width="36.140625" style="1" bestFit="1" customWidth="1"/>
    <col min="48" max="48" width="16.85546875" style="1" customWidth="1"/>
    <col min="49" max="53" width="22.7109375" style="1" customWidth="1"/>
    <col min="54" max="54" width="18.5703125" style="1" customWidth="1"/>
    <col min="55" max="55" width="17.140625" style="1" customWidth="1"/>
    <col min="56" max="57" width="22.7109375" style="1" customWidth="1"/>
    <col min="58" max="60" width="17.7109375" style="1" customWidth="1"/>
    <col min="61" max="61" width="15.42578125" style="1" customWidth="1"/>
    <col min="62" max="62" width="23" style="162" customWidth="1"/>
    <col min="63" max="63" width="6.7109375" style="1" customWidth="1"/>
    <col min="64" max="64" width="6.5703125" style="1" customWidth="1"/>
    <col min="65" max="65" width="9" style="1" customWidth="1"/>
    <col min="66" max="71" width="9.140625" style="1" customWidth="1"/>
    <col min="72" max="72" width="8.85546875" style="1" customWidth="1"/>
    <col min="73" max="74" width="10.7109375" style="1" customWidth="1"/>
    <col min="75" max="75" width="11" style="1" customWidth="1"/>
    <col min="76" max="76" width="10.28515625" style="1" customWidth="1"/>
    <col min="77" max="77" width="9.140625" style="1" customWidth="1"/>
    <col min="78" max="78" width="11" style="1" customWidth="1"/>
    <col min="79" max="93" width="9.140625" style="1" customWidth="1"/>
    <col min="94" max="16384" width="9.140625" style="1"/>
  </cols>
  <sheetData>
    <row r="1" spans="33:109" s="12" customFormat="1" ht="12.75" x14ac:dyDescent="0.2">
      <c r="AG1" s="10" t="s">
        <v>32</v>
      </c>
      <c r="AH1" s="14"/>
      <c r="AR1" s="291"/>
      <c r="AS1" s="321"/>
      <c r="AU1" s="292"/>
      <c r="AV1" s="52"/>
      <c r="AW1" s="52"/>
      <c r="AX1" s="52"/>
      <c r="AY1" s="52"/>
      <c r="AZ1" s="52"/>
      <c r="BA1" s="52"/>
      <c r="BB1" s="52"/>
      <c r="BC1" s="52"/>
      <c r="BD1" s="52"/>
      <c r="BE1" s="52"/>
      <c r="BJ1" s="161"/>
    </row>
    <row r="2" spans="33:109" s="12" customFormat="1" ht="13.5" thickBot="1" x14ac:dyDescent="0.25">
      <c r="AG2" s="712" t="s">
        <v>396</v>
      </c>
      <c r="AH2" s="712"/>
      <c r="AR2" s="286"/>
      <c r="AS2" s="322"/>
      <c r="AU2" s="1"/>
      <c r="AV2" s="52"/>
      <c r="AW2" s="52"/>
      <c r="AX2" s="52"/>
      <c r="AY2" s="52"/>
      <c r="AZ2" s="52"/>
      <c r="BA2" s="52"/>
      <c r="BB2" s="52"/>
      <c r="BC2" s="52"/>
      <c r="BD2" s="52"/>
      <c r="BE2" s="52"/>
      <c r="BJ2" s="161"/>
    </row>
    <row r="3" spans="33:109" thickBot="1" x14ac:dyDescent="0.25">
      <c r="AG3" s="737" t="s">
        <v>211</v>
      </c>
      <c r="AH3" s="738"/>
      <c r="AR3" s="322"/>
      <c r="AS3" s="739" t="s">
        <v>282</v>
      </c>
      <c r="AT3" s="740"/>
      <c r="AU3" s="740"/>
      <c r="AV3" s="740"/>
      <c r="AW3" s="740"/>
      <c r="AX3" s="740"/>
      <c r="AY3" s="740"/>
      <c r="AZ3" s="740"/>
      <c r="BA3" s="740"/>
      <c r="BB3" s="740"/>
      <c r="BC3" s="740"/>
      <c r="BD3" s="740"/>
      <c r="BE3" s="740"/>
      <c r="BF3" s="740"/>
      <c r="BG3" s="740"/>
      <c r="BH3" s="740"/>
      <c r="BI3" s="740"/>
      <c r="BJ3" s="740"/>
      <c r="BK3" s="740"/>
      <c r="BL3" s="740"/>
      <c r="BM3" s="741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</row>
    <row r="4" spans="33:109" ht="12.75" x14ac:dyDescent="0.2">
      <c r="AG4" s="377" t="s">
        <v>7</v>
      </c>
      <c r="AH4" s="378">
        <f ca="1">TODAY()</f>
        <v>43890</v>
      </c>
      <c r="AR4" s="16"/>
      <c r="AS4" s="354"/>
      <c r="AT4" s="353"/>
      <c r="AU4" s="353"/>
      <c r="AV4" s="353"/>
      <c r="AW4" s="353"/>
      <c r="AX4" s="353"/>
      <c r="AY4" s="353"/>
      <c r="AZ4" s="353"/>
      <c r="BA4" s="353"/>
      <c r="BB4" s="353"/>
      <c r="BC4" s="353"/>
      <c r="BD4" s="353"/>
      <c r="BE4" s="353"/>
      <c r="BF4" s="353"/>
      <c r="BG4" s="353"/>
      <c r="BH4" s="353"/>
      <c r="BI4" s="353"/>
      <c r="BJ4" s="353"/>
      <c r="BK4" s="353"/>
      <c r="BL4" s="353"/>
      <c r="BM4" s="355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</row>
    <row r="5" spans="33:109" ht="12.75" x14ac:dyDescent="0.2">
      <c r="AG5" s="61" t="s">
        <v>99</v>
      </c>
      <c r="AH5" s="379"/>
      <c r="AR5" s="16"/>
      <c r="AS5" s="356"/>
      <c r="AT5" s="352"/>
      <c r="AU5" s="352"/>
      <c r="AV5" s="352"/>
      <c r="AW5" s="352"/>
      <c r="AX5" s="352"/>
      <c r="AY5" s="352"/>
      <c r="AZ5" s="352"/>
      <c r="BA5" s="352"/>
      <c r="BB5" s="352"/>
      <c r="BC5" s="352"/>
      <c r="BD5" s="352"/>
      <c r="BE5" s="352"/>
      <c r="BF5" s="352"/>
      <c r="BG5" s="352"/>
      <c r="BH5" s="352"/>
      <c r="BI5" s="352"/>
      <c r="BJ5" s="352"/>
      <c r="BK5" s="352"/>
      <c r="BL5" s="352"/>
      <c r="BM5" s="357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</row>
    <row r="6" spans="33:109" ht="12.75" x14ac:dyDescent="0.2">
      <c r="AG6" s="61" t="s">
        <v>5</v>
      </c>
      <c r="AH6" s="379"/>
      <c r="AR6" s="16"/>
      <c r="AS6" s="323"/>
      <c r="AT6" s="322" t="s">
        <v>216</v>
      </c>
      <c r="AU6" s="721" t="s">
        <v>193</v>
      </c>
      <c r="AV6" s="721"/>
      <c r="AW6" s="721"/>
      <c r="AX6" s="324"/>
      <c r="AY6" s="324"/>
      <c r="AZ6" s="324"/>
      <c r="BA6" s="324"/>
      <c r="BB6" s="324"/>
      <c r="BC6" s="324"/>
      <c r="BD6" s="324"/>
      <c r="BE6" s="324"/>
      <c r="BF6" s="322"/>
      <c r="BG6" s="322"/>
      <c r="BH6" s="322"/>
      <c r="BI6" s="322"/>
      <c r="BJ6" s="325"/>
      <c r="BK6" s="322"/>
      <c r="BL6" s="322"/>
      <c r="BM6" s="326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 t="s">
        <v>320</v>
      </c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</row>
    <row r="7" spans="33:109" ht="12.75" x14ac:dyDescent="0.2">
      <c r="AG7" s="61" t="s">
        <v>6</v>
      </c>
      <c r="AH7" s="380"/>
      <c r="AR7" s="16"/>
      <c r="AS7" s="323"/>
      <c r="AT7" s="322"/>
      <c r="AU7" s="568"/>
      <c r="AV7" s="6" t="s">
        <v>197</v>
      </c>
      <c r="AW7" s="734" t="s">
        <v>300</v>
      </c>
      <c r="AX7" s="735"/>
      <c r="AY7" s="736"/>
      <c r="AZ7" s="324"/>
      <c r="BA7" s="324"/>
      <c r="BB7" s="324"/>
      <c r="BC7" s="324"/>
      <c r="BD7" s="324"/>
      <c r="BE7" s="324"/>
      <c r="BF7" s="322"/>
      <c r="BG7" s="322"/>
      <c r="BH7" s="322"/>
      <c r="BI7" s="322"/>
      <c r="BJ7" s="325"/>
      <c r="BK7" s="322"/>
      <c r="BL7" s="322"/>
      <c r="BM7" s="326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</row>
    <row r="8" spans="33:109" ht="25.5" x14ac:dyDescent="0.2">
      <c r="AG8" s="61" t="s">
        <v>192</v>
      </c>
      <c r="AH8" s="380" t="s">
        <v>194</v>
      </c>
      <c r="AI8" s="292"/>
      <c r="AR8" s="16"/>
      <c r="AS8" s="323"/>
      <c r="AT8" s="322"/>
      <c r="AU8" s="568"/>
      <c r="AV8" s="6"/>
      <c r="AW8" s="6" t="s">
        <v>203</v>
      </c>
      <c r="AX8" s="6" t="s">
        <v>204</v>
      </c>
      <c r="AY8" s="311" t="s">
        <v>202</v>
      </c>
      <c r="AZ8" s="311" t="s">
        <v>23</v>
      </c>
      <c r="BA8" s="359"/>
      <c r="BB8" s="324"/>
      <c r="BC8" s="324"/>
      <c r="BD8" s="324"/>
      <c r="BE8" s="324"/>
      <c r="BF8" s="322"/>
      <c r="BG8" s="322"/>
      <c r="BH8" s="322"/>
      <c r="BI8" s="322"/>
      <c r="BJ8" s="325"/>
      <c r="BK8" s="322"/>
      <c r="BL8" s="322"/>
      <c r="BM8" s="326"/>
      <c r="BN8" s="12"/>
      <c r="BO8" s="12"/>
      <c r="BP8" s="12"/>
      <c r="BQ8" s="12"/>
      <c r="BR8" s="12"/>
      <c r="BS8" s="12"/>
      <c r="BT8" s="12"/>
      <c r="BU8" s="12"/>
      <c r="BV8" s="12"/>
      <c r="BW8" s="519">
        <v>1</v>
      </c>
      <c r="BX8" s="519">
        <f>BW8+1</f>
        <v>2</v>
      </c>
      <c r="BY8" s="519">
        <f t="shared" ref="BY8:CG8" si="0">BX8+1</f>
        <v>3</v>
      </c>
      <c r="BZ8" s="519">
        <f t="shared" si="0"/>
        <v>4</v>
      </c>
      <c r="CA8" s="519">
        <f t="shared" si="0"/>
        <v>5</v>
      </c>
      <c r="CB8" s="519">
        <f t="shared" si="0"/>
        <v>6</v>
      </c>
      <c r="CC8" s="519">
        <f t="shared" si="0"/>
        <v>7</v>
      </c>
      <c r="CD8" s="519">
        <f t="shared" si="0"/>
        <v>8</v>
      </c>
      <c r="CE8" s="519">
        <f t="shared" si="0"/>
        <v>9</v>
      </c>
      <c r="CF8" s="519">
        <f t="shared" si="0"/>
        <v>10</v>
      </c>
      <c r="CG8" s="519">
        <f t="shared" si="0"/>
        <v>11</v>
      </c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</row>
    <row r="9" spans="33:109" ht="12.75" x14ac:dyDescent="0.2">
      <c r="AG9" s="61" t="s">
        <v>8</v>
      </c>
      <c r="AH9" s="526">
        <v>2</v>
      </c>
      <c r="AR9" s="16"/>
      <c r="AS9" s="323"/>
      <c r="AT9" s="322"/>
      <c r="AU9" s="568" t="s">
        <v>194</v>
      </c>
      <c r="AV9" s="249">
        <v>0.8</v>
      </c>
      <c r="AW9" s="251">
        <v>0.4</v>
      </c>
      <c r="AX9" s="251">
        <v>0.8</v>
      </c>
      <c r="AY9" s="251">
        <v>0.81</v>
      </c>
      <c r="AZ9" s="251">
        <v>1</v>
      </c>
      <c r="BA9" s="324"/>
      <c r="BB9" s="324"/>
      <c r="BC9" s="16"/>
      <c r="BD9" s="324"/>
      <c r="BE9" s="324"/>
      <c r="BF9" s="322"/>
      <c r="BG9" s="322"/>
      <c r="BH9" s="322"/>
      <c r="BI9" s="322"/>
      <c r="BJ9" s="325"/>
      <c r="BK9" s="322"/>
      <c r="BL9" s="322"/>
      <c r="BM9" s="326"/>
      <c r="BN9" s="12"/>
      <c r="BO9" s="12"/>
      <c r="BP9" s="12"/>
      <c r="BQ9" s="12"/>
      <c r="BR9" s="12"/>
      <c r="BS9" s="12"/>
      <c r="BT9" s="12"/>
      <c r="BU9" s="12"/>
      <c r="BV9" s="12"/>
      <c r="BW9" s="298">
        <f>IF(AND(AH27=AY65,AH9&lt;=4,AH10&lt;=11),6,0)</f>
        <v>0</v>
      </c>
      <c r="BX9" s="298">
        <f>+IF(AND(AH27=AY65,AH9&gt;4,AH9&lt;=4.5,AH10&lt;=10),6,0)</f>
        <v>0</v>
      </c>
      <c r="BY9" s="298">
        <f>+IF(AND(AH27=AY65,AH9&gt;4,AH9&lt;=4.5,AH10&gt;10,AH10&lt;=11),8,0)</f>
        <v>0</v>
      </c>
      <c r="BZ9" s="298">
        <f>+IF(AND(AH27=AY65,AH9&gt;4.5,AH9&lt;=5,AH10&lt;=7),6,0)</f>
        <v>0</v>
      </c>
      <c r="CA9" s="298">
        <f>+IF(AND(AH27=AY65,AH9&gt;4.5,AH9&lt;=5,AH10&gt;7,AH10&lt;=11),8,0)</f>
        <v>0</v>
      </c>
      <c r="CB9" s="298">
        <f>+IF(AND(AH27=AY65,AH9&gt;5,AH9&lt;=5.5,AH10&lt;=5),6,0)</f>
        <v>0</v>
      </c>
      <c r="CC9" s="298">
        <f>+IF(AND(AH27=AY65,AH9&gt;5,AH9&lt;=5.5,AH10&gt;5,AH10&lt;=11),8,0)</f>
        <v>0</v>
      </c>
      <c r="CD9" s="298">
        <f>+IF(AND(AH27=AY65,AH9&gt;5.5,AH9&lt;=6,AH10&lt;=4),6,0)</f>
        <v>0</v>
      </c>
      <c r="CE9" s="298">
        <f>+IF(AND(AH27=AY65,AH9&gt;5.5,AH9&lt;=6,AH10&gt;4,AH10&lt;=11),8,0)</f>
        <v>0</v>
      </c>
      <c r="CF9" s="298">
        <f>+IF(AND(AH27=AY65,AH9&gt;6,AH9&lt;=6.5,AH10&lt;=9),8,0)</f>
        <v>0</v>
      </c>
      <c r="CG9" s="298">
        <f>+IF(AND(AH27=AY65,AH9&gt;6,AH9&lt;=6.5,AH10&gt;9,AH10&lt;=11),10,0)</f>
        <v>0</v>
      </c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</row>
    <row r="10" spans="33:109" ht="12.75" x14ac:dyDescent="0.2">
      <c r="AG10" s="61" t="s">
        <v>11</v>
      </c>
      <c r="AH10" s="526">
        <v>2</v>
      </c>
      <c r="AJ10" s="292"/>
      <c r="AR10" s="16"/>
      <c r="AS10" s="323"/>
      <c r="AT10" s="322"/>
      <c r="AU10" s="568" t="s">
        <v>195</v>
      </c>
      <c r="AV10" s="249">
        <v>0.8</v>
      </c>
      <c r="AW10" s="251">
        <v>0.5</v>
      </c>
      <c r="AX10" s="251">
        <v>0.82</v>
      </c>
      <c r="AY10" s="251">
        <v>0.84</v>
      </c>
      <c r="AZ10" s="251">
        <v>1</v>
      </c>
      <c r="BA10" s="324"/>
      <c r="BB10" s="324"/>
      <c r="BC10" s="16"/>
      <c r="BD10" s="324"/>
      <c r="BE10" s="324"/>
      <c r="BF10" s="322"/>
      <c r="BG10" s="322"/>
      <c r="BH10" s="322"/>
      <c r="BI10" s="322"/>
      <c r="BJ10" s="325"/>
      <c r="BK10" s="322"/>
      <c r="BL10" s="322"/>
      <c r="BM10" s="326"/>
      <c r="BN10" s="12"/>
      <c r="BO10" s="12"/>
      <c r="BP10" s="12"/>
      <c r="BQ10" s="12"/>
      <c r="BR10" s="12"/>
      <c r="BS10" s="12"/>
      <c r="BT10" s="12"/>
      <c r="BU10" s="12"/>
      <c r="BV10" s="12"/>
      <c r="BW10" s="298">
        <f>+IF(AND(AH27=AY65,AH9&gt;6.5,AH9&lt;=7,AH10&lt;=6.5),8,0)</f>
        <v>0</v>
      </c>
      <c r="BX10" s="298">
        <f>+IF(AND(AH27=AY65,AH9&gt;6.5,AH9&lt;=7,AH10&gt;6.5,AH10&lt;=11),10,0)</f>
        <v>0</v>
      </c>
      <c r="BY10" s="298">
        <f>+IF(AND(AH27=AY65,AH9&gt;7,AH9&lt;=7.5,AH10&lt;=5.5),8,0)</f>
        <v>0</v>
      </c>
      <c r="BZ10" s="298">
        <f>+IF(AND(AH27=AY65,AH9&gt;7,AH9&lt;=7.5,AH10&gt;5.5,AH10&lt;=11),10,0)</f>
        <v>0</v>
      </c>
      <c r="CA10" s="298">
        <f>+IF(AND(AH27=AY65,AH9&gt;7.5,AH9&lt;=8,AH10&lt;=4),8,0)</f>
        <v>0</v>
      </c>
      <c r="CB10" s="298">
        <f>+IF(AND(AH27=AY65,AH9&gt;7.5,AH9&lt;=8,AH10&gt;4,AH10&lt;=11),10,0)</f>
        <v>0</v>
      </c>
      <c r="CC10" s="298">
        <f>+IF(AND(AH27=AY65,AH9&gt;8,AH9&lt;=8.5,AH10&lt;=3),8,0)</f>
        <v>0</v>
      </c>
      <c r="CD10" s="298">
        <f>+IF(AND(AH27=AY65,AH9&gt;8,AH9&lt;=8.5,AH10&gt;3,AH10&lt;=7.5),10,0)</f>
        <v>0</v>
      </c>
      <c r="CE10" s="298">
        <f>+IF(AND(AH27=AY65,AH9&gt;8,AH9&lt;=8.5,AH10&gt;7.5,AH10&lt;=11),12,0)</f>
        <v>0</v>
      </c>
      <c r="CF10" s="298">
        <f>+IF(AND(AH27=AY65,AH9&gt;8.5,AH9&lt;=9,AH10&lt;=3),8,0)</f>
        <v>0</v>
      </c>
      <c r="CG10" s="298">
        <f>+IF(AND(AH27=AY65,AH9&gt;8.5,AH9&lt;=9,AH10&gt;3,AH10&lt;=6),10,0)</f>
        <v>0</v>
      </c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</row>
    <row r="11" spans="33:109" ht="12.75" x14ac:dyDescent="0.2">
      <c r="AG11" s="61" t="s">
        <v>9</v>
      </c>
      <c r="AH11" s="382">
        <f>IF((AH9*AH10)&lt;5,5,(AH9*AH10))</f>
        <v>5</v>
      </c>
      <c r="AR11" s="16"/>
      <c r="AS11" s="323"/>
      <c r="AT11" s="322"/>
      <c r="AU11" s="250" t="s">
        <v>196</v>
      </c>
      <c r="AV11" s="249">
        <v>0.8</v>
      </c>
      <c r="AW11" s="251">
        <v>0.55000000000000004</v>
      </c>
      <c r="AX11" s="251">
        <v>0.83</v>
      </c>
      <c r="AY11" s="251">
        <v>0.9</v>
      </c>
      <c r="AZ11" s="251">
        <v>1</v>
      </c>
      <c r="BA11" s="324"/>
      <c r="BB11" s="324"/>
      <c r="BC11" s="16"/>
      <c r="BD11" s="324"/>
      <c r="BE11" s="324"/>
      <c r="BF11" s="322"/>
      <c r="BG11" s="322"/>
      <c r="BH11" s="322"/>
      <c r="BI11" s="322"/>
      <c r="BJ11" s="325"/>
      <c r="BK11" s="322"/>
      <c r="BL11" s="322"/>
      <c r="BM11" s="326"/>
      <c r="BN11" s="12"/>
      <c r="BO11" s="12"/>
      <c r="BP11" s="12"/>
      <c r="BQ11" s="12"/>
      <c r="BR11" s="12"/>
      <c r="BS11" s="12"/>
      <c r="BT11" s="12"/>
      <c r="BU11" s="12"/>
      <c r="BV11" s="12"/>
      <c r="BW11" s="298">
        <f>+IF(AND(AH27=AY65,AH9&gt;8.5,AH9&lt;=9,AH10&gt;6,AH10&lt;=11),12,0)</f>
        <v>0</v>
      </c>
      <c r="BX11" s="298">
        <f>+IF(AND(AH27=AY65,AH9&gt;9,AH9&lt;=9.5,AH10&lt;=5),10,0)</f>
        <v>0</v>
      </c>
      <c r="BY11" s="298">
        <f>+IF(AND(AH27=AY65,AH9&gt;9,AH9&lt;=9.5,AH10&gt;5,AH10&lt;=11),12,0)</f>
        <v>0</v>
      </c>
      <c r="BZ11" s="298">
        <f>+IF(AND(AH27=AY65,AH9&gt;9.5,AH9&lt;=10,AH10&lt;=4),10,0)</f>
        <v>0</v>
      </c>
      <c r="CA11" s="298">
        <f>+IF(AND(AH27=AY65,AH9&gt;9.5,AH9&lt;=10,AH10&gt;4,AH10&lt;=8.5),12,0)</f>
        <v>0</v>
      </c>
      <c r="CB11" s="298">
        <f>+IF(AND(AH27=AY65,AH9&gt;9.5,AH9&lt;=10,AH10&gt;8.5,AH10&lt;=11),14,0)</f>
        <v>0</v>
      </c>
      <c r="CC11" s="298">
        <f>+IF(AND(AH27=AY65,AH9&gt;10,AH9&lt;=10.5,AH10&lt;=3.5),10,0)</f>
        <v>0</v>
      </c>
      <c r="CD11" s="298">
        <f>+IF(AND(AH27=AY65,AH9&gt;10,AH9&lt;=10.5,AH10&gt;3.5,AH10&lt;=5.5),12,0)</f>
        <v>0</v>
      </c>
      <c r="CE11" s="298">
        <f>+IF(AND(AH27=AY65,AH9&gt;10,AH9&lt;=10.5,AH10&gt;5.5,AH10&lt;=11),14,0)</f>
        <v>0</v>
      </c>
      <c r="CF11" s="298">
        <f>+IF(AND(AH27=AY65,AH9&gt;10.5,AH9&lt;=11,AH10&lt;=2.5),10,0)</f>
        <v>0</v>
      </c>
      <c r="CG11" s="298">
        <f>+IF(AND(AH27=AY65,AH9&gt;10.5,AH9&lt;=11,AH10&gt;2.5,AH10&lt;=5),12,0)</f>
        <v>0</v>
      </c>
    </row>
    <row r="12" spans="33:109" ht="12.75" x14ac:dyDescent="0.2">
      <c r="AG12" s="61" t="s">
        <v>28</v>
      </c>
      <c r="AH12" s="382">
        <f>AH11*17</f>
        <v>85</v>
      </c>
      <c r="AR12" s="16"/>
      <c r="AS12" s="323"/>
      <c r="AT12" s="322"/>
      <c r="AU12" s="16"/>
      <c r="AV12" s="324"/>
      <c r="AW12" s="324"/>
      <c r="AX12" s="324"/>
      <c r="AY12" s="324"/>
      <c r="AZ12" s="324"/>
      <c r="BA12" s="324"/>
      <c r="BB12" s="324"/>
      <c r="BC12" s="324"/>
      <c r="BD12" s="324"/>
      <c r="BE12" s="324"/>
      <c r="BF12" s="322"/>
      <c r="BG12" s="322"/>
      <c r="BH12" s="322"/>
      <c r="BI12" s="322"/>
      <c r="BJ12" s="325"/>
      <c r="BK12" s="322"/>
      <c r="BL12" s="322"/>
      <c r="BM12" s="326"/>
      <c r="BN12" s="12"/>
      <c r="BO12" s="12"/>
      <c r="BP12" s="12"/>
      <c r="BQ12" s="12"/>
      <c r="BR12" s="12"/>
      <c r="BS12" s="12"/>
      <c r="BT12" s="12"/>
      <c r="BU12" s="12"/>
      <c r="BV12" s="12"/>
      <c r="BW12" s="298">
        <f>+IF(AND(AH27=AY65,AH9&gt;10.5,AH9&lt;=11,AH10&gt;5,AH10&lt;=11),14,0)</f>
        <v>0</v>
      </c>
      <c r="BX12" s="298">
        <f>+IF(AND(AH27=AY65,AH9&gt;11,AH9&lt;=12,AH10&lt;=3.5),12,0)</f>
        <v>0</v>
      </c>
      <c r="BY12" s="298">
        <f>+IF(AND(AH27=AY65,AH9&gt;11,AH9&lt;=12,AH10&gt;3.5,AH10&lt;=9),14,0)</f>
        <v>0</v>
      </c>
      <c r="BZ12" s="298"/>
      <c r="CA12" s="298"/>
      <c r="CB12" s="298"/>
      <c r="CC12" s="298"/>
      <c r="CD12" s="298"/>
      <c r="CE12" s="298"/>
      <c r="CF12" s="298"/>
      <c r="CG12" s="298"/>
    </row>
    <row r="13" spans="33:109" ht="25.5" x14ac:dyDescent="0.2">
      <c r="AG13" s="61" t="s">
        <v>10</v>
      </c>
      <c r="AH13" s="383">
        <v>1</v>
      </c>
      <c r="AR13" s="16"/>
      <c r="AS13" s="323"/>
      <c r="AT13" s="322"/>
      <c r="AU13" s="308" t="s">
        <v>218</v>
      </c>
      <c r="AV13" s="309" t="s">
        <v>219</v>
      </c>
      <c r="AW13" s="309" t="s">
        <v>239</v>
      </c>
      <c r="AX13" s="502" t="s">
        <v>311</v>
      </c>
      <c r="AY13" s="324"/>
      <c r="AZ13" s="324"/>
      <c r="BA13" s="324"/>
      <c r="BB13" s="324" t="s">
        <v>326</v>
      </c>
      <c r="BC13" s="324" t="s">
        <v>130</v>
      </c>
      <c r="BD13" s="324" t="s">
        <v>328</v>
      </c>
      <c r="BE13" s="324"/>
      <c r="BF13" s="322"/>
      <c r="BG13" s="322"/>
      <c r="BH13" s="322"/>
      <c r="BI13" s="322"/>
      <c r="BJ13" s="325"/>
      <c r="BK13" s="322"/>
      <c r="BL13" s="322"/>
      <c r="BM13" s="326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</row>
    <row r="14" spans="33:109" ht="12.75" x14ac:dyDescent="0.2">
      <c r="AG14" s="61" t="s">
        <v>164</v>
      </c>
      <c r="AH14" s="384" t="s">
        <v>214</v>
      </c>
      <c r="AR14" s="16"/>
      <c r="AS14" s="323"/>
      <c r="AT14" s="16" t="s">
        <v>217</v>
      </c>
      <c r="AU14" s="298" t="s">
        <v>212</v>
      </c>
      <c r="AV14" s="295" t="s">
        <v>220</v>
      </c>
      <c r="AW14" s="221" t="s">
        <v>227</v>
      </c>
      <c r="AX14" s="568">
        <v>15</v>
      </c>
      <c r="AY14" s="324" t="s">
        <v>31</v>
      </c>
      <c r="BA14" s="324" t="s">
        <v>31</v>
      </c>
      <c r="BB14" s="324">
        <v>60</v>
      </c>
      <c r="BC14" s="324">
        <v>2500</v>
      </c>
      <c r="BD14" s="324">
        <v>750</v>
      </c>
      <c r="BE14" s="324"/>
      <c r="BF14" s="325"/>
      <c r="BG14" s="325"/>
      <c r="BH14" s="325"/>
      <c r="BI14" s="322"/>
      <c r="BJ14" s="325"/>
      <c r="BK14" s="322"/>
      <c r="BL14" s="322"/>
      <c r="BM14" s="326"/>
    </row>
    <row r="15" spans="33:109" ht="12.75" x14ac:dyDescent="0.2">
      <c r="AG15" s="61" t="s">
        <v>165</v>
      </c>
      <c r="AH15" s="384" t="s">
        <v>313</v>
      </c>
      <c r="AR15" s="16"/>
      <c r="AS15" s="323"/>
      <c r="AT15" s="16"/>
      <c r="AU15" s="298" t="s">
        <v>213</v>
      </c>
      <c r="AV15" s="295" t="s">
        <v>221</v>
      </c>
      <c r="AW15" s="221" t="s">
        <v>228</v>
      </c>
      <c r="AX15" s="568">
        <v>15</v>
      </c>
      <c r="AY15" s="327"/>
      <c r="AZ15" s="324"/>
      <c r="BA15" s="324" t="s">
        <v>23</v>
      </c>
      <c r="BB15" s="324">
        <v>0</v>
      </c>
      <c r="BC15" s="324">
        <v>0</v>
      </c>
      <c r="BD15" s="324">
        <v>0</v>
      </c>
      <c r="BE15" s="324"/>
      <c r="BF15" s="325"/>
      <c r="BG15" s="325"/>
      <c r="BH15" s="325"/>
      <c r="BI15" s="322"/>
      <c r="BJ15" s="325"/>
      <c r="BK15" s="322"/>
      <c r="BL15" s="322"/>
      <c r="BM15" s="326"/>
      <c r="CC15" s="1">
        <f>72/2</f>
        <v>36</v>
      </c>
    </row>
    <row r="16" spans="33:109" ht="12.75" x14ac:dyDescent="0.2">
      <c r="AG16" s="385" t="s">
        <v>56</v>
      </c>
      <c r="AH16" s="381" t="s">
        <v>223</v>
      </c>
      <c r="AR16" s="16"/>
      <c r="AS16" s="323"/>
      <c r="AT16" s="16"/>
      <c r="AU16" s="298" t="s">
        <v>214</v>
      </c>
      <c r="AV16" s="295" t="s">
        <v>222</v>
      </c>
      <c r="AW16" s="221" t="s">
        <v>229</v>
      </c>
      <c r="AX16" s="568">
        <v>15</v>
      </c>
      <c r="AY16" s="327"/>
      <c r="AZ16" s="324"/>
      <c r="BA16" s="324"/>
      <c r="BB16" s="324"/>
      <c r="BC16" s="324"/>
      <c r="BD16" s="324"/>
      <c r="BE16" s="324"/>
      <c r="BF16" s="325"/>
      <c r="BG16" s="325"/>
      <c r="BH16" s="325"/>
      <c r="BI16" s="322"/>
      <c r="BJ16" s="325"/>
      <c r="BK16" s="322"/>
      <c r="BL16" s="322"/>
      <c r="BM16" s="326"/>
    </row>
    <row r="17" spans="1:122" ht="12.75" x14ac:dyDescent="0.2">
      <c r="AG17" s="386" t="s">
        <v>117</v>
      </c>
      <c r="AH17" s="384">
        <v>0.28999999999999998</v>
      </c>
      <c r="AR17" s="16"/>
      <c r="AS17" s="323"/>
      <c r="AT17" s="16"/>
      <c r="AU17" s="568" t="s">
        <v>215</v>
      </c>
      <c r="AV17" s="295" t="s">
        <v>223</v>
      </c>
      <c r="AW17" s="221" t="s">
        <v>312</v>
      </c>
      <c r="AX17" s="568">
        <v>13</v>
      </c>
      <c r="AY17" s="324" t="s">
        <v>23</v>
      </c>
      <c r="AZ17" s="324"/>
      <c r="BA17" s="324"/>
      <c r="BB17" s="197"/>
      <c r="BC17" s="197"/>
      <c r="BD17" s="197"/>
      <c r="BE17" s="197"/>
      <c r="BF17" s="327"/>
      <c r="BG17" s="327"/>
      <c r="BH17" s="327"/>
      <c r="BI17" s="16"/>
      <c r="BJ17" s="327"/>
      <c r="BK17" s="16"/>
      <c r="BL17" s="16"/>
      <c r="BM17" s="17"/>
    </row>
    <row r="18" spans="1:122" ht="12.75" x14ac:dyDescent="0.2">
      <c r="AG18" s="386" t="s">
        <v>15</v>
      </c>
      <c r="AH18" s="380">
        <v>75</v>
      </c>
      <c r="AR18" s="16"/>
      <c r="AS18" s="323"/>
      <c r="AT18" s="16"/>
      <c r="AU18" s="568"/>
      <c r="AV18" s="295" t="s">
        <v>224</v>
      </c>
      <c r="AW18" s="221" t="s">
        <v>313</v>
      </c>
      <c r="AX18" s="568">
        <v>13</v>
      </c>
      <c r="AY18" s="327"/>
      <c r="AZ18" s="324"/>
      <c r="BA18" s="324"/>
      <c r="BB18" s="197"/>
      <c r="BC18" s="197"/>
      <c r="BD18" s="197"/>
      <c r="BE18" s="197"/>
      <c r="BF18" s="327"/>
      <c r="BG18" s="327"/>
      <c r="BH18" s="327"/>
      <c r="BI18" s="16"/>
      <c r="BJ18" s="327"/>
      <c r="BK18" s="16"/>
      <c r="BL18" s="16"/>
      <c r="BM18" s="17"/>
      <c r="BU18" s="1">
        <f>IF(AND(AH27=AY65,AH9&lt;=4,AH10&lt;=11),6,0)+IF(AND(AH27=AY65,AH9&gt;4,AH9&lt;=4.5,AH10&lt;=10),6,0)+IF(AND(AH27=AY65,AH9&gt;4,AH9&lt;=4.5,AH10&gt;10,AH10&lt;=11),8,0)+IF(AND(AH27=AY65,AH9&gt;4.5,AH9&lt;=5,AH10&lt;=7),6,0)+IF(AND(AH27=AY65,AH9&gt;4.5,AH9&lt;=5,AH10&gt;7,AH10&lt;=11),8,0)+IF(AND(AH27=AY65,AH9&gt;5,AH9&lt;=5.5,AH10&lt;=5),6,0)+IF(AND(AH27=AY65,AH9&gt;5,AH9&lt;=5.5,AH10&gt;5,AH10&lt;=11),8,0)+IF(AND(AH27=AY65,AH9&gt;5.5,AH9&lt;=6,AH10&lt;=4),6,0)+IF(AND(AH27=AY65,AH9&gt;5.5,AH9&lt;=6,AH10&gt;4,AH10&lt;=11),8,0)+IF(AND(AH27=AY65,AH9&gt;6,AH9&lt;=6.5,AH10&lt;=9),8,0)+IF(AND(AH27=AY65,AH9&gt;6,AH9&lt;=6.5,AH10&gt;9,AH10&lt;=11),10,0)+IF(AND(AH27=AY65,AH9&gt;6.5,AH9&lt;=7,AH10&lt;=6.5),8,0)+IF(AND(AH27=AY65,AH9&gt;6.5,AH9&lt;=7,AH10&gt;6.5,AH10&lt;=11),10,0)+IF(AND(AH27=AY65,AH9&gt;7,AH9&lt;=7.5,AH10&lt;=5.5),8,0)+IF(AND(AH27=AY65,AH9&gt;7,AH9&lt;=7.5,AH10&gt;5.5,AH10&lt;=11),10,0)+IF(AND(AH27=AY65,AH9&gt;7.5,AH9&lt;=8,AH10&lt;=4),8,0)+IF(AND(AH27=AY65,AH9&gt;7.5,AH9&lt;=8,AH10&gt;4,AH10&lt;=11),10,0)+IF(AND(AH27=AY65,AH9&gt;8,AH9&lt;=8.5,AH10&lt;=3),8,0)+IF(AND(AH27=AY65,AH9&gt;8,AH9&lt;=8.5,AH10&gt;3,AH10&lt;=7.5),10,0)+IF(AND(AH27=AY65,AH9&gt;8,AH9&lt;=8.5,AH10&gt;7.5,AH10&lt;=11),12,0)+IF(AND(AH27=AY65,AH9&gt;8.5,AH9&lt;=9,AH10&lt;=3),8,0)+IF(AND(AH27=AY65,AH9&gt;8.5,AH9&lt;=9,AH10&gt;3,AH10&lt;=6),10,0)+IF(AND(AH27=AY65,AH9&gt;8.5,AH9&lt;=9,AH10&gt;6,AH10&lt;=11),12,0)+IF(AND(AH27=AY65,AH9&gt;9,AH9&lt;=9.5,AH10&lt;=5),10,0)+IF(AND(AH27=AY65,AH9&gt;9,AH9&lt;=9.5,AH10&gt;5,AH10&lt;=11),12,0)+IF(AND(AH27=AY65,AH9&gt;9.5,AH9&lt;=10,AH10&lt;=4),10,0)+IF(AND(AH27=AY65,AH9&gt;9.5,AH9&lt;=10,AH10&gt;4,AH10&lt;=8.5),12,0)+IF(AND(AH27=AY65,AH9&gt;9.5,AH9&lt;=10,AH10&gt;8.5,AH10&lt;=11),14,0)+IF(AND(AH27=AY65,AH9&gt;10,AH9&lt;=10.5,AH10&lt;=3.5),10,0)+IF(AND(AH27=AY65,AH9&gt;10,AH9&lt;=10.5,AH10&gt;3.5,AH10&lt;=5.5),12,0)+IF(AND(AH27=AY65,AH9&gt;10,AH9&lt;=10.5,AH10&gt;5.5,AH10&lt;=11),14,0)+IF(AND(AH27=AY65,AH9&gt;10.5,AH9&lt;=11,AH10&lt;=2.5),10,0)+IF(AND(AH27=AY65,AH9&gt;10.5,AH9&lt;=11,AH10&gt;2.5,AH10&lt;=5),12,0)+IF(AND(AH27=AY65,AH9&gt;10.5,AH9&lt;=11,AH10&gt;5,AH10&lt;=11),14,0)+IF(AND(AH27=AY65,AH9&gt;11,AH9&lt;=12,AH10&lt;=3.5),12,0)+IF(AND(AH27=AY65,AH9&gt;11,AH9&lt;=12,AH10&gt;3.5,AH10&lt;=9),14,0)</f>
        <v>0</v>
      </c>
    </row>
    <row r="19" spans="1:122" ht="13.5" thickBot="1" x14ac:dyDescent="0.25">
      <c r="AG19" s="387" t="s">
        <v>30</v>
      </c>
      <c r="AH19" s="388">
        <v>65</v>
      </c>
      <c r="AR19" s="16"/>
      <c r="AS19" s="323"/>
      <c r="AT19" s="16"/>
      <c r="AU19" s="568"/>
      <c r="AV19" s="295" t="s">
        <v>225</v>
      </c>
      <c r="AW19" s="221" t="s">
        <v>314</v>
      </c>
      <c r="AX19" s="568">
        <v>13</v>
      </c>
      <c r="AY19" s="327"/>
      <c r="AZ19" s="324"/>
      <c r="BA19" s="324"/>
      <c r="BB19" s="197"/>
      <c r="BC19" s="197"/>
      <c r="BD19" s="197"/>
      <c r="BE19" s="197"/>
      <c r="BF19" s="327"/>
      <c r="BG19" s="327"/>
      <c r="BH19" s="327"/>
      <c r="BI19" s="16"/>
      <c r="BJ19" s="327"/>
      <c r="BK19" s="16"/>
      <c r="BL19" s="16"/>
      <c r="BM19" s="17"/>
      <c r="BW19" s="516">
        <f>IF(AND(AH27=AY65,AH9&lt;=4,AH10&lt;=11),6,0)+IF(AND(AH27=AY65,AH9&gt;4,AH9&lt;=4.5,AH10&lt;=10),6,0)+IF(AND(AH27=AY65,AH9&gt;4,AH9&lt;=4.5,AH10&gt;10,AH10&lt;=11),8,0)+IF(AND(AH27=AY65,AH9&gt;4.5,AH9&lt;=5,AH10&lt;=7),6,0)+IF(AND(AH27=AY65,AH9&gt;4.5,AH9&lt;=5,AH10&gt;7,AH10&lt;=11),8,0)+IF(AND(AH27=AY65,AH9&gt;5,AH9&lt;=5.5,AH10&lt;=5),6,0)+IF(AND(AH27=AY65,AH9&gt;5,AH9&lt;=5.5,AH10&gt;5,AH10&lt;=11),8,0)+IF(AND(AH27=AY65,AH9&gt;5.5,AH9&lt;=6,AH10&lt;=4),6,0)+IF(AND(AH27=AY65,AH9&gt;5.5,AH9&lt;=6,AH10&gt;4,AH10&lt;=11),8,0)+IF(AND(AH27=AY65,AH9&gt;6,AH9&lt;=6.5,AH10&lt;=9),8,0)+IF(AND(AH27=AY65,AH9&gt;6,AH9&lt;=6.5,AH10&gt;9,AH10&lt;=11),10,0)+IF(AND(AH27=AY65,AH9&gt;6.5,AH9&lt;=7,AH10&lt;=6.5),8,0)+IF(AND(AH27=AY65,AH9&gt;6.5,AH9&lt;=7,AH10&gt;6.5,AH10&lt;=11),10,0)+IF(AND(AH27=AY65,AH9&gt;7,AH9&lt;=7.5,AH10&lt;=5.5),8,0)+IF(AND(AH27=AY65,AH9&gt;7,AH9&lt;=7.5,AH10&gt;5.5,AH10&lt;=11),10,0)+IF(AND(AH27=AY65,AH9&gt;7.5,AH9&lt;=8,AH10&lt;=4),8,0)+IF(AND(AH27=AY65,AH9&gt;7.5,AH9&lt;=8,AH10&gt;4,AH10&lt;=11),10,0)+IF(AND(AH27=AY65,AH9&gt;8,AH9&lt;=8.5,AH10&lt;=3),8,0)+IF(AND(AH27=AY65,AH9&gt;8,AH9&lt;=8.5,AH10&gt;3,AH10&lt;=7.5),10,0)+IF(AND(AH27=AY65,AH9&gt;8,AH9&lt;=8.5,AH10&gt;7.5,AH10&lt;=11),12,0)+IF(AND(AH27=AY65,AH9&gt;8.5,AH9&lt;=9,AH10&lt;=3),8,0)+IF(AND(AH27=AY65,AH9&gt;8.5,AH9&lt;=9,AH10&gt;3,AH10&lt;=6),10,0)+IF(AND(AH27=AY65,AH9&gt;8.5,AH9&lt;=9,AH10&gt;6,AH10&lt;=11),12,0)+IF(AND(AH27=AY65,AH9&gt;9,AH9&lt;=9.5,AH10&lt;=5),10,0)+IF(AND(AH27=AY65,AH9&gt;9,AH9&lt;=9.5,AH10&gt;5,AH10&lt;=11),12,0)+IF(AND(AH27=AY65,AH9&gt;9.5,AH9&lt;=10,AH10&lt;=4),10,0)+IF(AND(AH27=AY65,AH9&gt;9.5,AH9&lt;=10,AH10&gt;4,AH10&lt;=8.5),12,0)+IF(AND(AH27=AY65,AH9&gt;9.5,AH9&lt;=10,AH10&gt;8.5,AH10&lt;=11),14,0)+IF(AND(AH27=AY65,AH9&gt;10,AH9&lt;=10.5,AH10&lt;=3.5),10,0)+IF(AND(AH27=AY65,AH9&gt;10,AH9&lt;=10.5,AH10&gt;3.5,AH10&lt;=5.5),12,0)+IF(AND(AH27=AY65,AH9&gt;10,AH9&lt;=10.5,AH10&gt;5.5,AH10&lt;=11),14,0)+IF(AND(AH27=AY65,AH9&gt;10.5,AH9&lt;=11,AH10&lt;=2.5),10,0)+IF(AND(AH27=AY65,AH9&gt;10.5,AH9&lt;=11,AH10&gt;2.5,AH10&lt;=5),12,0)+IF(AND(AH27=AY65,AH9&gt;10.5,AH9&lt;=11,AH10&gt;5,AH10&lt;=11),14,0)+IF(AND(AH27=AY65,AH9&gt;11,AH9&lt;=12,AH10&lt;=3.5),12,0)+IF(AND(AH27=AY65,AH9&gt;11,AH9&lt;=12,AH10&gt;3.5,AH10&lt;=9),14,0)</f>
        <v>0</v>
      </c>
    </row>
    <row r="20" spans="1:122" ht="13.5" thickBot="1" x14ac:dyDescent="0.25">
      <c r="AR20" s="16"/>
      <c r="AS20" s="323"/>
      <c r="AT20" s="16"/>
      <c r="AU20" s="568"/>
      <c r="AV20" s="295" t="s">
        <v>226</v>
      </c>
      <c r="AW20" s="221" t="s">
        <v>233</v>
      </c>
      <c r="AX20" s="568">
        <v>11</v>
      </c>
      <c r="AY20" s="327"/>
      <c r="AZ20" s="324"/>
      <c r="BA20" s="324"/>
      <c r="BB20" s="197"/>
      <c r="BC20" s="197"/>
      <c r="BD20" s="197"/>
      <c r="BE20" s="197"/>
      <c r="BF20" s="327"/>
      <c r="BG20" s="327"/>
      <c r="BH20" s="327"/>
      <c r="BI20" s="16"/>
      <c r="BJ20" s="327"/>
      <c r="BK20" s="16"/>
      <c r="BL20" s="16"/>
      <c r="BM20" s="17"/>
    </row>
    <row r="21" spans="1:122" ht="12.75" x14ac:dyDescent="0.2"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G21" s="762" t="s">
        <v>50</v>
      </c>
      <c r="AH21" s="763"/>
      <c r="AI21" s="504"/>
      <c r="AJ21" s="393" t="s">
        <v>10</v>
      </c>
      <c r="AK21" s="393" t="s">
        <v>49</v>
      </c>
      <c r="AL21" s="393" t="s">
        <v>51</v>
      </c>
      <c r="AM21" s="394" t="s">
        <v>14</v>
      </c>
      <c r="AN21" s="527" t="s">
        <v>100</v>
      </c>
      <c r="AO21" s="393" t="s">
        <v>304</v>
      </c>
      <c r="AP21" s="394" t="s">
        <v>318</v>
      </c>
      <c r="AR21" s="16"/>
      <c r="AS21" s="323"/>
      <c r="AT21" s="16"/>
      <c r="AU21" s="568"/>
      <c r="AV21" s="295"/>
      <c r="AW21" s="221" t="s">
        <v>234</v>
      </c>
      <c r="AX21" s="568">
        <v>11</v>
      </c>
      <c r="AY21" s="327"/>
      <c r="AZ21" s="324"/>
      <c r="BA21" s="324"/>
      <c r="BB21" s="197"/>
      <c r="BC21" s="197"/>
      <c r="BD21" s="197"/>
      <c r="BE21" s="197"/>
      <c r="BF21" s="327"/>
      <c r="BG21" s="327"/>
      <c r="BH21" s="327"/>
      <c r="BI21" s="16"/>
      <c r="BJ21" s="327"/>
      <c r="BK21" s="16"/>
      <c r="BL21" s="16"/>
      <c r="BM21" s="17"/>
      <c r="CA21" s="1" t="s">
        <v>321</v>
      </c>
    </row>
    <row r="22" spans="1:122" ht="12.75" x14ac:dyDescent="0.2"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G22" s="38" t="s">
        <v>246</v>
      </c>
      <c r="AH22" s="505"/>
      <c r="AI22" s="5">
        <f>IF(AH9&lt;=5,AH9+0.1)+IF(AND(AH9&gt;5,AH9&lt;=6),AH9+0.15)+IF(AH9&gt;6,AH9+0.25)</f>
        <v>2.1</v>
      </c>
      <c r="AJ22" s="5">
        <f>IF(AH15=AW14,(AH10+0.3)*AX14*AI22)+IF(AH15=AW15,(AH10+0.3)*AX15*AI22)+IF(AH15=AW16,(AH10+0.3)*AX16*AI22)+IF(AH15=AW17,(AH10+0.3)*AX17*AI22)+IF(AH15=AW18,(AH10+0.3)*AX18*AI22)+IF(AH15=AW19,(AH10+0.3)*AX19*AI22)+IF(AH15=AW20,(AH10+0.3)*AX20*AI22)+IF(AH15=AW21,(AH10+0.3)*AX21*AI22)+IF(AH15=AW22,(AH10+0.3)*AX22*AI22)+IF(AH15=AW23,(AH10+0.3)*AX23*AI22)+IF(AH15=AW24,(AH10+0.3)*AX24*AI22)+IF(AH15=AW25,(AH10+0.3)*AX25*AI22)</f>
        <v>62.79</v>
      </c>
      <c r="AK22" s="5" t="s">
        <v>52</v>
      </c>
      <c r="AL22" s="560">
        <f>+IF(AND(AH14=AU14,AH15=$AV$29,AH16=AU30),AV30)+IF(AND(AH14=AU14,AH15=$AV$29,AH16=AU31),AV31)+IF(AND(AH14=AU14,AH15=$AV$29,AH16=AU32),AV32)+IF(AND(AH14=AU14,AH15=$AW$29,AH16=AU30),AW30)+IF(AND(AH14=AU14,AH15=$AW$29,AH16=AU31),AW31)+IF(AND(AH14=AU14,AH15=$AW$29,AH16=AU32),AW32)+IF(AND(AH14=AU14,AH15=$AX$29,AH16=AU30),AX30)+IF(AND(AH14=AU14,AH15=$AX$29,AH16=AU31),AX31)+IF(AND(AH14=AU14,AH15=$AX$29,AH16=AU32),AX32)+IF(AND(AH14=AU14,AH15=$AY$29,AH16=AU30),AY30)+IF(AND(AH14=AU14,AH15=$AY$29,AH16=AU31),AY31)+IF(AND(AH14=AU14,AH15=$AY$29,AH16=AU32),AY32)+IF(AND(AH14=AU16,AH15=$AV$36,AH16=AU37),AV37)+IF(AND(AH14=AU16,AH15=$AV$36,AH16=AU38),AV38)+IF(AND(AH14=AU16,AH15=$AV$36,AH16=AU39),AV39)+IF(AND(AH14=AU16,AH15=$AW$36,AH16=AU37),AW37)+IF(AND(AH14=AU16,AH15=$AW$36,AH16=AU38),AW38)+IF(AND(AH14=AU16,AH15=$AW$36,AH16=AU39),AW39)+IF(AND(AH14=AU16,AH15=$AX$36,AH16=AU37),AX37)+IF(AND(AH14=AU16,AH15=$AX$36,AH16=AU38),AX38)+IF(AND(AH14=AU16,AH15=$AX$36,AH16=AU39),AX39)+IF(AND(AH14=AU16,AH15=$AY$36,AH16=AU37),AY37)+IF(AND(AH14=AU16,AH15=$AY$36,AH16=AU38),AY38)+IF(AND(AH14=AU16,AH15=$AY$36,AH16=AU39),AY39)+IF(AND(AH14=AU15,AH15=$AV$36,AH16=AU37),AV37)+IF(AND(AH14=AU15,AH15=$AV$36,AH16=AU38),AV38)+IF(AND(AH14=AU15,AH15=$AV$36,AH16=AU39),AV39)+IF(AND(AH14=AU15,AH15=$AW$36,AH16=AU37),AW37)+IF(AND(AH14=AU15,AH15=$AW$36,AH16=AU38),AW38)+IF(AND(AH14=AU15,AH15=$AW$36,AH16=AU39),AW39)+IF(AND(AH14=AU15,AH15=$AX$36,AH16=AU37),AX37)+IF(AND(AH14=AU15,AH15=$AX$36,AH16=AU38),AX38)+IF(AND(AH14=AU15,AH15=$AX$36,AH16=AU39),AX39)+IF(AND(AH14=AU15,AH15=$AY$36,AH16=AU37),AY37)+IF(AND(AH14=AU15,AH15=$AY$36,AH16=AU38),AY38)+IF(AND(AH14=AU15,AH15=$AY$36,AH16=AU39),AY39)+IF(AND(AH14=AU17,AH15=$AV$43,AH16=AU44),AV44)+IF(AND(AH14=AU17,AH15=$AW$43,AH16=AU44),AW44)+IF(AND(AH14=AU17,AH15=$AX$43,AH16=AU44),AX44)+IF(AND(AH14=AU17,AH15=$AY$43,AH16=AU44),AY44)</f>
        <v>61.442342499999995</v>
      </c>
      <c r="AM22" s="432">
        <f>AL22*AJ22</f>
        <v>3857.9646855749997</v>
      </c>
      <c r="AN22" s="528"/>
      <c r="AO22" s="561">
        <f>+IF(AND(AH15=AV29,AH16=AU30),AJ22*'Basic rates'!D4)+IF(AND(AH15=AW29,AH16=AU30),AJ22*'Basic rates'!F4)+IF(AND(AH15=AX29,AH16=AU30),AJ22*'Basic rates'!H4)+IF(AND(AH15=AY29,AH16=AU30),AJ22*'Basic rates'!J4)+IF(AND(AH15=AV29,AH16=AU31),AJ22*'Basic rates'!D5)+IF(AND(AH15=AW29,AH16=AU31),AJ22*'Basic rates'!F5)+IF(AND(AH15=AX29,AH16=AU31),AJ22*'Basic rates'!H5)+IF(AND(AH15=AY29,AH16=AU31),AJ22*'Basic rates'!J5)+IF(AND(AH15=AV29,AH16=AU32),AJ22*'Basic rates'!D6)+IF(AND(AH15=AW29,AH16=AU32),AJ22*'Basic rates'!F6)+IF(AND(AH15=AX29,AH16=AU32),AJ22*'Basic rates'!H6)+IF(AND(AH15=AY29,AH16=AU32),AJ22*'Basic rates'!J6)+IF(AND(AH15=AV36,AH16=AU37),AJ22*'Basic rates'!D10)+IF(AND(AH15=AW36,AH16=AU37),AJ22*'Basic rates'!F10)+IF(AND(AH15=AX36,AH16=AU37),AJ22*'Basic rates'!H10)+IF(AND(AH15=AY36,AH16=AU37),AJ22*'Basic rates'!J10)+IF(AND(AH15=AV36,AH16=AU38),AJ22*'Basic rates'!D11)+IF(AND(AH15=AW36,AH16=AU38),AJ22*'Basic rates'!F11)+IF(AND(AH15=AX36,AH16=AU38),AJ22*'Basic rates'!H11)+IF(AND(AH15=AY36,AH16=AU38),AJ22*'Basic rates'!J11)+IF(AND(AH15=AV36,AH16=AU39),AJ22*'Basic rates'!D12)+IF(AND(AH15=AW36,AH16=AU39),AJ22*'Basic rates'!F12)+IF(AND(AH15=AX36,AH16=AU39),AJ22*'Basic rates'!H12)+IF(AND(AH15=AY36,AH16=AU39),AJ22*'Basic rates'!J12)+IF(AND(AH15=AV43,AH16=AU44),AJ22*'Basic rates'!D17)+IF(AND(AH15=AW43,AH16=AU44),AJ22*'Basic rates'!F17)+IF(AND(AH15=AX43,AH16=AU44),AJ22*'Basic rates'!H17)+IF(AND(AH15=AY43,AH16=AU44),AJ22*'Basic rates'!J17)</f>
        <v>65.555899499999995</v>
      </c>
      <c r="AP22" s="249">
        <f t="shared" ref="AP22:AP30" si="1">AO22/$AH$11</f>
        <v>13.1111799</v>
      </c>
      <c r="AQ22" s="501"/>
      <c r="AR22" s="16"/>
      <c r="AS22" s="323"/>
      <c r="AT22" s="16"/>
      <c r="AU22" s="568"/>
      <c r="AV22" s="295"/>
      <c r="AW22" s="221" t="s">
        <v>235</v>
      </c>
      <c r="AX22" s="568">
        <v>11</v>
      </c>
      <c r="AY22" s="327"/>
      <c r="AZ22" s="324"/>
      <c r="BA22" s="324"/>
      <c r="BB22" s="197"/>
      <c r="BC22" s="197"/>
      <c r="BD22" s="197"/>
      <c r="BE22" s="197"/>
      <c r="BF22" s="327"/>
      <c r="BG22" s="327"/>
      <c r="BH22" s="327"/>
      <c r="BI22" s="16"/>
      <c r="BJ22" s="327"/>
      <c r="BK22" s="16"/>
      <c r="BL22" s="16"/>
      <c r="BM22" s="17"/>
    </row>
    <row r="23" spans="1:122" ht="12.75" x14ac:dyDescent="0.2">
      <c r="A23" s="75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395" t="s">
        <v>168</v>
      </c>
      <c r="AH23" s="16"/>
      <c r="AI23" s="5">
        <f>IF(AH9&lt;=5,AT51)+IF(AND(AH9&gt;5,AH9&lt;=6),AT52)+IF(AH9&gt;6,AT53)</f>
        <v>75</v>
      </c>
      <c r="AJ23" s="5">
        <f>(AH10+0.1)*2</f>
        <v>4.2</v>
      </c>
      <c r="AK23" s="5" t="s">
        <v>52</v>
      </c>
      <c r="AL23" s="252">
        <f>+IF(AND(AH14=BC50,AG23=AV50,AI23=AT51),AV51)+IF(AND(AH14=BC50,AG23=AV50,AI23=AT52),AV52)+IF(AND(AH14=BC50,AG23=AV50,AI23=AT53),AV53)+IF(AND(AH14=BC50,AG23=AW50,AI23=AT51),AW51)+IF(AND(AH14=BC50,AG23=AW50,AI23=AT52),AW52)+IF(AND(AH14=BC50,AG23=AW50,AI23=AT53),AW53)+IF(AND(AH14=BC50,AG23=AX50,AI23=AT51),AX51)+IF(AND(AH14=BC50,AG23=AX50,AI23=AT52),AX52)+IF(AND(AH14=BC50,AG23=AX50,AI23=AT53),AX53)+IF(AND(AH14=BC51,AG23=AV50,AI23=AT51),AV51)+IF(AND(AH14=BC51,AG23=AV50,AI23=AT52),AV52)+IF(AND(AH14=BC51,AG23=AV50,AI23=AT53),AV53)+IF(AND(AH14=BC51,AG23=AW50,AI23=AT51),AW51)+IF(AND(AH14=BC51,AG23=AW50,AI23=AT52),AW52)+IF(AND(AH14=BC51,AG23=AW50,AI23=AT53),AW53)+IF(AND(AH14=BC51,AG23=AX50,AI23=AT51),AX51)+IF(AND(AH14=BC51,AG23=AX50,AI23=AT52),AX52)+IF(AND(AH14=BC51,AG23=AX50,AI23=AT53),AX53)+IF(AND(AH14=BC53,AG23=AV50,AI23=AT51),AV51)+IF(AND(AH14=BC53,AG23=AV50,AI23=AT52),AV52)+IF(AND(AH14=BC53,AG23=AV50,AI23=AT53),AV53)+IF(AND(AH14=BC53,AG23=AW50,AI23=AT51),AW51)+IF(AND(AH14=BC53,AG23=AW50,AI23=AT52),AW52)+IF(AND(AH14=BC53,AG23=AW50,AI23=AT53),AW53)+IF(AND(AH14=BC53,AG23=AX50,AI23=AT51),AX51)+IF(AND(AH14=BC53,AG23=AX50,AI23=AT52),AX52)+IF(AND(AH14=BC53,AG23=AX50,AI23=AT53),AX53)+IF(AND(AH14=BC52,AG23=AY50,AI23=AT51),AY51)+IF(AND(AH14=BC52,AG23=AY50,AI23=AT52),AY52)+IF(AND(AH14=BC52,AG23=AY50,AI23=AT53),AY53)+IF(AND(AH14=BC52,AG23=AZ50,AI23=AT51),AZ51)+IF(AND(AH14=BC52,AG23=AZ50,AI23=AT52),AZ52)+IF(AND(AH14=BC52,AG23=AZ50,AI23=AT53),AZ53)+IF(AND(AH14=BC52,AG23=BA50,AI23=AT51),BA51)+IF(AND(AH14=BC52,AG23=BA50,AI23=AT52),BA52)+IF(AND(AH14=BC52,AG23=BA50,AI23=AT53),BA53)</f>
        <v>354.83184000000006</v>
      </c>
      <c r="AM23" s="432">
        <f>AL23*AJ23</f>
        <v>1490.2937280000003</v>
      </c>
      <c r="AN23" s="529"/>
      <c r="AO23" s="319">
        <f>IF(AND(AG23=AV50,AI23=AT51),AJ23*'Basic rates'!D22)+IF(AND(AG23=AV50,AI23=AT52),AJ23*'Basic rates'!D23)+IF(AND(AG23=AV50,AI23=AT53),AJ23*'Basic rates'!D24)+IF(AND(AG23=AW50,AI23=AT51),AJ23*'Basic rates'!E22)+IF(AND(AG23=AW50,AI23=AT52),AJ23*'Basic rates'!E23)+IF(AND(AG23=AW50,AI23=AT53),AJ23*'Basic rates'!E24)+IF(AND(AG23=AX50,AI23=AT51),AJ23*'Basic rates'!F22)+IF(AND(AG23=AX50,AI23=AT52),AJ23*'Basic rates'!F23)+IF(AND(AG23=AX50,AI23=AT53),AJ23*'Basic rates'!F24)</f>
        <v>25.089120000000001</v>
      </c>
      <c r="AP23" s="249">
        <f t="shared" si="1"/>
        <v>5.0178240000000001</v>
      </c>
      <c r="AQ23" s="105"/>
      <c r="AR23" s="86"/>
      <c r="AS23" s="323"/>
      <c r="AT23" s="16"/>
      <c r="AU23" s="568"/>
      <c r="AV23" s="295"/>
      <c r="AW23" s="221" t="s">
        <v>236</v>
      </c>
      <c r="AX23" s="568">
        <v>14</v>
      </c>
      <c r="AY23" s="327"/>
      <c r="AZ23" s="327"/>
      <c r="BA23" s="327"/>
      <c r="BB23" s="197"/>
      <c r="BC23" s="197"/>
      <c r="BD23" s="197"/>
      <c r="BE23" s="197"/>
      <c r="BF23" s="327"/>
      <c r="BG23" s="327"/>
      <c r="BH23" s="327"/>
      <c r="BI23" s="16"/>
      <c r="BJ23" s="327"/>
      <c r="BK23" s="16"/>
      <c r="BL23" s="16"/>
      <c r="BM23" s="17"/>
      <c r="BW23" s="11">
        <v>1</v>
      </c>
      <c r="BX23" s="11">
        <f>BW23+1</f>
        <v>2</v>
      </c>
      <c r="BY23" s="11">
        <f t="shared" ref="BY23:CH23" si="2">BX23+1</f>
        <v>3</v>
      </c>
      <c r="BZ23" s="11">
        <f t="shared" si="2"/>
        <v>4</v>
      </c>
      <c r="CA23" s="11">
        <f t="shared" si="2"/>
        <v>5</v>
      </c>
      <c r="CB23" s="11">
        <f t="shared" si="2"/>
        <v>6</v>
      </c>
      <c r="CC23" s="11">
        <f t="shared" si="2"/>
        <v>7</v>
      </c>
      <c r="CD23" s="11">
        <f t="shared" si="2"/>
        <v>8</v>
      </c>
      <c r="CE23" s="11">
        <f t="shared" si="2"/>
        <v>9</v>
      </c>
      <c r="CF23" s="11">
        <f t="shared" si="2"/>
        <v>10</v>
      </c>
      <c r="CG23" s="11">
        <f t="shared" si="2"/>
        <v>11</v>
      </c>
      <c r="CH23" s="11">
        <f t="shared" si="2"/>
        <v>12</v>
      </c>
    </row>
    <row r="24" spans="1:122" ht="12.75" x14ac:dyDescent="0.2">
      <c r="A24" s="75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536" t="s">
        <v>325</v>
      </c>
      <c r="AH24" s="506" t="s">
        <v>23</v>
      </c>
      <c r="AI24" s="5"/>
      <c r="AJ24" s="5">
        <f>+IF(AH24=AX176,+AH11)+IF(AH24=AX177,0)</f>
        <v>0</v>
      </c>
      <c r="AK24" s="5" t="s">
        <v>44</v>
      </c>
      <c r="AL24" s="252">
        <f>+IF(AH24=BA14,BB14)+IF(AH24=BA15,BB15)</f>
        <v>0</v>
      </c>
      <c r="AM24" s="432">
        <f>+AL24*AJ24</f>
        <v>0</v>
      </c>
      <c r="AN24" s="529"/>
      <c r="AO24" s="319"/>
      <c r="AP24" s="249"/>
      <c r="AQ24" s="105"/>
      <c r="AR24" s="105"/>
      <c r="AS24" s="323"/>
      <c r="AT24" s="16"/>
      <c r="AU24" s="568"/>
      <c r="AV24" s="299"/>
      <c r="AW24" s="221" t="s">
        <v>237</v>
      </c>
      <c r="AX24" s="568">
        <v>14</v>
      </c>
      <c r="AY24" s="327"/>
      <c r="AZ24" s="359"/>
      <c r="BA24" s="327"/>
      <c r="BB24" s="197"/>
      <c r="BC24" s="197"/>
      <c r="BD24" s="197"/>
      <c r="BE24" s="197"/>
      <c r="BF24" s="327"/>
      <c r="BG24" s="327"/>
      <c r="BH24" s="327"/>
      <c r="BI24" s="16"/>
      <c r="BJ24" s="327"/>
      <c r="BK24" s="16"/>
      <c r="BL24" s="16"/>
      <c r="BM24" s="17"/>
      <c r="BW24" s="245">
        <f>IF(AND(AH27=AY64,AH9&lt;=2,AH10&lt;=8),4,0)</f>
        <v>4</v>
      </c>
      <c r="BX24" s="245">
        <f>IF(AND(AH27=AY64,AH9&lt;=2,AH10&gt;8,AH10&lt;=11),5,0)</f>
        <v>0</v>
      </c>
      <c r="BY24" s="245">
        <f>IF(AND(AH27=AY64,AH9&gt;2,AH9&lt;=2.5,AH10&lt;=6.5),4,0)</f>
        <v>0</v>
      </c>
      <c r="BZ24" s="245">
        <f>IF(AND(AH27=AY64,AH9&gt;2,AH9&lt;=2.5,AH10&gt;6.5,AH10&lt;=11),5,0)</f>
        <v>0</v>
      </c>
      <c r="CA24" s="245">
        <f>IF(AND(AH27=AY64,AH9&gt;2.5,AH9&lt;=3,AH10&lt;=6.5),4,0)</f>
        <v>0</v>
      </c>
      <c r="CB24" s="245">
        <f>IF(AND(AH27=AY64,AH9&gt;2.5,AH9&lt;=3,AH10&gt;6.5,AH10&lt;=8),5,0)</f>
        <v>0</v>
      </c>
      <c r="CC24" s="245">
        <f>IF(AND(AH27=AY64,AH9&gt;2.5,AH9&lt;=3,AH10&gt;8,AH10&lt;=9),6,0)</f>
        <v>0</v>
      </c>
      <c r="CD24" s="245">
        <f>IF(AND(AH27=AY64,AH9&gt;2.5,AH9&lt;=3,AH10&gt;9,AH10&lt;=11),8,0)</f>
        <v>0</v>
      </c>
      <c r="CE24" s="245">
        <f>IF(AND(AH27=AY64,AH9&gt;3,AH9&lt;=3.5,AH10&lt;=5.5),4,0)</f>
        <v>0</v>
      </c>
      <c r="CF24" s="245">
        <f>IF(AND(AH27=AY64,AH9&gt;3,AH9&lt;=3.5,AH10&gt;5.5,AH10&lt;=8.5),5,0)</f>
        <v>0</v>
      </c>
      <c r="CG24" s="245">
        <f>IF(AND(AH27=AY64,AH9&gt;3,AH9&lt;=3.5,AH10&gt;8.5,AH10&lt;=9.5),6,0)</f>
        <v>0</v>
      </c>
      <c r="CH24" s="245">
        <f>IF(AND(AH27=AY64,AH9&gt;3,AH9&lt;=3.5,AH10&gt;9.5,AH10&lt;=11),8,0)</f>
        <v>0</v>
      </c>
    </row>
    <row r="25" spans="1:122" s="75" customFormat="1" x14ac:dyDescent="0.2">
      <c r="AG25" s="536" t="s">
        <v>327</v>
      </c>
      <c r="AH25" s="506" t="s">
        <v>23</v>
      </c>
      <c r="AI25" s="5"/>
      <c r="AJ25" s="5">
        <f>+IF(AH25=AX176,+AH11)+IF(AH25=2,0)</f>
        <v>0</v>
      </c>
      <c r="AK25" s="5" t="s">
        <v>44</v>
      </c>
      <c r="AL25" s="252">
        <f>+IF(AH25=BA14,BD14)+IF(AH25=BA15,BD15)</f>
        <v>0</v>
      </c>
      <c r="AM25" s="432">
        <f>+AL25*AJ25</f>
        <v>0</v>
      </c>
      <c r="AN25" s="529"/>
      <c r="AO25" s="319"/>
      <c r="AP25" s="249"/>
      <c r="AQ25" s="197"/>
      <c r="AR25" s="105"/>
      <c r="AS25" s="323"/>
      <c r="AT25" s="16"/>
      <c r="AU25" s="568"/>
      <c r="AV25" s="299"/>
      <c r="AW25" s="221" t="s">
        <v>238</v>
      </c>
      <c r="AX25" s="568">
        <v>14</v>
      </c>
      <c r="AY25" s="327"/>
      <c r="AZ25" s="324"/>
      <c r="BA25" s="327"/>
      <c r="BB25" s="197"/>
      <c r="BC25" s="197"/>
      <c r="BD25" s="197"/>
      <c r="BE25" s="197"/>
      <c r="BF25" s="327"/>
      <c r="BG25" s="327"/>
      <c r="BH25" s="327"/>
      <c r="BI25" s="16"/>
      <c r="BJ25" s="327"/>
      <c r="BK25" s="16"/>
      <c r="BL25" s="16"/>
      <c r="BM25" s="17"/>
      <c r="BN25" s="1"/>
      <c r="BO25" s="1"/>
      <c r="BP25" s="1"/>
      <c r="BQ25" s="1"/>
      <c r="BR25" s="1"/>
      <c r="BS25">
        <v>1</v>
      </c>
      <c r="BT25" s="515">
        <f>IF(AND(AH27=AY64,AH9&gt;11.5,AH9&lt;=12,AH10&lt;=2),10,0)</f>
        <v>0</v>
      </c>
      <c r="BU25"/>
      <c r="BV25"/>
      <c r="BW25" s="518">
        <f>IF(AND(AH27=AY64,AH9&gt;3.5,AH9&lt;=4,AH10&lt;=3.5),4,0)</f>
        <v>0</v>
      </c>
      <c r="BX25" s="518">
        <f>IF(AND(AH27=AY64,AH9&gt;3.5,AH9&lt;=4,AH10&gt;3.5,AH10&lt;=7),5,0)</f>
        <v>0</v>
      </c>
      <c r="BY25" s="518">
        <f>IF(AND(AH27=AY64,AH9&gt;3.5,AH9&lt;=4,AH10&gt;7,AH10&lt;=9.5),6,0)</f>
        <v>0</v>
      </c>
      <c r="BZ25" s="518">
        <f>IF(AND(AH27=AY64,AH9&gt;3.5,AH9&lt;=4,AH10&gt;9.5,AH10&lt;=11),8,0)</f>
        <v>0</v>
      </c>
      <c r="CA25" s="518">
        <f>IF(AND(AH27=AY64,AH9&gt;4,AH9&lt;=4.5,AH10&lt;=2.5),4,0)</f>
        <v>0</v>
      </c>
      <c r="CB25" s="518">
        <f>IF(AND(AH27=AY64,AH9&gt;4,AH9&lt;=4.5,AH10&gt;2.5,AH10&lt;=5.5),5,0)</f>
        <v>0</v>
      </c>
      <c r="CC25" s="245">
        <f>IF(AND(AH27=AY64,AH9&gt;4,AH9&lt;=4.5,AH10&gt;5.5,AH10&lt;=9),6,0)</f>
        <v>0</v>
      </c>
      <c r="CD25" s="245">
        <f>IF(AND(AH27=AY64,AH9&gt;4,AH9&lt;=4.5,AH10&gt;9,AH10&lt;=11),8,0)</f>
        <v>0</v>
      </c>
      <c r="CE25" s="245">
        <f>IF(AND(AH27=AY64,AH9&gt;4.5,AH9&lt;=5,AH10&lt;=2.5),4,0)</f>
        <v>0</v>
      </c>
      <c r="CF25" s="245">
        <f>IF(AND(AH27=AY64,AH9&gt;4.5,AH9&lt;=5,AH10&gt;2.5,AH10&lt;=4),5,0)</f>
        <v>0</v>
      </c>
      <c r="CG25" s="245">
        <f>IF(AND(AH27=AY64,AH9&gt;4.5,AH9&lt;=5,AH10&gt;4,AH10&lt;=7.5),6,0)</f>
        <v>0</v>
      </c>
      <c r="CH25" s="245">
        <f>IF(AND(AH27=AY64,AH9&gt;4.5,AH9&lt;=5,AH10&gt;7.5,AH10&lt;=10),8,0)</f>
        <v>0</v>
      </c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</row>
    <row r="26" spans="1:122" s="75" customFormat="1" x14ac:dyDescent="0.2">
      <c r="AG26" s="702" t="s">
        <v>169</v>
      </c>
      <c r="AH26" s="505"/>
      <c r="AI26" s="5">
        <f>AI22</f>
        <v>2.1</v>
      </c>
      <c r="AJ26" s="5">
        <f>AI26*1</f>
        <v>2.1</v>
      </c>
      <c r="AK26" s="5" t="s">
        <v>52</v>
      </c>
      <c r="AL26" s="252">
        <f>IF(AND(AH14=AY57,AH9&lt;=5),AV58)+IF(AND(AH14=AY57,AH9&gt;5,AH9&lt;=6),AV59)+IF(AND(AH14=AY57,AH9&gt;6),AV60)+IF(AND(AH14=AY58,AH9&lt;=5),AV58)+IF(AND(AH14=AY58,AH9&gt;5,AH9&lt;=6),AV59)+IF(AND(AH14=AY58,AH9&gt;6),AV60)+IF(AND(AH14=AY60,AH9&lt;=5),AV58)+IF(AND(AH14=AY60,AH9&gt;5,AH9&lt;=6),AV59)+IF(AND(AH14=AY60,AH9&gt;6),AV60)+IF(AND(AH14=AY59,AH9&lt;=5),AW58)+IF(AND(AH14=AY59,AH9&gt;5,AH9&lt;=6),AW59)+IF(AND(AH14=AY59,AH9&gt;6),AW60)</f>
        <v>331.31419199999999</v>
      </c>
      <c r="AM26" s="432">
        <f>AL26*AJ26</f>
        <v>695.75980319999996</v>
      </c>
      <c r="AN26" s="529"/>
      <c r="AO26" s="319">
        <f>IF(AND(AH14=AY57,AH9&lt;=5),AJ26*'Basic rates'!D27)+IF(AND(AH14=AY57,AH9&gt;5,AH9&lt;=6),AJ26*'Basic rates'!D28)+IF(AND(AH14=AY57,AH9&gt;6),AJ26*'Basic rates'!D29)+IF(AND(AH14=AY58,AH9&lt;=5),AJ26*'Basic rates'!D27)+IF(AND(AH14=AY58,AH9&gt;5,AH9&lt;=6),AJ26*'Basic rates'!D28)+IF(AND(AH14=AY58,AH9&gt;6),AJ26*'Basic rates'!D29)+IF(AND(AH14=AY60,AH9&lt;=5),AJ26*'Basic rates'!D27)+IF(AND(AH14=AY60,AH9&gt;5,AH9&lt;=6),AJ26*'Basic rates'!D28)+IF(AND(AH14=AY60,AH9&gt;6),AJ26*'Basic rates'!D29)+IF(AND(AH14=AY59,AH9&lt;=5),AJ26*'Basic rates'!D27)+IF(AND(AH14=AY59,AH9&gt;5,AH9&lt;=6),AJ26*'Basic rates'!D28)+IF(AND(AH14=AY59,AH9&gt;6),AJ26*'Basic rates'!D29)</f>
        <v>11.402160000000002</v>
      </c>
      <c r="AP26" s="249">
        <f t="shared" si="1"/>
        <v>2.2804320000000002</v>
      </c>
      <c r="AR26" s="197"/>
      <c r="AS26" s="323"/>
      <c r="AT26" s="16"/>
      <c r="AU26" s="16"/>
      <c r="AV26" s="324"/>
      <c r="AW26" s="327"/>
      <c r="AX26" s="324"/>
      <c r="AY26" s="327"/>
      <c r="AZ26" s="327"/>
      <c r="BA26" s="327"/>
      <c r="BB26" s="197"/>
      <c r="BC26" s="197"/>
      <c r="BD26" s="197"/>
      <c r="BE26" s="197"/>
      <c r="BF26" s="327"/>
      <c r="BG26" s="327"/>
      <c r="BH26" s="327"/>
      <c r="BI26" s="16"/>
      <c r="BJ26" s="327"/>
      <c r="BK26" s="16"/>
      <c r="BL26" s="16"/>
      <c r="BM26" s="17"/>
      <c r="BN26" s="1"/>
      <c r="BO26" s="1"/>
      <c r="BP26" s="1"/>
      <c r="BQ26" s="1"/>
      <c r="BR26" s="1"/>
      <c r="BS26">
        <v>2</v>
      </c>
      <c r="BT26" s="515">
        <f>IF(AND(AH27=AY64,AH9&gt;11.5,AH9&lt;=12,AH10&gt;2,AH10&lt;=5.5),12,0)</f>
        <v>0</v>
      </c>
      <c r="BU26"/>
      <c r="BV26"/>
      <c r="BW26" s="518">
        <f>IF(AND(AH27=AY64,AH9&gt;4.5,AH9&lt;=5,AH10&gt;10.5,AH10&lt;=11),10,0)</f>
        <v>0</v>
      </c>
      <c r="BX26" s="518">
        <f>IF(AND(AH27=AY64,AH9&gt;5,AH9&lt;=5.5,AH10&lt;=2.5),5,0)</f>
        <v>0</v>
      </c>
      <c r="BY26" s="518">
        <f>IF(AND(AH27=AY64,AH9&gt;5,AH9&lt;=5.5,AH10&gt;2.5,AH10&lt;=7.5),6,0)</f>
        <v>0</v>
      </c>
      <c r="BZ26" s="518">
        <f>IF(AND(AH27=AY64,AH9&gt;5,AH9&lt;=5.5,AH10&gt;7.5,AH10&lt;=10),8,0)</f>
        <v>0</v>
      </c>
      <c r="CA26" s="518">
        <f>IF(AND(AH27=AY64,AH9&gt;5,AH9&lt;=5.5,AH10&gt;10,AH10&lt;=11),10,0)</f>
        <v>0</v>
      </c>
      <c r="CB26" s="518">
        <f>IF(AND(AH27=AY64,AH9&gt;5.5,AH9&lt;=6,AH10&lt;=6),6,0)</f>
        <v>0</v>
      </c>
      <c r="CC26" s="245">
        <f>IF(AND(AH27=AY64,AH9&gt;5.5,AH9&lt;=6,AH10&gt;6,AH10&lt;=10.5),8,0)</f>
        <v>0</v>
      </c>
      <c r="CD26" s="245">
        <f>IF(AND(AH27=AY64,AH9&gt;5.5,AH9&lt;=6,AH10&gt;10.5,AH10&lt;=11),10,0)</f>
        <v>0</v>
      </c>
      <c r="CE26" s="245">
        <f>IF(AND(AH27=AY64,AH9&gt;6,AH9&lt;=6.5,AH10&lt;=4),6,0)</f>
        <v>0</v>
      </c>
      <c r="CF26" s="245">
        <f>IF(AND(AH27=AY64,AH9&gt;6,AH9&lt;=6.5,AH10&gt;4,AH10&lt;=10),8,0)</f>
        <v>0</v>
      </c>
      <c r="CG26" s="245">
        <f>IF(AND(AH27=AY64,AH9&gt;6,AH9&lt;=6.5,AH10&gt;10,AH10&lt;=11),10,0)</f>
        <v>0</v>
      </c>
      <c r="CH26" s="245">
        <f>IF(AND(AH27=AY64,AH9&gt;6.5,AH9&lt;=7,AH10&lt;=3),6,0)</f>
        <v>0</v>
      </c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</row>
    <row r="27" spans="1:122" s="75" customFormat="1" x14ac:dyDescent="0.2">
      <c r="AG27" s="38" t="s">
        <v>34</v>
      </c>
      <c r="AH27" s="574">
        <f>IF(AH15=AW14,AY64)+IF(AH15=AW15,AY64)+IF(AH15=AW16,AY64)+IF(AH15=AW17,AY64)+IF(AH15=AW18,AY64)+IF(AH15=AW19,AY64)+IF(AH15=AW20,AY65)+IF(AH15=AW21,AY65)+IF(AH15=AW22,AY65)+IF(AH15=AW23,AY64)+IF(AH15=AW24,AY64)+IF(AH15=AW25,AY64)</f>
        <v>758885</v>
      </c>
      <c r="AI27" s="5">
        <f>AH9+0.3</f>
        <v>2.2999999999999998</v>
      </c>
      <c r="AJ27" s="559">
        <f>IF(AND(AH27=AY65,AH9&lt;=4,AH10&lt;=12.1),6,0)+IF(AND(AH27=AY65,AH9&gt;4,AH9&lt;=4.5,AH10&lt;=10),6,0)+IF(AND(AH27=AY65,AH9&gt;4,AH9&lt;=4.5,AH10&gt;10,AH10&lt;=12.01),8,0)+IF(AND(AH27=AY65,AH9&gt;4.5,AH9&lt;=5,AH10&lt;=7),6,0)+IF(AND(AH27=AY65,AH9&gt;4.5,AH9&lt;=5,AH10&gt;7,AH10&lt;=12.01),8,0)+IF(AND(AH27=AY65,AH9&gt;5,AH9&lt;=5.5,AH10&lt;=5),6,0)+IF(AND(AH27=AY65,AH9&gt;5,AH9&lt;=5.5,AH10&gt;5,AH10&lt;=12.01),8,0)+IF(AND(AH27=AY65,AH9&gt;5.5,AH9&lt;=6,AH10&lt;=4),6,0)+IF(AND(AH27=AY65,AH9&gt;5.5,AH9&lt;=6,AH10&gt;4,AH10&lt;=12.01),8,0)+IF(AND(AH27=AY65,AH9&gt;6,AH9&lt;=6.5,AH10&lt;=9),8,0)+IF(AND(AH27=AY65,AH9&gt;6,AH9&lt;=6.5,AH10&gt;9,AH10&lt;=12.01),10,0)+IF(AND(AH27=AY65,AH9&gt;6.5,AH9&lt;=7,AH10&lt;=6.5),8,0)+IF(AND(AH27=AY65,AH9&gt;6.5,AH9&lt;=7,AH10&gt;6.5,AH10&lt;=12.01),10,0)+IF(AND(AH27=AY65,AH9&gt;7,AH9&lt;=7.5,AH10&lt;=5.5),8,0)+IF(AND(AH27=AY65,AH9&gt;7,AH9&lt;=7.5,AH10&gt;5.5,AH10&lt;=12.01),10,0)+IF(AND(AH27=AY65,AH9&gt;7.5,AH9&lt;=8,AH10&lt;=4),8,0)+IF(AND(AH27=AY65,AH9&gt;7.5,AH9&lt;=8,AH10&gt;4,AH10&lt;=12.01),10,0)+IF(AND(AH27=AY65,AH9&gt;8,AH9&lt;=8.5,AH10&lt;=3),8,0)+IF(AND(AH27=AY65,AH9&gt;8,AH9&lt;=8.5,AH10&gt;3,AH10&lt;=7.5),10,0)+IF(AND(AH27=AY65,AH9&gt;8,AH9&lt;=8.5,AH10&gt;7.5,AH10&lt;=12.01),12,0)+IF(AND(AH27=AY65,AH9&gt;8.5,AH9&lt;=9,AH10&lt;=3),8,0)+IF(AND(AH27=AY65,AH9&gt;8.5,AH9&lt;=9,AH10&gt;3,AH10&lt;=6),10,0)+IF(AND(AH27=AY65,AH9&gt;8.5,AH9&lt;=9,AH10&gt;6,AH10&lt;=12.01),12,0)+IF(AND(AH27=AY65,AH9&gt;9,AH9&lt;=9.5,AH10&lt;=5),10,0)+IF(AND(AH27=AY65,AH9&gt;9,AH9&lt;=9.5,AH10&gt;5,AH10&lt;=12.01),12,0)+IF(AND(AH27=AY65,AH9&gt;9.5,AH9&lt;=10,AH10&lt;=4),10,0)+IF(AND(AH27=AY65,AH9&gt;9.5,AH9&lt;=10,AH10&gt;4,AH10&lt;=8.5),12,0)+IF(AND(AH27=AY65,AH9&gt;9.5,AH9&lt;=10,AH10&gt;8.5,AH10&lt;=12.01),14,0)+IF(AND(AH27=AY65,AH9&gt;10,AH9&lt;=10.5,AH10&lt;=3.5),10,0)+IF(AND(AH27=AY65,AH9&gt;10,AH9&lt;=10.5,AH10&gt;3.5,AH10&lt;=5.5),12,0)+IF(AND(AH27=AY65,AH9&gt;10,AH9&lt;=10.5,AH10&gt;5.5,AH10&lt;=12.01),14,0)+IF(AND(AH27=AY65,AH9&gt;10.5,AH9&lt;=11,AH10&lt;=2.5),10,0)+IF(AND(AH27=AY65,AH9&gt;10.5,AH9&lt;=11,AH10&gt;2.5,AH10&lt;=5),12,0)+IF(AND(AH27=AY65,AH9&gt;10.5,AH9&lt;=11,AH10&gt;5,AH10&lt;=12.01),14,0)+IF(AND(AH27=AY65,AH9&gt;11,AH9&lt;=14.01,AH10&lt;=3.5),12,0)+IF(AND(AH27=AY65,AH9&gt;11,AH9&lt;=14.01,AH10&gt;3.5,AH10&lt;=12.01),14,0)+IF(AND(AH27=AY64,AH9&lt;=2,AH10&lt;=8),4,0)+IF(AND(AH27=AY64,AH9&lt;=2,AH10&gt;8,AH10&lt;=12.01),5,0)+IF(AND(AH27=AY64,AH9&gt;2,AH9&lt;=2.5,AH10&lt;=6.5),4,0)+IF(AND(AH27=AY64,AH9&gt;2,AH9&lt;=2.5,AH10&gt;6.5,AH10&lt;=12.01),5,0)+IF(AND(AH27=AY64,AH9&gt;2.5,AH9&lt;=3,AH10&lt;=6.5),4,0)+IF(AND(AH27=AY64,AH9&gt;2.5,AH9&lt;=3,AH10&gt;6.5,AH10&lt;=8),5,0)+IF(AND(AH27=AY64,AH9&gt;2.5,AH9&lt;=3,AH10&gt;8,AH10&lt;=9),6,0)+IF(AND(AH27=AY64,AH9&gt;2.5,AH9&lt;=3,AH10&gt;9,AH10&lt;=12.01),8,0)+IF(AND(AH27=AY64,AH9&gt;3,AH9&lt;=3.5,AH10&lt;=5.5),4,0)+IF(AND(AH27=AY64,AH9&gt;3,AH9&lt;=3.5,AH10&gt;5.5,AH10&lt;=8.5),5,0)+IF(AND(AH27=AY64,AH9&gt;3,AH9&lt;=3.5,AH10&gt;8.5,AH10&lt;=9.5),6,0)+IF(AND(AH27=AY64,AH9&gt;3,AH9&lt;=3.5,AH10&gt;9.5,AH10&lt;=12.01),8,0)+IF(AND(AH27=AY64,AH9&gt;3.5,AH9&lt;=4,AH10&lt;=3.5),4,0)+IF(AND(AH27=AY64,AH9&gt;3.5,AH9&lt;=4,AH10&gt;3.5,AH10&lt;=7),5,0)+IF(AND(AH27=AY64,AH9&gt;3.5,AH9&lt;=4,AH10&gt;7,AH10&lt;=9.5),6,0)+IF(AND(AH27=AY64,AH9&gt;3.5,AH9&lt;=4,AH10&gt;9.5,AH10&lt;=12.01),8,0)+IF(AND(AH27=AY64,AH9&gt;4,AH9&lt;=4.5,AH10&lt;=2.5),4,0)+IF(AND(AH27=AY64,AH9&gt;4,AH9&lt;=4.5,AH10&gt;2.5,AH10&lt;=5.5),5,0)+IF(AND(AH27=AY64,AH9&gt;4,AH9&lt;=4.5,AH10&gt;5.5,AH10&lt;=9),6,0)+IF(AND(AH27=AY64,AH9&gt;4,AH9&lt;=4.5,AH10&gt;9,AH10&lt;=12.01),8,0)+IF(AND(AH27=AY64,AH9&gt;4.5,AH9&lt;=5,AH10&lt;=2.5),4,0)+IF(AND(AH27=AY64,AH9&gt;4.5,AH9&lt;=5,AH10&gt;2.5,AH10&lt;=4),5,0)+IF(AND(AH27=AY64,AH9&gt;4.5,AH9&lt;=5,AH10&gt;4,AH10&lt;=7.5),6,0)+IF(AND(AH27=AY64,AH9&gt;4.5,AH9&lt;=5,AH10&gt;7.5,AH10&lt;=10),8,0)+IF(AND(AH27=AY64,AH9&gt;4.5,AH9&lt;=5,AH10&gt;10.5,AH10&lt;=12.01),10,0)+IF(AND(AH27=AY64,AH9&gt;5,AH9&lt;=5.5,AH10&lt;=2.5),5,0)+IF(AND(AH27=AY64,AH9&gt;5,AH9&lt;=5.5,AH10&gt;2.5,AH10&lt;=7.5),6,0)+IF(AND(AH27=AY64,AH9&gt;5,AH9&lt;=5.5,AH10&gt;7.5,AH10&lt;=10),8,0)+IF(AND(AH27=AY64,AH9&gt;5,AH9&lt;=5.5,AH10&gt;10,AH10&lt;=12.01),10,0)+IF(AND(AH27=AY64,AH9&gt;5.5,AH9&lt;=6,AH10&lt;=6),6,0)+IF(AND(AH27=AY64,AH9&gt;5.5,AH9&lt;=6,AH10&gt;6,AH10&lt;=10.5),8,0)+IF(AND(AH27=AY64,AH9&gt;5.5,AH9&lt;=6,AH10&gt;10.5,AH10&lt;=12.01),10,0)+IF(AND(AH27=AY64,AH9&gt;6,AH9&lt;=6.5,AH10&lt;=4),6,0)+IF(AND(AH27=AY64,AH9&gt;6,AH9&lt;=6.5,AH10&gt;4,AH10&lt;=10),8,0)+IF(AND(AH27=AY64,AH9&gt;6,AH9&lt;=6.5,AH10&gt;10,AH10&lt;=12.01),10,0)+IF(AND(AH27=AY64,AH9&gt;6.5,AH9&lt;=7,AH10&lt;=3),6,0)+IF(AND(AH27=AY64,AH9&gt;6.5,AH9&lt;=7,AH10&gt;3,AH10&lt;=10),8,0)+IF(AND(AH27=AY64,AH9&gt;6.5,AH9&lt;=7,AH10&gt;10,AH10&lt;=12.01),10,0)+IF(AND(AH27=AY64,AH9&gt;7,AH9&lt;=7.5,AH10&lt;=2),6,0)+IF(AND(AH27=AY64,AH9&gt;7,AH9&lt;=7.5,AH10&gt;2,AH10&lt;=8),8,0)+IF(AND(AH27=AY64,AH9&gt;7,AH9&lt;=7.5,AH10&gt;8,AH10&lt;=12.01),10,0)+IF(AND(AH27=AY64,AH9&gt;7.5,AH9&lt;=8,AH10&lt;=6),8,0)+IF(AND(AH27=AY64,AH9&gt;7.5,AH9&lt;=8,AH10&gt;6,AH10&lt;=10.5),10,0)+IF(AND(AH27=AY64,AH9&gt;7.5,AH9&lt;=8,AH10&gt;10.5,AH10&lt;=12.01),12,0)+IF(AND(AH27=AY64,AH9&gt;8,AH9&lt;=8.5,AH10&lt;=6),8,0)+IF(AND(AH27=AY64,AH9&gt;8,AH9&lt;=8.5,AH10&gt;6,AH10&lt;=10),10,0)+IF(AND(AH27=AY64,AH9&gt;8,AH9&lt;=8.5,AH10&gt;10,AH10&lt;=12.01),12,0)+IF(AND(AH27=AY64,AH9&gt;8.5,AH9&lt;=9,AH10&lt;=4),8,0)+IF(AND(AH27=AY64,AH9&gt;8.5,AH9&lt;=9,AH10&gt;4,AH10&lt;=9),10,0)+IF(AND(AH27=AY64,AH9&gt;8.5,AH9&lt;=9,AH10&gt;9,AH10&lt;=12.01),12,0)+IF(AND(AH27=AY64,AH9&gt;9,AH9&lt;=9.5,AH10&lt;=2.5),8,0)+IF(AND(AH27=AY64,AH9&gt;9,AH9&lt;=9.5,AH10&gt;2.5,AH10&lt;=7),10,0)+IF(AND(AH27=AY64,AH9&gt;9,AH9&lt;=9.5,AH10&gt;7,AH10&lt;=12.01),12,0)+IF(AND(AH27=AY64,AH9&gt;9,AH9&lt;=9.5,AH10&lt;=2.5),8,0)+IF(AND(AH27=AY64,AH9&gt;9.5,AH9&lt;=10,AH10&lt;=6),10,0)+IF(AND(AH27=AY64,AH9&gt;9.5,AH9&lt;=10,AH10&gt;6,AH10&lt;=12.01),12,0)+IF(AND(AH27=AY64,AH9&gt;10,AH9&lt;=10.5,AH10&lt;=4),10,0)+IF(AND(AH27=AY64,AH9&gt;10,AH9&lt;=10.5,AH10&gt;4,AH10&lt;=10),12,0)+IF(AND(AH27=AY64,AH9&gt;10,AH9&lt;=10.5,AH10&gt;10,AH10&lt;=12.01),14,0)+IF(AND(AH27=AY64,AH9&gt;10.5,AH9&lt;=11,AH10&lt;=4),10,0)+IF(AND(AH27=AY64,AH9&gt;10.5,AH9&lt;=11,AH10&gt;4,AH10&lt;=8),12,0)+IF(AND(AH27=AY64,AH9&gt;10.5,AH9&lt;=11,AH10&gt;8,AH10&lt;=12.01),14,0)+IF(AND(AH27=AY64,AH9&gt;11,AH9&lt;=11.5,AH10&lt;=3),10,0)+IF(AND(AH27=AY64,AH9&gt;11,AH9&lt;=11.5,AH10&gt;3,AH10&lt;=7),12,0)+IF(AND(AH27=AY64,AH9&gt;11,AH9&lt;=11.5,AH10&gt;7,AH10&lt;=12.01),14,0)+IF(AND(AH27=AY64,AH9&gt;11.5,AH9&lt;=14.01,AH10&lt;=2),10,0)+IF(AND(AH27=AY64,AH9&gt;11.5,AH9&lt;=14.01,AH10&gt;2,AH10&lt;=5.5),12,0)+IF(AND(AH27=AY64,AH9&gt;11.5,AH9&lt;=14.01,AH10&gt;5.5,AH10&lt;=12.01),14,0)</f>
        <v>4</v>
      </c>
      <c r="AK27" s="5" t="s">
        <v>53</v>
      </c>
      <c r="AL27" s="252">
        <f>IF(AJ27=AU64,AW64)+IF(AJ27=AU65,AW65)+IF(AJ27=AU66,AW66)+IF(AJ27=AU67,AW67)+IF(AJ27=AU68,AW68)+IF(AJ27=AU70,AW70)+IF(AJ27=AU69,AW69)</f>
        <v>715.5</v>
      </c>
      <c r="AM27" s="432">
        <f>+AL27*AI27</f>
        <v>1645.6499999999999</v>
      </c>
      <c r="AN27" s="529"/>
      <c r="AO27" s="319">
        <f>+IF(AI52=BE193,0,AQ27)</f>
        <v>28.749999999999996</v>
      </c>
      <c r="AP27" s="249">
        <f t="shared" si="1"/>
        <v>5.7499999999999991</v>
      </c>
      <c r="AQ27" s="662">
        <f>+VLOOKUP(AJ27,AU64:AV70,2,)*AI27</f>
        <v>28.749999999999996</v>
      </c>
      <c r="AR27" s="197"/>
      <c r="AS27" s="329"/>
      <c r="AT27" s="16"/>
      <c r="AU27" s="16"/>
      <c r="AV27" s="324"/>
      <c r="AW27" s="324"/>
      <c r="AX27" s="324"/>
      <c r="AY27" s="324"/>
      <c r="AZ27" s="324"/>
      <c r="BA27" s="324"/>
      <c r="BB27" s="197"/>
      <c r="BC27" s="197"/>
      <c r="BD27" s="197"/>
      <c r="BE27" s="197"/>
      <c r="BF27" s="327"/>
      <c r="BG27" s="327"/>
      <c r="BH27" s="327"/>
      <c r="BI27" s="16"/>
      <c r="BJ27" s="327"/>
      <c r="BK27" s="16"/>
      <c r="BL27" s="16"/>
      <c r="BM27" s="17"/>
      <c r="BN27" s="1"/>
      <c r="BO27" s="1"/>
      <c r="BP27" s="1"/>
      <c r="BQ27" s="1"/>
      <c r="BR27" s="1"/>
      <c r="BS27">
        <v>3</v>
      </c>
      <c r="BT27" s="515">
        <f>IF(AND(AH27=AY64,AH9&gt;11.5,AH9&lt;=12,AH10&gt;5.5,AH10&lt;=11),14,0)</f>
        <v>0</v>
      </c>
      <c r="BU27"/>
      <c r="BV27"/>
      <c r="BW27" s="518">
        <f>IF(AND(AH27=AY64,AH9&gt;6.5,AH9&lt;=7,AH10&gt;3,AH10&lt;=10),8,0)</f>
        <v>0</v>
      </c>
      <c r="BX27" s="518">
        <f>IF(AND(AH27=AY64,AH9&gt;6.5,AH9&lt;=7,AH10&gt;10,AH10&lt;=11),10,0)</f>
        <v>0</v>
      </c>
      <c r="BY27" s="518">
        <f>IF(AND(AH27=AY64,AH9&gt;7,AH9&lt;=7.5,AH10&lt;=2),6,0)</f>
        <v>0</v>
      </c>
      <c r="BZ27" s="518">
        <f>IF(AND(AH27=AY64,AH9&gt;7,AH9&lt;=7.5,AH10&gt;2,AH10&lt;=8),8,0)</f>
        <v>0</v>
      </c>
      <c r="CA27" s="518">
        <f>IF(AND(AH27=AY64,AH9&gt;7,AH9&lt;=7.5,AH10&gt;8,AH10&lt;=11),10,0)</f>
        <v>0</v>
      </c>
      <c r="CB27" s="518">
        <f>IF(AND(AH27=AY64,AH9&gt;7.5,AH9&lt;=8,AH10&lt;=6),8,0)</f>
        <v>0</v>
      </c>
      <c r="CC27" s="245">
        <f>IF(AND(AH27=AY64,AH9&gt;7.5,AH9&lt;=8,AH10&gt;6,AH10&lt;=10.5),10,0)</f>
        <v>0</v>
      </c>
      <c r="CD27" s="245">
        <f>IF(AND(AH27=AY64,AH9&gt;7.5,AH9&lt;=8,AH10&gt;10.5,AH10&lt;=11),12,0)</f>
        <v>0</v>
      </c>
      <c r="CE27" s="245">
        <f>IF(AND(AH27=AY64,AH9&gt;8,AH9&lt;=8.5,AH10&lt;=6),8,0)</f>
        <v>0</v>
      </c>
      <c r="CF27" s="245">
        <f>IF(AND(AH27=AY64,AH9&gt;8,AH9&lt;=8.5,AH10&gt;6,AH10&lt;=10),10,0)</f>
        <v>0</v>
      </c>
      <c r="CG27" s="245">
        <f>IF(AND(AH27=AY64,AH9&gt;8,AH9&lt;=8.5,AH10&gt;10,AH10&lt;=11),12,0)</f>
        <v>0</v>
      </c>
      <c r="CH27" s="245">
        <f>IF(AND(AH27=AY64,AH9&gt;8.5,AH9&lt;=9,AH10&lt;=4),8,0)</f>
        <v>0</v>
      </c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</row>
    <row r="28" spans="1:122" s="75" customFormat="1" x14ac:dyDescent="0.2">
      <c r="AG28" s="38" t="s">
        <v>36</v>
      </c>
      <c r="AH28" s="505"/>
      <c r="AI28" s="5">
        <v>1</v>
      </c>
      <c r="AJ28" s="5">
        <v>1</v>
      </c>
      <c r="AK28" s="5" t="s">
        <v>13</v>
      </c>
      <c r="AL28" s="560">
        <f>IF(AND(OR(AJ52=AT197,AJ52=AT198,AJ52=AT199,AJ52=AT200,AJ52=AT201,AJ52=AT202,AJ52=AT203),AH11&lt;=12),AW73)+IF(AND(OR(AJ52=AT197,AJ52=AT198,AJ52=AT199,AJ52=AT200,AJ52=AT201,AJ52=AT202,AJ52=AT203),AH11&gt;12,AH11&lt;=24),AW74)+IF(AND(OR(AJ52=AT197,AJ52=AT198,AJ52=AT199,AJ52=AT200,AJ52=AT201,AJ52=AT202,AJ52=AT203),AH11&gt;24,AH11&lt;=48),AW75)+IF(AND(OR(AJ52=AT197,AJ52=AT198,AJ52=AT199,AJ52=AT200,AJ52=AT201,AJ52=AT202,AJ52=AT203),AH11&gt;48, AH11&lt;=64),AW76)+IF(AND(OR(AJ52=AT197,AJ52=AT198,AJ52=AT199,AJ52=AT200,AJ52=AT201,AJ52=AT202,AJ52=AT203),AH11&gt;64,AH11&lt;=90),AW77)+IF(AND(OR(AJ52=AT197,AJ52=AT198,AJ52=AT199,AJ52=AT200,AJ52=AT201,AJ52=AT202,AJ52=AT203),AH11&gt;90,AH11&lt;=114),AW78)+IF(AND(OR(AJ52=AT197,AJ52=AT198,AJ52=AT199,AJ52=AT200,AJ52=AT201,AJ52=AT202,AJ52=AT203),AH11&gt;114,AH11&lt;=138),AW79)+IF(AND(OR(AJ52=AT197,AJ52=AT198,AJ52=AT199,AJ52=AT200,AJ52=AT201,AJ52=AT202,AJ52=AT203),AH11&gt;138,AH11&lt;=169),AW80)</f>
        <v>1400</v>
      </c>
      <c r="AM28" s="432">
        <f>AL28*AJ28</f>
        <v>1400</v>
      </c>
      <c r="AN28" s="529"/>
      <c r="AO28" s="319">
        <f>IF(AH11&lt;=12,3.8)+IF(AND(AH11&gt;12,AH11&lt;=24),3.8)+IF(AND(AH11&gt;24,AH11&lt;=48),6.6)+IF(AND(AH11&gt;48,AH11&lt;=64),13.5)+IF(AND(AH11&gt;64,AH11&lt;=90),18.5)</f>
        <v>3.8</v>
      </c>
      <c r="AP28" s="249">
        <f t="shared" si="1"/>
        <v>0.76</v>
      </c>
      <c r="AR28" s="197"/>
      <c r="AS28" s="329"/>
      <c r="AT28" s="16"/>
      <c r="AU28" s="711" t="str">
        <f>+AU14</f>
        <v>MS</v>
      </c>
      <c r="AV28" s="711"/>
      <c r="AW28" s="711"/>
      <c r="AX28" s="711"/>
      <c r="AY28" s="711"/>
      <c r="AZ28" s="711"/>
      <c r="BA28" s="197"/>
      <c r="BB28" s="197"/>
      <c r="BC28" s="197"/>
      <c r="BD28" s="197"/>
      <c r="BE28" s="197"/>
      <c r="BF28" s="327"/>
      <c r="BG28" s="327"/>
      <c r="BH28" s="327"/>
      <c r="BI28" s="16"/>
      <c r="BJ28" s="327"/>
      <c r="BK28" s="16"/>
      <c r="BL28" s="16"/>
      <c r="BM28" s="17"/>
      <c r="BN28" s="1"/>
      <c r="BO28" s="1"/>
      <c r="BP28" s="1"/>
      <c r="BQ28" s="1"/>
      <c r="BR28" s="1"/>
      <c r="BS28">
        <v>4</v>
      </c>
      <c r="BT28" s="515">
        <f>IF(AND(AH27=AY64,AH9&gt;5,AH9&lt;=5.5,AH10&gt;10,AH10&lt;=11),10,0)</f>
        <v>0</v>
      </c>
      <c r="BU28"/>
      <c r="BV28"/>
      <c r="BW28" s="518">
        <f>IF(AND(AH27=AY64,AH9&gt;8.5,AH9&lt;=9,AH10&gt;4,AH10&lt;=9),10,0)</f>
        <v>0</v>
      </c>
      <c r="BX28" s="518">
        <f>IF(AND(AH27=AY64,AH9&gt;8.5,AH9&lt;=9,AH10&gt;9,AH10&lt;=11),12,0)</f>
        <v>0</v>
      </c>
      <c r="BY28" s="518">
        <f>IF(AND(AH27=AY64,AH9&gt;9,AH9&lt;=9.5,AH10&lt;=2.5),8,0)</f>
        <v>0</v>
      </c>
      <c r="BZ28" s="518">
        <f>IF(AND(AH27=AY64,AH9&gt;9,AH9&lt;=9.5,AH10&gt;2.5,AH10&lt;=7),10,0)</f>
        <v>0</v>
      </c>
      <c r="CA28" s="518">
        <f>IF(AND(AH27=AY64,AH9&gt;9,AH9&lt;=9.5,AH10&gt;7,AH10&lt;=11),12,0)</f>
        <v>0</v>
      </c>
      <c r="CB28" s="518">
        <f>IF(AND(AH27=AY64,AH9&gt;9.5,AH9&lt;=10,AH10&lt;=6),10,0)</f>
        <v>0</v>
      </c>
      <c r="CC28" s="245">
        <f>IF(AND(AH27=AY64,AH9&gt;9.5,AH9&lt;=10,AH10&gt;6,AH10&lt;=11),12,0)</f>
        <v>0</v>
      </c>
      <c r="CD28" s="245">
        <f>IF(AND(AH27=AY64,AH9&gt;10,AH9&lt;=10.5,AH10&lt;=4),10,0)</f>
        <v>0</v>
      </c>
      <c r="CE28" s="245">
        <f>IF(AND(AH27=AY64,AH9&gt;10,AH9&lt;=10.5,AH10&gt;4,AH10&lt;=10),12,0)</f>
        <v>0</v>
      </c>
      <c r="CF28" s="245">
        <f>IF(AND(AH27=AY64,AH9&gt;10,AH9&lt;=10.5,AH10&gt;10,AH10&lt;=11),14,0)</f>
        <v>0</v>
      </c>
      <c r="CG28" s="245">
        <f>IF(AND(AH27=AY64,AH9&gt;10.5,AH9&lt;=11,AH10&lt;=4),10,0)</f>
        <v>0</v>
      </c>
      <c r="CH28" s="245">
        <f>IF(AND(AH27=AY64,AH9&gt;10.5,AH9&lt;=11,AH10&gt;4,AH10&lt;=8),12,0)</f>
        <v>0</v>
      </c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</row>
    <row r="29" spans="1:122" s="75" customFormat="1" x14ac:dyDescent="0.2">
      <c r="AG29" s="395">
        <f>IF(OR(AH14=AY58,AH14=AY57,AH14=AY60),BA86,0)</f>
        <v>0</v>
      </c>
      <c r="AH29" s="506"/>
      <c r="AI29" s="559">
        <f>IF(AND(AH9&gt;=2,AH9&lt;=7.85,AH10&lt;=3.5),400)+IF(AND(AH9&gt;=2,AH9&lt;=7.85,AH10&gt;3.5,AH10&lt;=5.5),450)+IF(AND(AH9&gt;=2,AH9&lt;=7.85,AH10&gt;5.5,AH10&lt;=7),525)+IF(AND(AH9&gt;=2,AH9&lt;=7.85,AH10&gt;7,AH10&lt;=9),600)+IF(AND(AH9&gt;=2,AH9&lt;=7.85,AH10&gt;9,AH10&lt;=10),675)+IF(AND(AH9&gt;=2,AH9&lt;=7.85,AH10&gt;10,AH10&lt;=12),750)+IF(AND(AH9&gt;7.85,AH9&lt;=14.01,AH10&gt;7,AH10&lt;=12),750)+IF(AND(AH9&gt;7.85,AH9&lt;=14.01,AH10&lt;=7),600)</f>
        <v>400</v>
      </c>
      <c r="AJ29" s="651">
        <v>1</v>
      </c>
      <c r="AK29" s="652" t="s">
        <v>54</v>
      </c>
      <c r="AL29" s="254">
        <f>IF(AND(OR(AJ52=AT190,AJ52=AT191,AJ52=AT192,AJ52=AT193,AJ52=AT194,AJ52=AT195,AJ52=AT196,AJ52=AT197,AJ52=AT198,AJ52=AT199,AJ52=AT200,AJ52=AT201,AJ52=AT202,AJ52=AT203),AI29=400,AG29=BA86),AX86)+IF(AND(OR(AJ52=AT190,AJ52=AT191,AJ52=AT192,AJ52=AT193,AJ52=AT194,AJ52=AT195,AJ52=AT196,AJ52=AT197,AJ52=AT198,AJ52=AT199,AJ52=AT200,AJ52=AT201,AJ52=AT202,AJ52=AT203),AI29=450,AG29=BA86),AX87)+IF(AND(OR(AJ52=AT190,AJ52=AT191,AJ52=AT192,AJ52=AT193,AJ52=AT194,AJ52=AT195,AJ52=AT196,AJ52=AT197,AJ52=AT198,AJ52=AT199,AJ52=AT200,AJ52=AT201,AJ52=AT202,AJ52=AT203),AI29=525,AG29=BA86),AX88)+IF(AND(OR(AJ52=AT190,AJ52=AT191,AJ52=AT192,AJ52=AT193,AJ52=AT194,AJ52=AT195,AJ52=AT196,AJ52=AT197,AJ52=AT198,AJ52=AT199,AJ52=AT200,AJ52=AT201,AJ52=AT202,AJ52=AT203),AI29=600,AG29=BA86),AX89)+IF(AND(OR(AJ52=AT190,AJ52=AT191,AJ52=AT192,AJ52=AT193,AJ52=AT194,AJ52=AT195,AJ52=AT196,AJ52=AT197,AJ52=AT198,AJ52=AT199,AJ52=AT200,AJ52=AT201,AJ52=AT202,AJ52=AT203),AI29=675,AG29=BA86),AX90)+IF(AND(OR(AJ52=AT190,AJ52=AT191,AJ52=AT192,AJ52=AT193,AJ52=AT194,AJ52=AT195,AJ52=AT196,AJ52=AT197,AJ52=AT198,AJ52=AT199,AJ52=AT200,AJ52=AT201,AJ52=AT202,AJ52=AT203),AI29=750,AG29=BA86),AX91)</f>
        <v>0</v>
      </c>
      <c r="AM29" s="537">
        <f>AL29*AJ29</f>
        <v>0</v>
      </c>
      <c r="AN29" s="529"/>
      <c r="AO29" s="319">
        <f>IF(AND(AG29=BA86,AI29=AV86),'Basic rates'!E52*AJ29,0)+IF(AND(AG29=BA86,AI29=AV87),'Basic rates'!E53*AJ29,0)+IF(AND(AG29=BA86,AI29=AV88),'Basic rates'!E54*AJ29,0)+IF(AND(AG29=BA86,AI29=AV89),'Basic rates'!E55*AJ29,0)+IF(AND(AG29=BA86,AI29=AV90),'Basic rates'!E56*AJ29,0)+IF(AND(AG29=BA86,AI29=AV91),'Basic rates'!E57*AJ29,0)</f>
        <v>0</v>
      </c>
      <c r="AP29" s="249">
        <f t="shared" si="1"/>
        <v>0</v>
      </c>
      <c r="AR29" s="197"/>
      <c r="AS29" s="329"/>
      <c r="AT29" s="197" t="s">
        <v>254</v>
      </c>
      <c r="AU29" s="293" t="s">
        <v>240</v>
      </c>
      <c r="AV29" s="592" t="str">
        <f>AW14</f>
        <v>Corrogated 75mm MS</v>
      </c>
      <c r="AW29" s="593" t="str">
        <f>AW17</f>
        <v>Corrogated 88mm MS</v>
      </c>
      <c r="AX29" s="593" t="str">
        <f>AW20</f>
        <v>Corrogated 115mm MS</v>
      </c>
      <c r="AY29" s="593" t="str">
        <f>AW23</f>
        <v>Flat 85mm MS</v>
      </c>
      <c r="AZ29" s="319" t="s">
        <v>91</v>
      </c>
      <c r="BA29" s="197"/>
      <c r="BB29" s="197"/>
      <c r="BC29" s="197"/>
      <c r="BD29" s="197"/>
      <c r="BE29" s="197"/>
      <c r="BF29" s="327"/>
      <c r="BG29" s="327"/>
      <c r="BH29" s="327"/>
      <c r="BI29" s="16"/>
      <c r="BJ29" s="327"/>
      <c r="BK29" s="16"/>
      <c r="BL29" s="16"/>
      <c r="BM29" s="17"/>
      <c r="BN29" s="1"/>
      <c r="BO29" s="1"/>
      <c r="BP29" s="1"/>
      <c r="BQ29" s="1"/>
      <c r="BR29" s="1"/>
      <c r="BS29">
        <v>5</v>
      </c>
      <c r="BT29" s="515">
        <f>IF(AND(AH27=AY64,AH9&gt;4.5,AH9&lt;=5,AH10&gt;10.5,AH10&lt;=11),10,0)</f>
        <v>0</v>
      </c>
      <c r="BU29"/>
      <c r="BV29"/>
      <c r="BW29" s="518">
        <f>IF(AND(AH27=AY64,AH9&gt;10.5,AH9&lt;=11,AH10&gt;8,AH10&lt;=11),14,0)</f>
        <v>0</v>
      </c>
      <c r="BX29" s="518">
        <f>IF(AND(AH27=AY64,AH9&gt;11,AH9&lt;=11.5,AH10&lt;=3),10,0)</f>
        <v>0</v>
      </c>
      <c r="BY29" s="518">
        <f>IF(AND(AH27=AY64,AH9&gt;11,AH9&lt;=11.5,AH10&gt;3,AH10&lt;=7),12,0)</f>
        <v>0</v>
      </c>
      <c r="BZ29" s="518">
        <f>IF(AND(AH27=AY64,AH9&gt;11,AH9&lt;=11.5,AH10&gt;7,AH10&lt;=11),14,0)</f>
        <v>0</v>
      </c>
      <c r="CA29" s="518">
        <f>IF(AND(AH27=AY64,AH9&gt;11.5,AH9&lt;=12,AH10&lt;=2),10,0)</f>
        <v>0</v>
      </c>
      <c r="CB29" s="518">
        <f>IF(AND(AH27=AY64,AH9&gt;11.5,AH9&lt;=12,AH10&gt;2,AH10&lt;=5.5),12,0)</f>
        <v>0</v>
      </c>
      <c r="CC29" s="245">
        <f>IF(AND(AH27=AY64,AH9&gt;11.5,AH9&lt;=12,AH10&gt;5.5,AH10&lt;=11),14,0)</f>
        <v>0</v>
      </c>
      <c r="CD29" s="568"/>
      <c r="CE29" s="568"/>
      <c r="CF29" s="568"/>
      <c r="CG29" s="568"/>
      <c r="CH29" s="568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</row>
    <row r="30" spans="1:122" s="75" customFormat="1" x14ac:dyDescent="0.2">
      <c r="AG30" s="556" t="str">
        <f>IF(AH14=AY59,BA87,0)</f>
        <v>G.I. Brackets.</v>
      </c>
      <c r="AH30" s="557"/>
      <c r="AI30" s="559">
        <f>IF(AND(AH9&gt;=2,AH9&lt;=7.85,AH10&lt;=3.5),400)+IF(AND(AH9&gt;=2,AH9&lt;=7.85,AH10&gt;3.5,AH10&lt;=5.5),450)+IF(AND(AH9&gt;=2,AH9&lt;=7.85,AH10&gt;5.5,AH10&lt;=7),525)+IF(AND(AH9&gt;=2,AH9&lt;=7.85,AH10&gt;7,AH10&lt;=9),600)+IF(AND(AH9&gt;=2,AH9&lt;=7.85,AH10&gt;9,AH10&lt;=10),675)+IF(AND(AH9&gt;=2,AH9&lt;=7.85,AH10&gt;10,AH10&lt;=12),750)+IF(AND(AH9&gt;7.85,AH9&lt;=14.01,AH10&gt;7,AH10&lt;=12),750)+IF(AND(AH9&gt;7.85,AH9&lt;=14.01,AH10&lt;=7),600)</f>
        <v>400</v>
      </c>
      <c r="AJ30" s="5">
        <v>1</v>
      </c>
      <c r="AK30" s="558" t="s">
        <v>13</v>
      </c>
      <c r="AL30" s="252">
        <f>IF(AND(OR(AJ52=AT190,AJ52=AT191,AJ52=AT192,AJ52=AT193,AJ52=AT194,AJ52=AT195,AJ52=AT196,AJ52=AT197,AJ52=AT198,AJ52=AT199,AJ52=AT200,AJ52=AT201,AJ52=AT202,AJ52=AT203),AI30=400,AG30=BA87),AY86)+IF(AND(OR(AJ52=AT190,AJ52=AT191,AJ52=AT192,AJ52=AT193,AJ52=AT194,AJ52=AT195,AJ52=AT196,AJ52=AT197,AJ52=AT198,AJ52=AT199,AJ52=AT200,AJ52=AT201,AJ52=AT202,AJ52=AT203),AI30=450,AG30=BA87),AY87)+IF(AND(OR(AJ52=AT190,AJ52=AT191,AJ52=AT192,AJ52=AT193,AJ52=AT194,AJ52=AT195,AJ52=AT196,AJ52=AT197,AJ52=AT198,AJ52=AT199,AJ52=AT200,AJ52=AT201,AJ52=AT202,AJ52=AT203),AI30=525,AG30=BA87),AY88)+IF(AND(OR(AJ52=AT190,AJ52=AT191,AJ52=AT192,AJ52=AT193,AJ52=AT194,AJ52=AT195,AJ52=AT196,AJ52=AT197,AJ52=AT198,AJ52=AT199,AJ52=AT200,AJ52=AT201,AJ52=AT202,AJ52=AT203),AI30=600,AG30=BA87),AY89)+IF(AND(OR(AJ52=AT190,AJ52=AT191,AJ52=AT192,AJ52=AT193,AJ52=AT194,AJ52=AT195,AJ52=AT196,AJ52=AT197,AJ52=AT198,AJ52=AT199,AJ52=AT200,AJ52=AT201,AJ52=AT202,AJ52=AT203),AI30=675,AG30=BA87),AY90)+IF(AND(OR(AJ52=AT190,AJ52=AT191,AJ52=AT192,AJ52=AT193,AJ52=AT194,AJ52=AT195,AJ52=AT196,AJ52=AT197,AJ52=AT198,AJ52=AT199,AJ52=AT200,AJ52=AT201,AJ52=AT202,AJ52=AT203),AI30=750,AG30=BA87),AY91)</f>
        <v>912.32529120000027</v>
      </c>
      <c r="AM30" s="432">
        <f>AL30*AJ30</f>
        <v>912.32529120000027</v>
      </c>
      <c r="AN30" s="529"/>
      <c r="AO30" s="319" t="e">
        <f>IF(AND(AG30=BA87,AI30=AV86),#REF!*AJ30,0)+IF(AND(AG30=BA87,AI30=AV87),#REF!*AJ30,0)+IF(AND(AG30=BA87,AI30=AV88),#REF!*AJ30,0)+IF(AND(AG30=BA87,AI30=AV89),#REF!*AJ30,0)+IF(AND(AG30=BA87,AI30=AV90),#REF!*AJ30,0)+IF(AND(AG30=BA87,AI30=AV91),#REF!*AJ30,0)</f>
        <v>#REF!</v>
      </c>
      <c r="AP30" s="249" t="e">
        <f t="shared" si="1"/>
        <v>#REF!</v>
      </c>
      <c r="AR30" s="197"/>
      <c r="AS30" s="329"/>
      <c r="AT30" s="16"/>
      <c r="AU30" s="295" t="s">
        <v>220</v>
      </c>
      <c r="AV30" s="595">
        <f>+'Basic rates'!E4</f>
        <v>45.674801100000003</v>
      </c>
      <c r="AW30" s="595">
        <f>+'Basic rates'!G4</f>
        <v>53.287267950000007</v>
      </c>
      <c r="AX30" s="595">
        <f>+'Basic rates'!I4</f>
        <v>69.71417009999999</v>
      </c>
      <c r="AY30" s="595">
        <f>+'Basic rates'!K4</f>
        <v>45.674801100000003</v>
      </c>
      <c r="AZ30" s="319" t="s">
        <v>92</v>
      </c>
      <c r="BA30" s="197"/>
      <c r="BB30" s="197"/>
      <c r="BC30" s="197"/>
      <c r="BD30" s="197"/>
      <c r="BE30" s="197"/>
      <c r="BF30" s="16"/>
      <c r="BG30" s="327"/>
      <c r="BH30" s="327"/>
      <c r="BI30" s="197"/>
      <c r="BJ30" s="327"/>
      <c r="BK30" s="16"/>
      <c r="BL30" s="16"/>
      <c r="BM30" s="17"/>
      <c r="BN30" s="1"/>
      <c r="BO30" s="1"/>
      <c r="BP30" s="1"/>
      <c r="BQ30" s="1"/>
      <c r="BR30" s="1"/>
      <c r="BS30"/>
      <c r="BT30" s="515"/>
      <c r="BU30"/>
      <c r="BV30"/>
      <c r="BW30"/>
      <c r="BX30"/>
      <c r="BY30"/>
      <c r="BZ30"/>
      <c r="CA30"/>
      <c r="CB30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</row>
    <row r="31" spans="1:122" s="75" customFormat="1" ht="12.75" x14ac:dyDescent="0.2">
      <c r="A31" s="1"/>
      <c r="B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38" t="s">
        <v>37</v>
      </c>
      <c r="AH31" s="505"/>
      <c r="AI31" s="5">
        <v>1</v>
      </c>
      <c r="AJ31" s="5">
        <v>1</v>
      </c>
      <c r="AK31" s="5" t="s">
        <v>13</v>
      </c>
      <c r="AL31" s="252">
        <f>IF(AND(OR(AJ52=AT197,AJ52=AT198,AJ52=AT199,AJ52=AT200,AJ52=AT201,AJ52=AT202,AJ52=AT203),AH11&lt;=12),AX96)+IF(AND(OR(AJ52=AT197,AJ52=AT198,AJ52=AT199,AJ52=AT200,AJ52=AT201,AJ52=AT202,AJ52=AT203),AH11&gt;12,AH11&lt;=24),AX97)+IF(AND(OR(AJ52=AT197,AJ52=AT198,AJ52=AT199,AJ52=AT200,AJ52=AT201,AJ52=AT202,AJ52=AT203),AH11&gt;24,AH11&lt;=36),AX98)+IF(AND(OR(AJ52=AT197,AJ52=AT198,AJ52=AT199,AJ52=AT200,AJ52=AT201,AJ52=AT202,AJ52=AT203),AH11&gt;36,AH11&lt;=48),AX99)+IF(AND(OR(AJ52=AT197,AJ52=AT198,AJ52=AT199,AJ52=AT200,AJ52=AT201,AJ52=AT202,AJ52=AT203),AH11&gt;48),AX100)</f>
        <v>400</v>
      </c>
      <c r="AM31" s="432">
        <f>AL31*AJ31</f>
        <v>400</v>
      </c>
      <c r="AN31" s="529"/>
      <c r="AO31" s="319"/>
      <c r="AP31" s="251"/>
      <c r="AQ31" s="1"/>
      <c r="AR31" s="197"/>
      <c r="AS31" s="323"/>
      <c r="AT31" s="16"/>
      <c r="AU31" s="295" t="s">
        <v>222</v>
      </c>
      <c r="AV31" s="595">
        <f>+'Basic rates'!E5</f>
        <v>50.749779000000004</v>
      </c>
      <c r="AW31" s="595">
        <f>+'Basic rates'!G5</f>
        <v>59.2080755</v>
      </c>
      <c r="AX31" s="595">
        <f>+'Basic rates'!I5</f>
        <v>77.460189</v>
      </c>
      <c r="AY31" s="595">
        <f>+'Basic rates'!K5</f>
        <v>50.749779000000004</v>
      </c>
      <c r="AZ31" s="319" t="s">
        <v>92</v>
      </c>
      <c r="BA31" s="197"/>
      <c r="BB31" s="197"/>
      <c r="BC31" s="197"/>
      <c r="BD31" s="197"/>
      <c r="BE31" s="197"/>
      <c r="BF31" s="16"/>
      <c r="BG31" s="327"/>
      <c r="BH31" s="327"/>
      <c r="BI31" s="197"/>
      <c r="BJ31" s="327"/>
      <c r="BK31" s="16"/>
      <c r="BL31" s="16"/>
      <c r="BM31" s="17"/>
      <c r="BN31" s="1"/>
      <c r="BO31" s="1"/>
      <c r="BP31" s="1"/>
      <c r="BQ31" s="1"/>
      <c r="BR31" s="1"/>
      <c r="BS31"/>
      <c r="BT31"/>
      <c r="BU31"/>
      <c r="BV31"/>
      <c r="BW31"/>
      <c r="BX31"/>
      <c r="BY31"/>
      <c r="BZ31"/>
      <c r="CA31"/>
      <c r="CB3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</row>
    <row r="32" spans="1:122" s="75" customFormat="1" ht="12.75" x14ac:dyDescent="0.2">
      <c r="A32" s="1"/>
      <c r="B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395" t="s">
        <v>275</v>
      </c>
      <c r="AH32" s="506" t="s">
        <v>275</v>
      </c>
      <c r="AI32" s="13">
        <f>AH9+0.5</f>
        <v>2.5</v>
      </c>
      <c r="AJ32" s="13">
        <f>AI29</f>
        <v>400</v>
      </c>
      <c r="AK32" s="389" t="s">
        <v>53</v>
      </c>
      <c r="AL32" s="254">
        <f>+IF(AND(AG32=AX104,AJ32=AU105),AV105)+IF(AND(AG32=AX104,AJ32=AU106),AV106)+IF(AND(AG32=AX104,AJ32=AU107),AV107)+IF(AND(AG32=AX104,AJ32=AU108),AV108)+IF(AND(AG32=AX104,AJ32=AU109),AV109)+IF(AND(AG32=AX104,AJ32=AU110),AV110)+IF(AND(AG32=AX105,AJ32=AU105),AW105)+IF(AND(AG32=AX105,AJ32=AU106),AW106)+IF(AND(AG32=AX105,AJ32=AU107),AW107)+IF(AND(AG32=AX105,AJ32=AU108),AW108)+IF(AND(AG32=AX105,AJ32=AU109),AW109)+IF(AND(AG32=AX105,AJ32=AU110),AW110)</f>
        <v>407.12284800000009</v>
      </c>
      <c r="AM32" s="537">
        <f>(AL32*AI32)+(IF(OR(AH17=BK59,AH17=BK60),100*AH11))</f>
        <v>1017.8071200000002</v>
      </c>
      <c r="AN32" s="529"/>
      <c r="AO32" s="319">
        <f>IF(AND(AG32=AX105,AJ32=AU105),'Basic rates'!F68*AI32,0)+IF(AND(AG32=AX105,AJ32=AU106),'Basic rates'!F69*AI32,0)+IF(AND(AG32=AX105,AJ32=AU107),'Basic rates'!F70*AI32,0)+IF(AND(AG32=AX105,AJ32=AU108),'Basic rates'!F71*AI32,0)+IF(AND(AG32=AX105,AJ32=AU109),'Basic rates'!F72*AI32,0)+IF(AND(AG32=AX105,AJ32=AU110),'Basic rates'!F73*AI32,0)+IF(AND(AG32=AX104,AJ32=AU105),'Basic rates'!D68*AI32,0)+IF(AND(AG32=AX104,AJ32=AU106),'Basic rates'!D69*AI32,0)+IF(AND(AG32=AX104,AJ32=AU107),'Basic rates'!D70*AI32,0)+IF(AND(AG32=AX104,AJ32=AU108),'Basic rates'!D71*AI32,0)+IF(AND(AG32=AX104,AJ32=AU109),'Basic rates'!D72*AI32,0)+IF(AND(AG32=AX104,AJ32=AU110),'Basic rates'!D73*AI32,0)</f>
        <v>17.292000000000002</v>
      </c>
      <c r="AP32" s="249">
        <f>AO32/$AH$11</f>
        <v>3.4584000000000001</v>
      </c>
      <c r="AQ32" s="1"/>
      <c r="AR32" s="16"/>
      <c r="AS32" s="323"/>
      <c r="AT32" s="16"/>
      <c r="AU32" s="295" t="s">
        <v>225</v>
      </c>
      <c r="AV32" s="595">
        <f>+'Basic rates'!E6</f>
        <v>60.899734799999997</v>
      </c>
      <c r="AW32" s="595">
        <f>+'Basic rates'!G6</f>
        <v>71.049690599999991</v>
      </c>
      <c r="AX32" s="595">
        <f>+'Basic rates'!I6</f>
        <v>92.952226799999991</v>
      </c>
      <c r="AY32" s="595">
        <f>+'Basic rates'!K6</f>
        <v>60.899734799999997</v>
      </c>
      <c r="AZ32" s="319" t="s">
        <v>92</v>
      </c>
      <c r="BA32" s="197"/>
      <c r="BB32" s="197"/>
      <c r="BC32" s="197"/>
      <c r="BD32" s="197"/>
      <c r="BE32" s="197"/>
      <c r="BF32" s="16"/>
      <c r="BG32" s="327"/>
      <c r="BH32" s="327"/>
      <c r="BI32" s="197"/>
      <c r="BJ32" s="327"/>
      <c r="BK32" s="16"/>
      <c r="BL32" s="16"/>
      <c r="BM32" s="17"/>
      <c r="BN32" s="1"/>
      <c r="BO32" s="1"/>
      <c r="BP32" s="1"/>
      <c r="BQ32" s="1"/>
      <c r="BR32" s="1"/>
      <c r="BS32"/>
      <c r="BT32"/>
      <c r="BU32"/>
      <c r="BV32"/>
      <c r="BW32">
        <f>IF(AND(AH27=AY64,AH9&lt;=2,AH10&lt;=8),4,0)+IF(AND(AH27=AY64,AH9&lt;=2,AH10&gt;8,AH10&lt;=11),5,0)+IF(AND(AH27=AY64,AH9&gt;2,AH9&lt;=2.5,AH10&lt;=6.5),4,0)+IF(AND(AH27=AY64,AH9&gt;2,AH9&lt;=2.5,AH10&gt;6.5,AH10&lt;=11),5,0)+IF(AND(AH27=AY64,AH9&gt;2.5,AH9&lt;=3,AH10&lt;=6.5),4,0)+IF(AND(AH27=AY64,AH9&gt;2.5,AH9&lt;=3,AH10&gt;6.5,AH10&lt;=8),5,0)+IF(AND(AH27=AY64,AH9&gt;2.5,AH9&lt;=3,AH10&gt;8,AH10&lt;=9),6,0)+IF(AND(AH27=AY64,AH9&gt;2.5,AH9&lt;=3,AH10&gt;9,AH10&lt;=11),8,0)+IF(AND(AH27=AY64,AH9&gt;3,AH9&lt;=3.5,AH10&lt;=5.5),4,0)+IF(AND(AH27=AY64,AH9&gt;3,AH9&lt;=3.5,AH10&gt;5.5,AH10&lt;=8.5),5,0)+IF(AND(AH27=AY64,AH9&gt;3,AH9&lt;=3.5,AH10&gt;8.5,AH10&lt;=9.5),6,0)+IF(AND(AH27=AY64,AH9&gt;3,AH9&lt;=3.5,AH10&gt;9.5,AH10&lt;=11),8,0)+IF(AND(AH27=AY64,AH9&gt;3.5,AH9&lt;=4,AH10&lt;=3.5),4,0)+IF(AND(AH27=AY64,AH9&gt;3.5,AH9&lt;=4,AH10&gt;3.5,AH10&lt;=7),5,0)+IF(AND(AH27=AY64,AH9&gt;3.5,AH9&lt;=4,AH10&gt;7,AH10&lt;=9.5),6,0)+IF(AND(AH27=AY64,AH9&gt;3.5,AH9&lt;=4,AH10&gt;9.5,AH10&lt;=11),8,0)+IF(AND(AH27=AY64,AH9&gt;4,AH9&lt;=4.5,AH10&lt;=2.5),4,0)+IF(AND(AH27=AY64,AH9&gt;4,AH9&lt;=4.5,AH10&gt;2.5,AH10&lt;=5.5),5,0)+IF(AND(AH27=AY64,AH9&gt;4,AH9&lt;=4.5,AH10&gt;5.5,AH10&lt;=9),6,0)+IF(AND(AH27=AY64,AH9&gt;4,AH9&lt;=4.5,AH10&gt;9,AH10&lt;=11),8,0)+IF(AND(AH27=AY64,AH9&gt;4.5,AH9&lt;=5,AH10&lt;=2.5),4,0)+IF(AND(AH27=AY64,AH9&gt;4.5,AH9&lt;=5,AH10&gt;2.5,AH10&lt;=4),5,0)+IF(AND(AH27=AY64,AH9&gt;4.5,AH9&lt;=5,AH10&gt;4,AH10&lt;=7.5),6,0)+IF(AND(AH27=AY64,AH9&gt;4.5,AH9&lt;=5,AH10&gt;7.5,AH10&lt;=10),8,0)+IF(AND(AH27=AY64,AH9&gt;4.5,AH9&lt;=5,AH10&gt;10.5,AH10&lt;=11),10,0)+IF(AND(AH27=AY64,AH9&gt;5,AH9&lt;=5.5,AH10&lt;=2.5),5,0)+IF(AND(AH27=AY64,AH9&gt;5,AH9&lt;=5.5,AH10&gt;2.5,AH10&lt;=7.5),6,0)+IF(AND(AH27=AY64,AH9&gt;5,AH9&lt;=5.5,AH10&gt;7.5,AH10&lt;=10),8,0)+IF(AND(AH27=AY64,AH9&gt;5,AH9&lt;=5.5,AH10&gt;10,AH10&lt;=11),10,0)+IF(AND(AH27=AY64,AH9&gt;5.5,AH9&lt;=6,AH10&lt;=6),6,0)+IF(AND(AH27=AY64,AH9&gt;5.5,AH9&lt;=6,AH10&gt;6,AH10&lt;=10.5),8,0)+IF(AND(AH27=AY64,AH9&gt;5.5,AH9&lt;=6,AH10&gt;10.5,AH10&lt;=11),10,0)+IF(AND(AH27=AY64,AH9&gt;6,AH9&lt;=6.5,AH10&lt;=4),6,0)+IF(AND(AH27=AY64,AH9&gt;6,AH9&lt;=6.5,AH10&gt;4,AH10&lt;=10),8,0)+IF(AND(AH27=AY64,AH9&gt;6,AH9&lt;=6.5,AH10&gt;10,AH10&lt;=11),10,0)+IF(AND(AH27=AY64,AH9&gt;6.5,AH9&lt;=7,AH10&lt;=3),6,0)+IF(AND(AH27=AY64,AH9&gt;6.5,AH9&lt;=7,AH10&gt;3,AH10&lt;=10),8,0)+IF(AND(AH27=AY64,AH9&gt;6.5,AH9&lt;=7,AH10&gt;10,AH10&lt;=11),10,0)+IF(AND(AH27=AY64,AH9&gt;7,AH9&lt;=7.5,AH10&lt;=2),6,0)+IF(AND(AH27=AY64,AH9&gt;7,AH9&lt;=7.5,AH10&gt;2,AH10&lt;=8),8,0)+IF(AND(AH27=AY64,AH9&gt;7,AH9&lt;=7.5,AH10&gt;8,AH10&lt;=11),10,0)+IF(AND(AH27=AY64,AH9&gt;7.5,AH9&lt;=8,AH10&lt;=6),8,0)+IF(AND(AH27=AY64,AH9&gt;7.5,AH9&lt;=8,AH10&gt;6,AH10&lt;=10.5),10,0)+IF(AND(AH27=AY64,AH9&gt;7.5,AH9&lt;=8,AH10&gt;10.5,AH10&lt;=11),12,0)+IF(AND(AH27=AY64,AH9&gt;8,AH9&lt;=8.5,AH10&lt;=6),8,0)+IF(AND(AH27=AY64,AH9&gt;8,AH9&lt;=8.5,AH10&gt;6,AH10&lt;=10),10,0)+IF(AND(AH27=AY64,AH9&gt;8,AH9&lt;=8.5,AH10&gt;10,AH10&lt;=11),12,0)+IF(AND(AH27=AY64,AH9&gt;8.5,AH9&lt;=9,AH10&lt;=4),8,0)+IF(AND(AH27=AY64,AH9&gt;8.5,AH9&lt;=9,AH10&gt;4,AH10&lt;=9),10,0)+IF(AND(AH27=AY64,AH9&gt;8.5,AH9&lt;=9,AH10&gt;9,AH10&lt;=11),12,0)+IF(AND(AH27=AY64,AH9&gt;9,AH9&lt;=9.5,AH10&lt;=2.5),8,0)+IF(AND(AH27=AY64,AH9&gt;9,AH9&lt;=9.5,AH10&gt;2.5,AH10&lt;=7),10,0)+IF(AND(AH27=AY64,AH9&gt;9,AH9&lt;=9.5,AH10&gt;7,AH10&lt;=11),12,0)+IF(AND(AH27=AY64,AH9&gt;9.5,AH9&lt;=10,AH10&lt;=6),10,0)+IF(AND(AH27=AY64,AH9&gt;9.5,AH9&lt;=10,AH10&gt;6,AH10&lt;=11),12,0)+IF(AND(AH27=AY64,AH9&gt;10,AH9&lt;=10.5,AH10&lt;=4),10,0)+IF(AND(AH27=AY64,AH9&gt;10,AH9&lt;=10.5,AH10&gt;4,AH10&lt;=10),12,0)+IF(AND(AH27=AY64,AH9&gt;10,AH9&lt;=10.5,AH10&gt;10,AH10&lt;=11),14,0)+IF(AND(AH27=AY64,AH9&gt;10.5,AH9&lt;=11,AH10&lt;=4),10,0)+IF(AND(AH27=AY64,AH9&gt;10.5,AH9&lt;=11,AH10&gt;4,AH10&lt;=8),12,0)+IF(AND(AH27=AY64,AH9&gt;10.5,AH9&lt;=11,AH10&gt;8,AH10&lt;=11),14,0)+IF(AND(AH27=AY64,AH9&gt;11,AH9&lt;=11.5,AH10&lt;=3),10,0)+IF(AND(AH27=AY64,AH9&gt;11,AH9&lt;=11.5,AH10&gt;3,AH10&lt;=7),12,0)+IF(AND(AH27=AY64,AH9&gt;11,AH9&lt;=11.5,AH10&gt;7,AH10&lt;=11),14,0)+IF(AND(AH27=AY64,AH9&gt;11.5,AH9&lt;=12,AH10&lt;=2),10,0)+IF(AND(AH27=AY64,AH9&gt;11.5,AH9&lt;=12,AH10&gt;2,AH10&lt;=5.5),12,0)+IF(AND(AH27=AY64,AH9&gt;11.5,AH9&lt;=12,AH10&gt;5.5,AH10&lt;=11),14,0)</f>
        <v>4</v>
      </c>
      <c r="BX32">
        <f>IF(AND(AH27=AY64,AH9&gt;8,AH9&lt;=8.5,AH10&gt;6,AH10&lt;=10),10,0)+IF(AND(AH27=AY64,AH9&gt;8,AH9&lt;=8.5,AH10&gt;10,AH10&lt;=11),12,0)</f>
        <v>0</v>
      </c>
      <c r="BY32"/>
      <c r="BZ32"/>
      <c r="CA32"/>
      <c r="CB32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</row>
    <row r="33" spans="1:121" ht="12.75" x14ac:dyDescent="0.2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36" t="s">
        <v>65</v>
      </c>
      <c r="AH33" s="507"/>
      <c r="AI33" s="13">
        <v>1</v>
      </c>
      <c r="AJ33" s="13">
        <v>1</v>
      </c>
      <c r="AK33" s="389" t="s">
        <v>54</v>
      </c>
      <c r="AL33" s="254">
        <v>200</v>
      </c>
      <c r="AM33" s="537">
        <f>AL33*AJ33</f>
        <v>200</v>
      </c>
      <c r="AN33" s="528"/>
      <c r="AO33" s="568"/>
      <c r="AP33" s="249"/>
      <c r="AQ33" s="75"/>
      <c r="AR33" s="16"/>
      <c r="AS33" s="329"/>
      <c r="AT33" s="16"/>
      <c r="AU33" s="16"/>
      <c r="AV33" s="330"/>
      <c r="AW33" s="16"/>
      <c r="AX33" s="39"/>
      <c r="AY33" s="16"/>
      <c r="AZ33" s="16"/>
      <c r="BA33" s="16"/>
      <c r="BB33" s="197"/>
      <c r="BC33" s="197"/>
      <c r="BD33" s="197"/>
      <c r="BE33" s="197"/>
      <c r="BF33" s="16"/>
      <c r="BG33" s="327"/>
      <c r="BH33" s="327"/>
      <c r="BI33" s="324"/>
      <c r="BJ33" s="327"/>
      <c r="BK33" s="16"/>
      <c r="BL33" s="16"/>
      <c r="BM33" s="17"/>
      <c r="BS33"/>
      <c r="BT33"/>
      <c r="BU33"/>
      <c r="BV33"/>
      <c r="BW33"/>
      <c r="BX33"/>
      <c r="BY33"/>
      <c r="BZ33"/>
      <c r="CA33"/>
      <c r="CB33"/>
    </row>
    <row r="34" spans="1:121" x14ac:dyDescent="0.2">
      <c r="C34" s="75"/>
      <c r="D34" s="75"/>
      <c r="E34" s="75"/>
      <c r="F34" s="75"/>
      <c r="G34" s="75"/>
      <c r="H34" s="75"/>
      <c r="AG34" s="38" t="s">
        <v>38</v>
      </c>
      <c r="AH34" s="505"/>
      <c r="AI34" s="5">
        <v>1</v>
      </c>
      <c r="AJ34" s="5">
        <v>1</v>
      </c>
      <c r="AK34" s="5" t="s">
        <v>54</v>
      </c>
      <c r="AL34" s="252">
        <f>IF(AH11&lt;=12,AX114)+IF(AND(AH11&gt;12,AH11&lt;=24),AX115)+IF(AND(AH11&gt;24,AH11&lt;=36),AX116)+IF(AH11&gt;36,AX117)</f>
        <v>500</v>
      </c>
      <c r="AM34" s="432">
        <f>AJ34*AL34</f>
        <v>500</v>
      </c>
      <c r="AN34" s="528"/>
      <c r="AO34" s="568"/>
      <c r="AP34" s="249"/>
      <c r="AR34" s="197"/>
      <c r="AS34" s="323"/>
      <c r="AT34" s="16"/>
      <c r="AU34" s="16"/>
      <c r="AV34" s="330"/>
      <c r="AW34" s="16"/>
      <c r="AX34" s="39"/>
      <c r="AY34" s="16"/>
      <c r="AZ34" s="16"/>
      <c r="BA34" s="16"/>
      <c r="BB34" s="197"/>
      <c r="BC34" s="197"/>
      <c r="BD34" s="197"/>
      <c r="BE34" s="197"/>
      <c r="BF34" s="16"/>
      <c r="BG34" s="327"/>
      <c r="BH34" s="327"/>
      <c r="BI34" s="324"/>
      <c r="BJ34" s="327"/>
      <c r="BK34" s="16"/>
      <c r="BL34" s="16"/>
      <c r="BM34" s="17"/>
      <c r="BR34" t="s">
        <v>322</v>
      </c>
      <c r="BS34" s="515">
        <v>1</v>
      </c>
      <c r="BT34"/>
      <c r="BU34"/>
    </row>
    <row r="35" spans="1:121" s="75" customFormat="1" x14ac:dyDescent="0.2">
      <c r="A35" s="1"/>
      <c r="B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38" t="s">
        <v>39</v>
      </c>
      <c r="AH35" s="505"/>
      <c r="AI35" s="5">
        <v>0</v>
      </c>
      <c r="AJ35" s="5">
        <f>AH11</f>
        <v>5</v>
      </c>
      <c r="AK35" s="5" t="s">
        <v>55</v>
      </c>
      <c r="AL35" s="252">
        <f>IF(AH11&lt;=12,AX121)+IF(AND(AH11&gt;12,AH11&lt;=24),AX122)+IF(AND(AH11&gt;24,AH11&lt;=36),AX123)+IF(AND(AH11&gt;36,AH11&lt;=48),AX124)+IF(AH11&gt;48,AX125)</f>
        <v>550</v>
      </c>
      <c r="AM35" s="432">
        <f>AL35*AJ35</f>
        <v>2750</v>
      </c>
      <c r="AN35" s="529"/>
      <c r="AO35" s="319"/>
      <c r="AP35" s="251"/>
      <c r="AQ35" s="1"/>
      <c r="AR35" s="16"/>
      <c r="AS35" s="323"/>
      <c r="AT35" s="16"/>
      <c r="AU35" s="711" t="s">
        <v>361</v>
      </c>
      <c r="AV35" s="711"/>
      <c r="AW35" s="711"/>
      <c r="AX35" s="711"/>
      <c r="AY35" s="711"/>
      <c r="AZ35" s="711"/>
      <c r="BA35" s="16"/>
      <c r="BB35" s="16"/>
      <c r="BC35" s="16"/>
      <c r="BD35" s="16"/>
      <c r="BE35" s="16"/>
      <c r="BF35" s="16"/>
      <c r="BG35" s="327"/>
      <c r="BH35" s="327"/>
      <c r="BI35" s="324"/>
      <c r="BJ35" s="327"/>
      <c r="BK35" s="16"/>
      <c r="BL35" s="16"/>
      <c r="BM35" s="17"/>
      <c r="BN35" s="1"/>
      <c r="BO35" s="1"/>
      <c r="BP35" s="1"/>
      <c r="BQ35" s="1"/>
      <c r="BR35"/>
      <c r="BS35" s="515">
        <v>2</v>
      </c>
      <c r="BT35"/>
      <c r="BU35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</row>
    <row r="36" spans="1:121" ht="16.5" thickBot="1" x14ac:dyDescent="0.25">
      <c r="C36" s="75"/>
      <c r="D36" s="75"/>
      <c r="E36" s="75"/>
      <c r="F36" s="75"/>
      <c r="G36" s="75"/>
      <c r="H36" s="75"/>
      <c r="AG36" s="427" t="s">
        <v>57</v>
      </c>
      <c r="AH36" s="508"/>
      <c r="AI36" s="24">
        <v>0</v>
      </c>
      <c r="AJ36" s="24">
        <f>AH11</f>
        <v>5</v>
      </c>
      <c r="AK36" s="24" t="s">
        <v>55</v>
      </c>
      <c r="AL36" s="653">
        <v>75</v>
      </c>
      <c r="AM36" s="538">
        <f>AL36*AJ36</f>
        <v>375</v>
      </c>
      <c r="AN36" s="340"/>
      <c r="AO36" s="568"/>
      <c r="AP36" s="249"/>
      <c r="AR36" s="16"/>
      <c r="AS36" s="323"/>
      <c r="AT36" s="16" t="s">
        <v>255</v>
      </c>
      <c r="AU36" s="293" t="s">
        <v>241</v>
      </c>
      <c r="AV36" s="595" t="str">
        <f>AW15</f>
        <v>Corrogated 75mm GI</v>
      </c>
      <c r="AW36" s="319" t="str">
        <f>AW18</f>
        <v>Corrogated 88mm GI</v>
      </c>
      <c r="AX36" s="319" t="str">
        <f>AW21</f>
        <v>Corrogated 115mm GI</v>
      </c>
      <c r="AY36" s="319" t="str">
        <f>AW24</f>
        <v>Flat 85mm GI</v>
      </c>
      <c r="AZ36" s="319" t="s">
        <v>91</v>
      </c>
      <c r="BA36" s="16"/>
      <c r="BB36" s="16"/>
      <c r="BC36" s="16"/>
      <c r="BD36" s="16"/>
      <c r="BE36" s="16"/>
      <c r="BF36" s="16"/>
      <c r="BG36" s="327"/>
      <c r="BH36" s="327"/>
      <c r="BI36" s="324"/>
      <c r="BJ36" s="327"/>
      <c r="BK36" s="16"/>
      <c r="BL36" s="16"/>
      <c r="BM36" s="17"/>
      <c r="BR36"/>
      <c r="BS36" s="515">
        <v>3</v>
      </c>
      <c r="BT36"/>
      <c r="BU36"/>
    </row>
    <row r="37" spans="1:121" ht="16.5" thickBot="1" x14ac:dyDescent="0.25">
      <c r="C37" s="75"/>
      <c r="D37" s="75"/>
      <c r="E37" s="75"/>
      <c r="F37" s="75"/>
      <c r="G37" s="75"/>
      <c r="H37" s="75"/>
      <c r="AG37" s="455" t="s">
        <v>40</v>
      </c>
      <c r="AH37" s="509"/>
      <c r="AI37" s="456"/>
      <c r="AJ37" s="456"/>
      <c r="AK37" s="456"/>
      <c r="AL37" s="457"/>
      <c r="AM37" s="584">
        <f>ROUND(SUM(AM22:AM36)+AM97,2)</f>
        <v>17744.8</v>
      </c>
      <c r="AN37" s="530">
        <f>CEILING((AM37/$AH$11),1)</f>
        <v>3549</v>
      </c>
      <c r="AO37" s="458" t="e">
        <f>SUM(AO22:AO36)</f>
        <v>#REF!</v>
      </c>
      <c r="AP37" s="397" t="e">
        <f>CEILING((AO37/$AH$11),1)</f>
        <v>#REF!</v>
      </c>
      <c r="AR37" s="16"/>
      <c r="AS37" s="323"/>
      <c r="AT37" s="16"/>
      <c r="AU37" s="295" t="s">
        <v>221</v>
      </c>
      <c r="AV37" s="595">
        <f>+'Basic rates'!E10</f>
        <v>47.398378500000007</v>
      </c>
      <c r="AW37" s="595">
        <f>+'Basic rates'!G10</f>
        <v>55.298108250000006</v>
      </c>
      <c r="AX37" s="595">
        <f>+'Basic rates'!I10</f>
        <v>72.344893499999998</v>
      </c>
      <c r="AY37" s="595">
        <f>+'Basic rates'!K10</f>
        <v>47.398378500000007</v>
      </c>
      <c r="AZ37" s="319" t="s">
        <v>92</v>
      </c>
      <c r="BA37" s="16"/>
      <c r="BB37" s="16"/>
      <c r="BC37" s="16"/>
      <c r="BD37" s="16"/>
      <c r="BE37" s="16"/>
      <c r="BF37" s="16"/>
      <c r="BG37" s="327"/>
      <c r="BH37" s="327"/>
      <c r="BI37" s="324"/>
      <c r="BJ37" s="327"/>
      <c r="BK37" s="16"/>
      <c r="BL37" s="16"/>
      <c r="BM37" s="17"/>
      <c r="BR37"/>
      <c r="BS37" s="515">
        <v>4</v>
      </c>
      <c r="BT37"/>
      <c r="BU37"/>
    </row>
    <row r="38" spans="1:121" x14ac:dyDescent="0.2">
      <c r="C38" s="75"/>
      <c r="D38" s="75"/>
      <c r="E38" s="75"/>
      <c r="F38" s="75"/>
      <c r="G38" s="75"/>
      <c r="H38" s="75"/>
      <c r="AG38" s="422" t="s">
        <v>70</v>
      </c>
      <c r="AH38" s="510"/>
      <c r="AI38" s="392"/>
      <c r="AJ38" s="392"/>
      <c r="AK38" s="392"/>
      <c r="AL38" s="392"/>
      <c r="AM38" s="423"/>
      <c r="AN38" s="531"/>
      <c r="AO38" s="392"/>
      <c r="AP38" s="423"/>
      <c r="AQ38" s="86"/>
      <c r="AR38" s="16"/>
      <c r="AS38" s="328"/>
      <c r="AT38" s="16"/>
      <c r="AU38" s="295" t="s">
        <v>223</v>
      </c>
      <c r="AV38" s="595">
        <f>+'Basic rates'!E11</f>
        <v>52.664865000000006</v>
      </c>
      <c r="AW38" s="595">
        <f>+'Basic rates'!G11</f>
        <v>61.442342499999995</v>
      </c>
      <c r="AX38" s="595">
        <f>+'Basic rates'!I11</f>
        <v>80.383214999999993</v>
      </c>
      <c r="AY38" s="595">
        <f>+'Basic rates'!K11</f>
        <v>52.664865000000006</v>
      </c>
      <c r="AZ38" s="319" t="s">
        <v>92</v>
      </c>
      <c r="BA38" s="16"/>
      <c r="BB38" s="16"/>
      <c r="BC38" s="16"/>
      <c r="BD38" s="16"/>
      <c r="BE38" s="16"/>
      <c r="BF38" s="16"/>
      <c r="BG38" s="327"/>
      <c r="BH38" s="327"/>
      <c r="BI38" s="324"/>
      <c r="BJ38" s="327"/>
      <c r="BK38" s="16"/>
      <c r="BL38" s="16"/>
      <c r="BM38" s="17"/>
      <c r="BR38"/>
      <c r="BS38" s="515">
        <v>5</v>
      </c>
      <c r="BT38"/>
      <c r="BU38"/>
    </row>
    <row r="39" spans="1:121" x14ac:dyDescent="0.2">
      <c r="C39" s="75"/>
      <c r="D39" s="75"/>
      <c r="E39" s="75"/>
      <c r="F39" s="75"/>
      <c r="G39" s="75"/>
      <c r="H39" s="75"/>
      <c r="AG39" s="36" t="s">
        <v>24</v>
      </c>
      <c r="AH39" s="507"/>
      <c r="AI39" s="57" t="s">
        <v>23</v>
      </c>
      <c r="AJ39" s="13">
        <f>AH9</f>
        <v>2</v>
      </c>
      <c r="AK39" s="57">
        <f>IF(AI39=AU137,AH10,0)+IF(AI39=AU138,AH10*60%,0)</f>
        <v>0</v>
      </c>
      <c r="AL39" s="252">
        <f>+'Basic rates'!X15</f>
        <v>200</v>
      </c>
      <c r="AM39" s="432">
        <f>IF(OR(AI39=AU137,AI39=AU138),AL39*(AK39*AJ39),0)</f>
        <v>0</v>
      </c>
      <c r="AN39" s="532"/>
      <c r="AO39" s="252"/>
      <c r="AP39" s="103"/>
      <c r="AQ39" s="86"/>
      <c r="AR39" s="86"/>
      <c r="AS39" s="328"/>
      <c r="AT39" s="16"/>
      <c r="AU39" s="295" t="s">
        <v>226</v>
      </c>
      <c r="AV39" s="595">
        <f>+'Basic rates'!E12</f>
        <v>63.197837999999997</v>
      </c>
      <c r="AW39" s="595">
        <f>+'Basic rates'!G12</f>
        <v>73.730810999999989</v>
      </c>
      <c r="AX39" s="595">
        <f>+'Basic rates'!I12</f>
        <v>96.459857999999997</v>
      </c>
      <c r="AY39" s="595">
        <f>+'Basic rates'!K12</f>
        <v>63.197837999999997</v>
      </c>
      <c r="AZ39" s="319" t="s">
        <v>92</v>
      </c>
      <c r="BA39" s="16"/>
      <c r="BB39" s="16"/>
      <c r="BC39" s="16"/>
      <c r="BD39" s="16"/>
      <c r="BE39" s="16"/>
      <c r="BF39" s="16"/>
      <c r="BG39" s="327"/>
      <c r="BH39" s="327"/>
      <c r="BI39" s="324"/>
      <c r="BJ39" s="327"/>
      <c r="BK39" s="16"/>
      <c r="BL39" s="16"/>
      <c r="BM39" s="17"/>
      <c r="BR39" t="s">
        <v>323</v>
      </c>
      <c r="BS39" s="515">
        <v>1</v>
      </c>
      <c r="BT39"/>
      <c r="BU39"/>
    </row>
    <row r="40" spans="1:121" x14ac:dyDescent="0.2">
      <c r="C40" s="75"/>
      <c r="D40" s="75"/>
      <c r="E40" s="75"/>
      <c r="F40" s="75"/>
      <c r="G40" s="75"/>
      <c r="H40" s="75"/>
      <c r="AG40" s="395" t="s">
        <v>284</v>
      </c>
      <c r="AH40" s="506" t="s">
        <v>284</v>
      </c>
      <c r="AI40" s="57" t="s">
        <v>23</v>
      </c>
      <c r="AJ40" s="13">
        <f>AH9</f>
        <v>2</v>
      </c>
      <c r="AK40" s="57">
        <f>IF(AI40=AW142,AH10,0)+IF(AI40=AW143,AH10*60%,0)</f>
        <v>0</v>
      </c>
      <c r="AL40" s="252">
        <f>IF(AG40=AU142,AV142)+IF(AG40=AU143,AV143)+IF(AG40=AU144,AV144)</f>
        <v>1800</v>
      </c>
      <c r="AM40" s="432">
        <f>IF(OR(AI40=AW142,AI40=AW143),AL40*(AJ40*AK40),0)</f>
        <v>0</v>
      </c>
      <c r="AN40" s="532"/>
      <c r="AO40" s="252"/>
      <c r="AP40" s="103"/>
      <c r="AQ40" s="86"/>
      <c r="AR40" s="86"/>
      <c r="AS40" s="328"/>
      <c r="AT40" s="16"/>
      <c r="AU40" s="16"/>
      <c r="AV40" s="330"/>
      <c r="AW40" s="16"/>
      <c r="AX40" s="39"/>
      <c r="AY40" s="16"/>
      <c r="AZ40" s="16"/>
      <c r="BA40" s="16"/>
      <c r="BB40" s="197"/>
      <c r="BC40" s="197"/>
      <c r="BD40" s="197"/>
      <c r="BE40" s="197"/>
      <c r="BF40" s="16"/>
      <c r="BG40" s="327"/>
      <c r="BH40" s="327"/>
      <c r="BI40" s="324"/>
      <c r="BJ40" s="327"/>
      <c r="BK40" s="16"/>
      <c r="BL40" s="16"/>
      <c r="BM40" s="17"/>
      <c r="BR40"/>
      <c r="BS40" s="515">
        <v>2</v>
      </c>
      <c r="BT40"/>
      <c r="BU40"/>
    </row>
    <row r="41" spans="1:121" x14ac:dyDescent="0.2">
      <c r="AG41" s="60" t="s">
        <v>58</v>
      </c>
      <c r="AH41" s="511"/>
      <c r="AI41" s="57" t="s">
        <v>23</v>
      </c>
      <c r="AJ41" s="57"/>
      <c r="AK41" s="59">
        <f>AH11</f>
        <v>5</v>
      </c>
      <c r="AL41" s="252">
        <f>+IF(AI41=AU147,AV147)+IF(AI41=AU148,AV148)+IF(AI41=AU149,AV149)+IF(AI41=AU150,AV150)+IF(AI41=AU151,AV151)</f>
        <v>0</v>
      </c>
      <c r="AM41" s="432">
        <f>IF(OR(AI41=AU147,AI41=AU148,AI41=AU149,AI41=AU150),AL41*AK41,0)</f>
        <v>0</v>
      </c>
      <c r="AN41" s="532"/>
      <c r="AO41" s="252"/>
      <c r="AP41" s="103"/>
      <c r="AQ41" s="86"/>
      <c r="AR41" s="86"/>
      <c r="AS41" s="328"/>
      <c r="AT41" s="16"/>
      <c r="AU41" s="16"/>
      <c r="AV41" s="330"/>
      <c r="AW41" s="16"/>
      <c r="AX41" s="39"/>
      <c r="AY41" s="16"/>
      <c r="AZ41" s="16"/>
      <c r="BA41" s="16"/>
      <c r="BB41" s="197"/>
      <c r="BC41" s="197"/>
      <c r="BD41" s="197"/>
      <c r="BE41" s="197"/>
      <c r="BF41" s="16"/>
      <c r="BG41" s="327"/>
      <c r="BH41" s="327"/>
      <c r="BI41" s="324"/>
      <c r="BJ41" s="327"/>
      <c r="BK41" s="16"/>
      <c r="BL41" s="16"/>
      <c r="BM41" s="17"/>
      <c r="BR41"/>
      <c r="BS41" s="515">
        <v>3</v>
      </c>
      <c r="BT41"/>
      <c r="BU41"/>
    </row>
    <row r="42" spans="1:121" x14ac:dyDescent="0.2">
      <c r="AG42" s="60" t="s">
        <v>64</v>
      </c>
      <c r="AH42" s="511"/>
      <c r="AI42" s="578" t="s">
        <v>31</v>
      </c>
      <c r="AJ42" s="578" t="s">
        <v>66</v>
      </c>
      <c r="AK42" s="579" t="s">
        <v>13</v>
      </c>
      <c r="AL42" s="580">
        <f>IF(AI42=AW156,0,AQ42)</f>
        <v>17500</v>
      </c>
      <c r="AM42" s="581">
        <f>IF(AI42=AW156,0,AL42)</f>
        <v>17500</v>
      </c>
      <c r="AN42" s="582"/>
      <c r="AO42" s="580"/>
      <c r="AP42" s="583"/>
      <c r="AQ42" s="86">
        <f>VLOOKUP(AJ42,$AU$155:$AV$157,2,0)</f>
        <v>17500</v>
      </c>
      <c r="AR42" s="86"/>
      <c r="AS42" s="328"/>
      <c r="AT42" s="16"/>
      <c r="AU42" s="711" t="str">
        <f>+AU17</f>
        <v>Galvalum</v>
      </c>
      <c r="AV42" s="711"/>
      <c r="AW42" s="711"/>
      <c r="AX42" s="711"/>
      <c r="AY42" s="711"/>
      <c r="AZ42" s="711"/>
      <c r="BA42" s="197"/>
      <c r="BB42" s="197"/>
      <c r="BC42" s="197"/>
      <c r="BD42" s="197"/>
      <c r="BE42" s="197"/>
      <c r="BF42" s="197"/>
      <c r="BG42" s="327"/>
      <c r="BH42" s="327"/>
      <c r="BI42" s="324"/>
      <c r="BJ42" s="327"/>
      <c r="BK42" s="16"/>
      <c r="BL42" s="16"/>
      <c r="BM42" s="17"/>
      <c r="BR42"/>
      <c r="BS42" s="515">
        <v>4</v>
      </c>
      <c r="BT42"/>
      <c r="BU42"/>
    </row>
    <row r="43" spans="1:121" x14ac:dyDescent="0.2">
      <c r="AG43" s="60" t="s">
        <v>158</v>
      </c>
      <c r="AH43" s="511"/>
      <c r="AI43" s="57" t="s">
        <v>23</v>
      </c>
      <c r="AJ43" s="57">
        <v>2</v>
      </c>
      <c r="AK43" s="59" t="s">
        <v>179</v>
      </c>
      <c r="AL43" s="252">
        <v>60</v>
      </c>
      <c r="AM43" s="432">
        <f>IF(AI43=AW155,AL43*AJ43,0)</f>
        <v>0</v>
      </c>
      <c r="AN43" s="532"/>
      <c r="AO43" s="252"/>
      <c r="AP43" s="103"/>
      <c r="AQ43" s="86"/>
      <c r="AR43" s="86"/>
      <c r="AS43" s="328"/>
      <c r="AT43" s="16" t="s">
        <v>256</v>
      </c>
      <c r="AU43" s="293" t="s">
        <v>242</v>
      </c>
      <c r="AV43" s="370" t="str">
        <f>AW16</f>
        <v>Corrogated 75mm GAL</v>
      </c>
      <c r="AW43" s="591" t="str">
        <f>AW19</f>
        <v>Corrogated 88mm GAL</v>
      </c>
      <c r="AX43" s="591" t="str">
        <f>AW22</f>
        <v>Corrogated 115mm GAL</v>
      </c>
      <c r="AY43" s="591" t="str">
        <f>AW25</f>
        <v>Flat 85mm GAL</v>
      </c>
      <c r="AZ43" s="591" t="s">
        <v>91</v>
      </c>
      <c r="BA43" s="197"/>
      <c r="BB43" s="197"/>
      <c r="BC43" s="197"/>
      <c r="BD43" s="197"/>
      <c r="BE43" s="197"/>
      <c r="BF43" s="197"/>
      <c r="BG43" s="327"/>
      <c r="BH43" s="327"/>
      <c r="BI43" s="324"/>
      <c r="BJ43" s="327"/>
      <c r="BK43" s="16"/>
      <c r="BL43" s="16"/>
      <c r="BM43" s="17"/>
      <c r="BR43"/>
      <c r="BS43" s="515">
        <v>5</v>
      </c>
      <c r="BT43"/>
      <c r="BU43"/>
    </row>
    <row r="44" spans="1:121" ht="12.75" x14ac:dyDescent="0.2">
      <c r="AG44" s="60" t="s">
        <v>301</v>
      </c>
      <c r="AH44" s="511"/>
      <c r="AI44" s="57">
        <f>IF(AI52=BE196,AH11,0)</f>
        <v>0</v>
      </c>
      <c r="AJ44" s="57"/>
      <c r="AK44" s="57" t="s">
        <v>302</v>
      </c>
      <c r="AL44" s="252">
        <v>500</v>
      </c>
      <c r="AM44" s="432">
        <f>AL44*AI44</f>
        <v>0</v>
      </c>
      <c r="AN44" s="532"/>
      <c r="AO44" s="252"/>
      <c r="AP44" s="103"/>
      <c r="AQ44" s="86" t="s">
        <v>324</v>
      </c>
      <c r="AR44" s="86"/>
      <c r="AS44" s="328"/>
      <c r="AT44" s="331">
        <v>1.2</v>
      </c>
      <c r="AU44" s="295" t="s">
        <v>224</v>
      </c>
      <c r="AV44" s="595">
        <f>+'Basic rates'!E17</f>
        <v>58.410123000000013</v>
      </c>
      <c r="AW44" s="595">
        <f>+'Basic rates'!G17</f>
        <v>68.145143500000003</v>
      </c>
      <c r="AX44" s="595">
        <f>+'Basic rates'!I17</f>
        <v>89.152293</v>
      </c>
      <c r="AY44" s="595">
        <f>+'Basic rates'!K17</f>
        <v>58.410123000000013</v>
      </c>
      <c r="AZ44" s="319" t="s">
        <v>92</v>
      </c>
      <c r="BF44" s="327"/>
      <c r="BG44" s="327"/>
      <c r="BH44" s="327"/>
      <c r="BI44" s="16"/>
      <c r="BJ44" s="327"/>
      <c r="BK44" s="16"/>
      <c r="BL44" s="16"/>
      <c r="BM44" s="17"/>
      <c r="BR44"/>
      <c r="BS44"/>
      <c r="BT44"/>
      <c r="BU44"/>
      <c r="DO44" s="75"/>
      <c r="DP44" s="75"/>
      <c r="DQ44" s="75"/>
    </row>
    <row r="45" spans="1:121" ht="16.5" thickBot="1" x14ac:dyDescent="0.25">
      <c r="AG45" s="60" t="s">
        <v>126</v>
      </c>
      <c r="AH45" s="511"/>
      <c r="AI45" s="57"/>
      <c r="AJ45" s="57">
        <v>0</v>
      </c>
      <c r="AK45" s="59">
        <f>AH11</f>
        <v>5</v>
      </c>
      <c r="AL45" s="15"/>
      <c r="AM45" s="37">
        <f>AK45*AJ45</f>
        <v>0</v>
      </c>
      <c r="AN45" s="533"/>
      <c r="AO45" s="390"/>
      <c r="AP45" s="37"/>
      <c r="AQ45" s="86"/>
      <c r="AR45" s="86"/>
      <c r="AS45" s="328"/>
      <c r="AT45" s="331">
        <v>1</v>
      </c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327"/>
      <c r="BG45" s="327"/>
      <c r="BH45" s="327"/>
      <c r="BI45" s="16"/>
      <c r="BJ45" s="327"/>
      <c r="BK45" s="16"/>
      <c r="BL45" s="16"/>
      <c r="BM45" s="17"/>
      <c r="BR45"/>
      <c r="BS45" s="515">
        <v>1</v>
      </c>
      <c r="BT45"/>
      <c r="BU45"/>
      <c r="DO45" s="75"/>
      <c r="DP45" s="75"/>
      <c r="DQ45" s="75"/>
    </row>
    <row r="46" spans="1:121" ht="16.5" thickBot="1" x14ac:dyDescent="0.25">
      <c r="AG46" s="765" t="s">
        <v>63</v>
      </c>
      <c r="AH46" s="766"/>
      <c r="AI46" s="766"/>
      <c r="AJ46" s="766"/>
      <c r="AK46" s="766"/>
      <c r="AL46" s="767"/>
      <c r="AM46" s="264">
        <f>SUM(AM37:AM45)</f>
        <v>35244.800000000003</v>
      </c>
      <c r="AN46" s="534">
        <f>CEILING((AM46/$AH$11),1)</f>
        <v>7049</v>
      </c>
      <c r="AO46" s="407"/>
      <c r="AP46" s="264"/>
      <c r="AQ46" s="86"/>
      <c r="AR46" s="86"/>
      <c r="AS46" s="328"/>
      <c r="AT46" s="331">
        <v>0.9</v>
      </c>
      <c r="AU46" s="197"/>
      <c r="AV46" s="197"/>
      <c r="AW46" s="197"/>
      <c r="AX46" s="197"/>
      <c r="AY46" s="197"/>
      <c r="AZ46" s="197"/>
      <c r="BA46" s="197"/>
      <c r="BB46" s="197"/>
      <c r="BC46" s="197"/>
      <c r="BD46" s="197"/>
      <c r="BE46" s="197"/>
      <c r="BF46" s="240"/>
      <c r="BG46" s="240"/>
      <c r="BH46" s="240"/>
      <c r="BI46" s="197"/>
      <c r="BJ46" s="327"/>
      <c r="BK46" s="16"/>
      <c r="BL46" s="16"/>
      <c r="BM46" s="17"/>
      <c r="BR46"/>
      <c r="BS46" s="515">
        <v>2</v>
      </c>
      <c r="BT46"/>
      <c r="BU46"/>
      <c r="DO46" s="75"/>
      <c r="DP46" s="75"/>
      <c r="DQ46" s="75"/>
    </row>
    <row r="47" spans="1:121" ht="16.5" thickBot="1" x14ac:dyDescent="0.25">
      <c r="AG47" s="426" t="s">
        <v>150</v>
      </c>
      <c r="AH47" s="512"/>
      <c r="AI47" s="401"/>
      <c r="AJ47" s="401"/>
      <c r="AK47" s="402"/>
      <c r="AL47" s="403">
        <v>0</v>
      </c>
      <c r="AM47" s="539">
        <f>(AM46*AL47)</f>
        <v>0</v>
      </c>
      <c r="AN47" s="535"/>
      <c r="AO47" s="404"/>
      <c r="AP47" s="169"/>
      <c r="AQ47" s="86"/>
      <c r="AR47" s="86"/>
      <c r="AS47" s="328"/>
      <c r="AT47" s="331">
        <v>0.8</v>
      </c>
      <c r="AU47" s="197"/>
      <c r="AV47" s="197"/>
      <c r="AW47" s="197"/>
      <c r="AX47" s="197"/>
      <c r="AY47" s="599"/>
      <c r="AZ47" s="197"/>
      <c r="BA47" s="197"/>
      <c r="BB47" s="197"/>
      <c r="BC47" s="197"/>
      <c r="BD47" s="197"/>
      <c r="BE47" s="197"/>
      <c r="BF47" s="240"/>
      <c r="BG47" s="240"/>
      <c r="BH47" s="240"/>
      <c r="BI47" s="197"/>
      <c r="BJ47" s="327"/>
      <c r="BK47" s="16"/>
      <c r="BL47" s="16"/>
      <c r="BM47" s="17"/>
      <c r="BR47"/>
      <c r="BS47" s="515">
        <v>3</v>
      </c>
      <c r="BT47"/>
      <c r="BU47"/>
      <c r="DO47" s="75"/>
      <c r="DP47" s="75"/>
      <c r="DQ47" s="75"/>
    </row>
    <row r="48" spans="1:121" ht="16.5" thickBot="1" x14ac:dyDescent="0.25">
      <c r="AG48" s="768" t="s">
        <v>63</v>
      </c>
      <c r="AH48" s="769"/>
      <c r="AI48" s="769"/>
      <c r="AJ48" s="769"/>
      <c r="AK48" s="769"/>
      <c r="AL48" s="770"/>
      <c r="AM48" s="540">
        <f>SUM(AM46:AM47)</f>
        <v>35244.800000000003</v>
      </c>
      <c r="AN48" s="534">
        <f>CEILING((AM48/$AH$11),1)</f>
        <v>7049</v>
      </c>
      <c r="AO48" s="407"/>
      <c r="AP48" s="264"/>
      <c r="AQ48" s="86"/>
      <c r="AR48" s="86"/>
      <c r="AS48" s="328"/>
      <c r="AT48" s="331">
        <v>0.7</v>
      </c>
      <c r="AU48" s="197"/>
      <c r="AV48" s="197"/>
      <c r="AW48" s="197"/>
      <c r="AX48" s="197"/>
      <c r="AY48" s="197"/>
      <c r="AZ48" s="197"/>
      <c r="BA48" s="197"/>
      <c r="BB48" s="197"/>
      <c r="BC48" s="197"/>
      <c r="BD48" s="197"/>
      <c r="BE48" s="197"/>
      <c r="BF48" s="240"/>
      <c r="BG48" s="240"/>
      <c r="BH48" s="240"/>
      <c r="BI48" s="197"/>
      <c r="BJ48" s="327"/>
      <c r="BK48" s="16"/>
      <c r="BL48" s="16"/>
      <c r="BM48" s="17"/>
      <c r="BR48"/>
      <c r="BS48" s="515">
        <v>4</v>
      </c>
      <c r="BT48"/>
      <c r="BU48"/>
      <c r="DO48" s="75"/>
      <c r="DP48" s="75"/>
      <c r="DQ48" s="75"/>
    </row>
    <row r="49" spans="1:136" ht="16.5" thickBot="1" x14ac:dyDescent="0.25">
      <c r="AH49" s="1"/>
      <c r="AI49" s="2"/>
      <c r="AN49" s="452"/>
      <c r="AO49" s="500"/>
      <c r="AP49" s="503"/>
      <c r="AQ49" s="86"/>
      <c r="AR49" s="86"/>
      <c r="AS49" s="328"/>
      <c r="AT49" s="16"/>
      <c r="AU49" s="319"/>
      <c r="AV49" s="711" t="s">
        <v>247</v>
      </c>
      <c r="AW49" s="711"/>
      <c r="AX49" s="711"/>
      <c r="AY49" s="711" t="s">
        <v>248</v>
      </c>
      <c r="AZ49" s="711"/>
      <c r="BA49" s="711"/>
      <c r="BB49" s="591"/>
      <c r="BC49" s="591"/>
      <c r="BD49" s="16"/>
      <c r="BE49" s="16"/>
      <c r="BF49" s="16"/>
      <c r="BG49" s="16"/>
      <c r="BH49" s="16"/>
      <c r="BI49" s="16"/>
      <c r="BJ49" s="197"/>
      <c r="BK49" s="327"/>
      <c r="BL49" s="16"/>
      <c r="BM49" s="17"/>
      <c r="BR49"/>
      <c r="BS49" s="515">
        <v>5</v>
      </c>
      <c r="BT49"/>
      <c r="BU49"/>
      <c r="DO49" s="75"/>
      <c r="DP49" s="75"/>
      <c r="DQ49" s="75"/>
    </row>
    <row r="50" spans="1:136" ht="25.5" x14ac:dyDescent="0.2">
      <c r="AG50" s="771" t="s">
        <v>130</v>
      </c>
      <c r="AH50" s="772"/>
      <c r="AI50" s="772"/>
      <c r="AJ50" s="772"/>
      <c r="AK50" s="772"/>
      <c r="AL50" s="772"/>
      <c r="AM50" s="772"/>
      <c r="AN50" s="772"/>
      <c r="AO50" s="772"/>
      <c r="AP50" s="773"/>
      <c r="AQ50" s="86"/>
      <c r="AR50" s="86"/>
      <c r="AS50" s="328"/>
      <c r="AT50" s="16" t="s">
        <v>257</v>
      </c>
      <c r="AU50" s="293" t="s">
        <v>250</v>
      </c>
      <c r="AV50" s="310" t="s">
        <v>167</v>
      </c>
      <c r="AW50" s="311" t="s">
        <v>251</v>
      </c>
      <c r="AX50" s="6" t="s">
        <v>168</v>
      </c>
      <c r="AY50" s="310" t="s">
        <v>167</v>
      </c>
      <c r="AZ50" s="597" t="s">
        <v>251</v>
      </c>
      <c r="BA50" s="6" t="s">
        <v>168</v>
      </c>
      <c r="BB50" s="591" t="s">
        <v>91</v>
      </c>
      <c r="BC50" s="298" t="s">
        <v>212</v>
      </c>
      <c r="BD50" s="16"/>
      <c r="BE50" s="16"/>
      <c r="BF50" s="16"/>
      <c r="BG50" s="16"/>
      <c r="BH50" s="16"/>
      <c r="BI50" s="16"/>
      <c r="BK50" s="324"/>
      <c r="BL50" s="327"/>
      <c r="BM50" s="17"/>
      <c r="DP50" s="75"/>
      <c r="DQ50" s="75"/>
      <c r="DR50" s="75"/>
    </row>
    <row r="51" spans="1:136" ht="12.75" x14ac:dyDescent="0.2">
      <c r="B51" s="776"/>
      <c r="C51" s="776"/>
      <c r="D51" s="776"/>
      <c r="E51" s="776"/>
      <c r="F51" s="776"/>
      <c r="G51" s="776"/>
      <c r="H51" s="776"/>
      <c r="AG51" s="61"/>
      <c r="AH51" s="285"/>
      <c r="AI51" s="7" t="s">
        <v>201</v>
      </c>
      <c r="AJ51" s="186" t="s">
        <v>200</v>
      </c>
      <c r="AK51" s="7" t="s">
        <v>198</v>
      </c>
      <c r="AL51" s="186" t="s">
        <v>317</v>
      </c>
      <c r="AM51" s="7"/>
      <c r="AN51" s="431"/>
      <c r="AO51" s="7" t="s">
        <v>316</v>
      </c>
      <c r="AP51" s="431"/>
      <c r="AQ51" s="86"/>
      <c r="AR51" s="86"/>
      <c r="AS51" s="517"/>
      <c r="AT51" s="324">
        <v>75</v>
      </c>
      <c r="AU51" s="591" t="s">
        <v>305</v>
      </c>
      <c r="AV51" s="595">
        <f>+'Basic rates'!G22</f>
        <v>237.30300000000003</v>
      </c>
      <c r="AW51" s="595">
        <f>+'Basic rates'!H22</f>
        <v>346.30300000000005</v>
      </c>
      <c r="AX51" s="595">
        <f>+'Basic rates'!I22</f>
        <v>335.11896000000002</v>
      </c>
      <c r="AY51" s="595">
        <f>+'Basic rates'!J22</f>
        <v>251.26200000000006</v>
      </c>
      <c r="AZ51" s="595">
        <f>+'Basic rates'!K22</f>
        <v>360.26200000000006</v>
      </c>
      <c r="BA51" s="595">
        <f>+'Basic rates'!L22</f>
        <v>354.83184000000006</v>
      </c>
      <c r="BB51" s="591" t="s">
        <v>92</v>
      </c>
      <c r="BC51" s="298" t="s">
        <v>213</v>
      </c>
      <c r="BD51" s="16"/>
      <c r="BE51" s="16"/>
      <c r="BF51" s="16"/>
      <c r="BG51" s="16"/>
      <c r="BH51" s="16"/>
      <c r="BI51" s="16"/>
      <c r="BK51" s="324"/>
      <c r="BL51" s="327"/>
      <c r="BM51" s="17"/>
      <c r="CS51" s="75"/>
      <c r="CT51" s="75"/>
      <c r="CU51" s="75"/>
      <c r="CV51" s="75"/>
      <c r="CW51" s="75"/>
      <c r="CX51" s="75"/>
      <c r="CY51" s="75"/>
      <c r="CZ51" s="75"/>
      <c r="DA51" s="75"/>
      <c r="DB51" s="75"/>
      <c r="DR51" s="75"/>
      <c r="DS51" s="75"/>
      <c r="DT51" s="75"/>
    </row>
    <row r="52" spans="1:136" ht="12.75" x14ac:dyDescent="0.2">
      <c r="B52" s="776"/>
      <c r="C52" s="776"/>
      <c r="D52" s="776"/>
      <c r="E52" s="776"/>
      <c r="F52" s="776"/>
      <c r="G52" s="776"/>
      <c r="H52" s="776"/>
      <c r="AG52" s="56" t="s">
        <v>128</v>
      </c>
      <c r="AH52" s="513"/>
      <c r="AI52" s="73" t="s">
        <v>204</v>
      </c>
      <c r="AJ52" s="267">
        <f>+IF(AND(AI52=BE193,AL52&lt;600),AT190)+IF(AND(AI52=BE193,AL52&gt;600.01,AL52&lt;800),AT191)+IF(AND(AI52=BE193,AL52&gt;800.01,AL52&lt;1000),AT192)+IF(AND(AI52=BE193,AL52&gt;1000.01,AL52&lt;1300),AT193)+IF(AND(AI52=BE193,AL52&gt;1300.01,AL52&lt;1500),AT194)+IF(AND(AI52=BE193,AL52&gt;1500.01,AL52&lt;2000),AT195)+IF(AND(AI52=BE193,AL52&gt;2000.01,AL52&lt;5500),AT196)+IF(AND(AI52=BE194,AL52&lt;170),AT197)+IF(AND(AI52=BE194,AL52&gt;170.01,AL52&lt;250),AT198)+IF(AND(AI52=BE194,AL52&gt;250.01,AL52&lt;350),AT199)+IF(AND(AI52=BE194,AL52&gt;350.01,AL52&lt;500),AT200)+IF(AND(AI52=BE194,AL52&gt;500.01,AL52&lt;750),AT201)+IF(AND(AI52=BE194,AL52&gt;750.01,AL52&lt;1400),AT202)+IF(AND(AI52=BE194,AL52&gt;1400.01,AL52&lt;2200),AT203)+IF(AND(AI52=BE195,AL52&lt;170),AT197)+IF(AND(AI52=BE195,AL52&gt;170.01,AL52&lt;250),AT198)+IF(AND(AI52=BE195,AL52&gt;250.01,AL52&lt;350),AT199)+IF(AND(AI52=BE195,AL52&gt;350.01,AL52&lt;500),AT200)+IF(AND(AI52=BE195,AL52&gt;500.01,AL52&lt;750),AT201)+IF(AND(AI52=BE195,AL52&gt;750.01,AL52&lt;1400),AT202)+IF(AND(AI52=BE195,AL52&gt;1400.01,AL52&lt;2200),AT203)</f>
        <v>170</v>
      </c>
      <c r="AK52" s="8" t="s">
        <v>199</v>
      </c>
      <c r="AL52" s="252">
        <f>+IF(AI52=BE193,AO52*2)+IF(AI52=BE194,AO52)+IF(AI52=BE195,AO52)</f>
        <v>109.50805949999999</v>
      </c>
      <c r="AM52" s="252">
        <f>IF(AJ52=AT190,AZ190)+IF(AJ52=AT191,AZ191)+IF(AJ52=AT192,AZ192)+IF(AJ52=AT193,AZ193)+IF(AJ52=AT194,AZ194)+IF(AJ52=AT195,AZ195)+IF(AJ52=AT196,AZ196)+IF(AJ52=AT197,AZ197)+IF(AJ52=AT198,AZ198)+IF(AJ52=AT199,AZ199)+IF(AJ52=AT200,AZ200)+IF(AJ52=AT201,AZ201)+IF(AJ52=AT202,AZ202)+IF(AJ52=AT203,AZ203)</f>
        <v>50341.252500000002</v>
      </c>
      <c r="AN52" s="432"/>
      <c r="AO52" s="252">
        <f>AO22+AO26+AO27+AO28</f>
        <v>109.50805949999999</v>
      </c>
      <c r="AP52" s="432"/>
      <c r="AQ52" s="86"/>
      <c r="AR52" s="86"/>
      <c r="AS52" s="328"/>
      <c r="AT52" s="324">
        <v>100</v>
      </c>
      <c r="AU52" s="591" t="s">
        <v>94</v>
      </c>
      <c r="AV52" s="595">
        <f>+'Basic rates'!G23</f>
        <v>303.50100000000003</v>
      </c>
      <c r="AW52" s="595">
        <f>+'Basic rates'!H23</f>
        <v>412.50100000000003</v>
      </c>
      <c r="AX52" s="595">
        <f>+'Basic rates'!I23</f>
        <v>330.70950000000005</v>
      </c>
      <c r="AY52" s="595">
        <f>+'Basic rates'!J23</f>
        <v>321.35400000000004</v>
      </c>
      <c r="AZ52" s="595">
        <f>+'Basic rates'!K23</f>
        <v>430.35400000000004</v>
      </c>
      <c r="BA52" s="595">
        <f>+'Basic rates'!L23</f>
        <v>459.16300000000007</v>
      </c>
      <c r="BB52" s="591" t="s">
        <v>92</v>
      </c>
      <c r="BC52" s="298" t="s">
        <v>214</v>
      </c>
      <c r="BD52" s="16"/>
      <c r="BE52" s="16"/>
      <c r="BF52" s="16"/>
      <c r="BG52" s="16"/>
      <c r="BH52" s="16"/>
      <c r="BI52" s="16"/>
      <c r="BK52" s="324"/>
      <c r="BL52" s="327"/>
      <c r="BM52" s="17"/>
      <c r="DA52" s="75"/>
      <c r="DB52" s="75"/>
      <c r="DC52" s="75"/>
      <c r="DD52" s="75"/>
      <c r="DE52" s="75"/>
      <c r="DF52" s="75"/>
      <c r="DG52" s="75"/>
      <c r="DH52" s="75"/>
      <c r="DI52" s="75"/>
      <c r="DJ52" s="75"/>
      <c r="DK52" s="75"/>
      <c r="DL52" s="75"/>
      <c r="DM52" s="75"/>
      <c r="DN52" s="75"/>
      <c r="DO52" s="75"/>
      <c r="DP52" s="75"/>
      <c r="DQ52" s="75"/>
      <c r="DR52" s="75"/>
      <c r="DS52" s="75"/>
      <c r="DT52" s="75"/>
      <c r="DU52" s="75"/>
      <c r="DV52" s="75"/>
      <c r="DW52" s="75"/>
      <c r="DX52" s="75"/>
      <c r="DY52" s="75"/>
    </row>
    <row r="53" spans="1:136" ht="12.75" x14ac:dyDescent="0.2">
      <c r="B53" s="776"/>
      <c r="C53" s="776"/>
      <c r="D53" s="776"/>
      <c r="E53" s="776"/>
      <c r="F53" s="776"/>
      <c r="G53" s="776"/>
      <c r="H53" s="776"/>
      <c r="AG53" s="135" t="s">
        <v>127</v>
      </c>
      <c r="AH53" s="514"/>
      <c r="AI53" s="438"/>
      <c r="AJ53" s="438"/>
      <c r="AK53" s="438"/>
      <c r="AL53" s="438"/>
      <c r="AM53" s="439">
        <f>(IF(AND(AI52=BE193,AK52=BE191),18000)+IF(AND(AI52=BE194,AK52=BE191),34000)+IF(AND(AI52=BE195,AK52=BE191),34000))*0.3</f>
        <v>0</v>
      </c>
      <c r="AN53" s="440"/>
      <c r="AO53" s="439"/>
      <c r="AP53" s="440"/>
      <c r="AQ53" s="86"/>
      <c r="AR53" s="86"/>
      <c r="AS53" s="328"/>
      <c r="AT53" s="324">
        <v>150</v>
      </c>
      <c r="AU53" s="591" t="s">
        <v>95</v>
      </c>
      <c r="AV53" s="595">
        <f>+'Basic rates'!G24</f>
        <v>435.89699999999999</v>
      </c>
      <c r="AW53" s="595">
        <f>+'Basic rates'!H24</f>
        <v>544.89700000000005</v>
      </c>
      <c r="AX53" s="595">
        <f>+'Basic rates'!I24</f>
        <v>396.85140000000001</v>
      </c>
      <c r="AY53" s="595">
        <f>+'Basic rates'!J24</f>
        <v>461.53800000000001</v>
      </c>
      <c r="AZ53" s="595">
        <f>+'Basic rates'!K24</f>
        <v>570.53800000000001</v>
      </c>
      <c r="BA53" s="595">
        <f>+'Basic rates'!L24</f>
        <v>529.19560000000001</v>
      </c>
      <c r="BB53" s="591" t="s">
        <v>92</v>
      </c>
      <c r="BC53" s="591" t="s">
        <v>215</v>
      </c>
      <c r="BD53" s="16"/>
      <c r="BE53" s="16"/>
      <c r="BF53" s="16"/>
      <c r="BG53" s="16"/>
      <c r="BH53" s="16"/>
      <c r="BI53" s="16"/>
      <c r="BK53" s="324"/>
      <c r="BL53" s="327"/>
      <c r="BM53" s="17"/>
      <c r="DB53" s="75"/>
      <c r="DC53" s="75"/>
      <c r="DD53" s="75"/>
      <c r="DE53" s="75"/>
      <c r="DF53" s="75"/>
      <c r="DG53" s="75"/>
      <c r="DH53" s="75"/>
      <c r="DI53" s="75"/>
      <c r="DJ53" s="75"/>
      <c r="DK53" s="75"/>
      <c r="DL53" s="75"/>
      <c r="DM53" s="75"/>
      <c r="DN53" s="75"/>
      <c r="DO53" s="75"/>
      <c r="DP53" s="75"/>
      <c r="DQ53" s="75"/>
      <c r="DR53" s="75"/>
      <c r="DS53" s="75"/>
      <c r="DT53" s="75"/>
      <c r="DU53" s="75"/>
      <c r="DV53" s="75"/>
      <c r="DW53" s="75"/>
      <c r="DX53" s="75"/>
      <c r="DY53" s="75"/>
      <c r="DZ53" s="75"/>
    </row>
    <row r="54" spans="1:136" ht="13.5" thickBot="1" x14ac:dyDescent="0.25">
      <c r="B54" s="776"/>
      <c r="C54" s="776"/>
      <c r="D54" s="776"/>
      <c r="E54" s="776"/>
      <c r="F54" s="776"/>
      <c r="G54" s="776"/>
      <c r="H54" s="776"/>
      <c r="AG54" s="427" t="s">
        <v>208</v>
      </c>
      <c r="AH54" s="508"/>
      <c r="AI54" s="442"/>
      <c r="AJ54" s="442"/>
      <c r="AK54" s="442"/>
      <c r="AL54" s="442"/>
      <c r="AM54" s="443">
        <f>IF(AI52=BE195,20000,0)*0.65</f>
        <v>0</v>
      </c>
      <c r="AN54" s="444"/>
      <c r="AO54" s="443"/>
      <c r="AP54" s="444"/>
      <c r="AQ54" s="86"/>
      <c r="AR54" s="86"/>
      <c r="AS54" s="328"/>
      <c r="AT54" s="16"/>
      <c r="AU54" s="16"/>
      <c r="AV54" s="16"/>
      <c r="AW54" s="16"/>
      <c r="AX54" s="39"/>
      <c r="AY54" s="16"/>
      <c r="AZ54" s="16"/>
      <c r="BA54" s="16"/>
      <c r="BB54" s="16"/>
      <c r="BC54" s="16"/>
      <c r="BD54" s="16"/>
      <c r="BE54" s="16"/>
      <c r="BF54" s="16"/>
      <c r="BG54" s="327"/>
      <c r="BH54" s="327"/>
      <c r="BI54" s="324"/>
      <c r="BJ54" s="327"/>
      <c r="BK54" s="16"/>
      <c r="BL54" s="16"/>
      <c r="BM54" s="17"/>
      <c r="CY54" s="75"/>
      <c r="CZ54" s="75"/>
      <c r="DA54" s="75"/>
      <c r="DB54" s="75"/>
      <c r="DC54" s="75"/>
      <c r="DD54" s="75"/>
      <c r="DE54" s="75"/>
      <c r="DF54" s="75"/>
      <c r="DG54" s="75"/>
      <c r="DH54" s="75"/>
      <c r="DI54" s="75"/>
      <c r="DJ54" s="75"/>
      <c r="DK54" s="75"/>
      <c r="DL54" s="75"/>
      <c r="DM54" s="75"/>
      <c r="DN54" s="75"/>
      <c r="DO54" s="75"/>
      <c r="DP54" s="75"/>
      <c r="DQ54" s="75"/>
      <c r="DR54" s="75"/>
      <c r="DS54" s="75"/>
      <c r="DT54" s="75"/>
      <c r="DU54" s="75"/>
      <c r="DV54" s="75"/>
      <c r="DW54" s="75"/>
      <c r="DX54" s="75"/>
      <c r="DY54" s="75"/>
      <c r="DZ54" s="75"/>
      <c r="EA54" s="75"/>
      <c r="EB54" s="75"/>
      <c r="EC54" s="75"/>
    </row>
    <row r="55" spans="1:136" ht="13.5" thickBot="1" x14ac:dyDescent="0.25">
      <c r="B55" s="776"/>
      <c r="C55" s="776"/>
      <c r="D55" s="776"/>
      <c r="E55" s="776"/>
      <c r="F55" s="776"/>
      <c r="G55" s="776"/>
      <c r="H55" s="776"/>
      <c r="AG55" s="768" t="s">
        <v>148</v>
      </c>
      <c r="AH55" s="769"/>
      <c r="AI55" s="769"/>
      <c r="AJ55" s="769"/>
      <c r="AK55" s="769"/>
      <c r="AL55" s="770"/>
      <c r="AM55" s="525">
        <f>+SUM(AM52:AM54)</f>
        <v>50341.252500000002</v>
      </c>
      <c r="AN55" s="407">
        <f>CEILING((AM55/$AH$11),1)</f>
        <v>10069</v>
      </c>
      <c r="AO55" s="407"/>
      <c r="AP55" s="264"/>
      <c r="AQ55" s="86"/>
      <c r="AR55" s="86"/>
      <c r="AS55" s="328"/>
      <c r="AT55" s="16"/>
      <c r="AU55" s="16"/>
      <c r="AV55" s="16"/>
      <c r="AW55" s="16"/>
      <c r="AX55" s="39"/>
      <c r="AY55" s="16"/>
      <c r="AZ55" s="16"/>
      <c r="BA55" s="16"/>
      <c r="BB55" s="16"/>
      <c r="BC55" s="16"/>
      <c r="BD55" s="16"/>
      <c r="BE55" s="16"/>
      <c r="BF55" s="16"/>
      <c r="BG55" s="327"/>
      <c r="BH55" s="327"/>
      <c r="BI55" s="324"/>
      <c r="BJ55" s="327"/>
      <c r="BK55" s="16"/>
      <c r="BL55" s="16"/>
      <c r="BM55" s="17"/>
      <c r="CY55" s="75"/>
      <c r="CZ55" s="75"/>
      <c r="DA55" s="75"/>
      <c r="DB55" s="75"/>
      <c r="DC55" s="75"/>
      <c r="DD55" s="75"/>
      <c r="DE55" s="75"/>
      <c r="DF55" s="75"/>
      <c r="DG55" s="75"/>
      <c r="DH55" s="75"/>
      <c r="DI55" s="75"/>
      <c r="DJ55" s="75"/>
      <c r="DK55" s="75"/>
      <c r="DL55" s="75"/>
      <c r="DM55" s="75"/>
      <c r="DN55" s="75"/>
      <c r="DO55" s="75"/>
      <c r="DP55" s="75"/>
      <c r="DQ55" s="75"/>
      <c r="DR55" s="75"/>
      <c r="DS55" s="75"/>
      <c r="DT55" s="75"/>
      <c r="DU55" s="75"/>
      <c r="DV55" s="75"/>
      <c r="DW55" s="75"/>
      <c r="DX55" s="75"/>
      <c r="DY55" s="75"/>
      <c r="DZ55" s="75"/>
    </row>
    <row r="56" spans="1:136" ht="12.75" x14ac:dyDescent="0.2">
      <c r="B56" s="776"/>
      <c r="C56" s="776"/>
      <c r="D56" s="776"/>
      <c r="E56" s="776"/>
      <c r="F56" s="776"/>
      <c r="G56" s="776"/>
      <c r="H56" s="776"/>
      <c r="AH56" s="1"/>
      <c r="AI56" s="2"/>
      <c r="AQ56" s="86"/>
      <c r="AR56" s="86"/>
      <c r="AS56" s="328"/>
      <c r="AT56" s="16"/>
      <c r="AU56" s="16"/>
      <c r="AV56" s="16"/>
      <c r="AW56" s="16"/>
      <c r="AX56" s="39"/>
      <c r="AY56" s="16"/>
      <c r="AZ56" s="16"/>
      <c r="BA56" s="16"/>
      <c r="BB56" s="16"/>
      <c r="BC56" s="16"/>
      <c r="BD56" s="16"/>
      <c r="BE56" s="16"/>
      <c r="BF56" s="16"/>
      <c r="BG56" s="327"/>
      <c r="BH56" s="327"/>
      <c r="BI56" s="324"/>
      <c r="BJ56" s="327"/>
      <c r="BK56" s="16"/>
      <c r="BL56" s="16"/>
      <c r="BM56" s="17"/>
      <c r="CZ56" s="75"/>
      <c r="DA56" s="75"/>
      <c r="DB56" s="75"/>
      <c r="DC56" s="75"/>
      <c r="DD56" s="75"/>
      <c r="DE56" s="75"/>
      <c r="DF56" s="75"/>
      <c r="DG56" s="75"/>
      <c r="DH56" s="75"/>
      <c r="DI56" s="75"/>
      <c r="DJ56" s="75"/>
      <c r="DK56" s="75"/>
      <c r="DL56" s="75"/>
      <c r="DM56" s="75"/>
      <c r="DN56" s="75"/>
      <c r="DO56" s="75"/>
      <c r="DP56" s="75"/>
      <c r="DQ56" s="75"/>
      <c r="DR56" s="75"/>
      <c r="DS56" s="75"/>
      <c r="DT56" s="75"/>
      <c r="DU56" s="75"/>
      <c r="DV56" s="75"/>
      <c r="DW56" s="75"/>
      <c r="DX56" s="75"/>
      <c r="DY56" s="75"/>
      <c r="DZ56" s="75"/>
      <c r="EA56" s="75"/>
    </row>
    <row r="57" spans="1:136" ht="14.25" x14ac:dyDescent="0.2">
      <c r="A57" s="75"/>
      <c r="B57" s="776"/>
      <c r="C57" s="776"/>
      <c r="D57" s="776"/>
      <c r="E57" s="776"/>
      <c r="F57" s="776"/>
      <c r="G57" s="776"/>
      <c r="H57" s="776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74" t="s">
        <v>131</v>
      </c>
      <c r="AH57" s="774"/>
      <c r="AI57" s="774"/>
      <c r="AJ57" s="774"/>
      <c r="AK57" s="774"/>
      <c r="AL57" s="774"/>
      <c r="AM57" s="774"/>
      <c r="AN57" s="774"/>
      <c r="AO57" s="774"/>
      <c r="AP57" s="774"/>
      <c r="AQ57" s="75"/>
      <c r="AR57" s="197"/>
      <c r="AS57" s="328"/>
      <c r="AT57" s="16" t="s">
        <v>258</v>
      </c>
      <c r="AU57" s="293" t="s">
        <v>169</v>
      </c>
      <c r="AV57" s="611" t="s">
        <v>259</v>
      </c>
      <c r="AW57" s="11" t="s">
        <v>260</v>
      </c>
      <c r="AX57" s="591" t="s">
        <v>91</v>
      </c>
      <c r="AY57" s="298" t="s">
        <v>212</v>
      </c>
      <c r="BC57" s="16"/>
      <c r="BD57" s="16"/>
      <c r="BE57" s="16"/>
      <c r="BF57" s="16"/>
      <c r="BG57" s="327"/>
      <c r="BH57" s="327"/>
      <c r="BI57" s="327"/>
      <c r="BJ57" s="327"/>
      <c r="BK57" s="327"/>
      <c r="BL57" s="16"/>
      <c r="BM57" s="17"/>
      <c r="CX57" s="75"/>
      <c r="CY57" s="75"/>
      <c r="CZ57" s="75"/>
      <c r="DA57" s="75"/>
      <c r="DB57" s="75"/>
      <c r="DC57" s="75"/>
      <c r="DD57" s="75"/>
      <c r="DE57" s="75"/>
      <c r="DF57" s="75"/>
      <c r="DG57" s="75"/>
      <c r="DH57" s="75"/>
      <c r="DI57" s="75"/>
      <c r="DJ57" s="75"/>
      <c r="DK57" s="75"/>
      <c r="DL57" s="75"/>
      <c r="DM57" s="75"/>
      <c r="DN57" s="75"/>
      <c r="DO57" s="75"/>
      <c r="DP57" s="75"/>
      <c r="DQ57" s="75"/>
      <c r="DR57" s="75"/>
      <c r="DS57" s="75"/>
      <c r="DT57" s="75"/>
      <c r="DU57" s="75"/>
      <c r="DV57" s="75"/>
      <c r="DW57" s="75"/>
      <c r="DX57" s="75"/>
      <c r="DY57" s="75"/>
    </row>
    <row r="58" spans="1:136" ht="12.75" x14ac:dyDescent="0.2">
      <c r="AG58" s="745" t="s">
        <v>329</v>
      </c>
      <c r="AH58" s="746"/>
      <c r="AI58" s="747"/>
      <c r="AJ58" s="520" t="s">
        <v>179</v>
      </c>
      <c r="AK58" s="521">
        <v>0</v>
      </c>
      <c r="AL58" s="522">
        <v>3000</v>
      </c>
      <c r="AM58" s="522">
        <f>+AK58*AL58</f>
        <v>0</v>
      </c>
      <c r="AQ58" s="86"/>
      <c r="AR58" s="86"/>
      <c r="AS58" s="328"/>
      <c r="AT58" s="16"/>
      <c r="AU58" s="591" t="s">
        <v>96</v>
      </c>
      <c r="AV58" s="595">
        <f>+'Basic rates'!E27</f>
        <v>312.907848</v>
      </c>
      <c r="AW58" s="595">
        <f>+'Basic rates'!F27</f>
        <v>331.31419199999999</v>
      </c>
      <c r="AX58" s="591" t="s">
        <v>92</v>
      </c>
      <c r="AY58" s="298" t="s">
        <v>213</v>
      </c>
      <c r="BC58" s="16"/>
      <c r="BD58" s="16"/>
      <c r="BE58" s="16"/>
      <c r="BF58" s="16"/>
      <c r="BG58" s="327"/>
      <c r="BH58" s="327"/>
      <c r="BI58" s="327"/>
      <c r="BJ58" s="327"/>
      <c r="BK58" s="327"/>
      <c r="BL58" s="16"/>
      <c r="BM58" s="17"/>
      <c r="CZ58" s="75"/>
      <c r="DA58" s="75"/>
      <c r="DB58" s="75"/>
      <c r="DC58" s="75"/>
      <c r="DD58" s="75"/>
      <c r="DE58" s="75"/>
      <c r="DF58" s="75"/>
      <c r="DG58" s="75"/>
      <c r="DH58" s="75"/>
      <c r="DI58" s="75"/>
      <c r="DJ58" s="75"/>
      <c r="DK58" s="75"/>
      <c r="DL58" s="75"/>
      <c r="DM58" s="75"/>
      <c r="DN58" s="75"/>
      <c r="DO58" s="75"/>
      <c r="DP58" s="75"/>
      <c r="DQ58" s="75"/>
      <c r="DR58" s="75"/>
      <c r="DS58" s="75"/>
      <c r="DT58" s="75"/>
      <c r="DU58" s="75"/>
      <c r="DV58" s="75"/>
      <c r="DW58" s="75"/>
      <c r="DX58" s="75"/>
      <c r="DY58" s="75"/>
      <c r="DZ58" s="75"/>
      <c r="EA58" s="75"/>
    </row>
    <row r="59" spans="1:136" ht="12.75" x14ac:dyDescent="0.2">
      <c r="AG59" s="745" t="s">
        <v>330</v>
      </c>
      <c r="AH59" s="746"/>
      <c r="AI59" s="747"/>
      <c r="AJ59" s="520" t="s">
        <v>179</v>
      </c>
      <c r="AK59" s="521">
        <v>0</v>
      </c>
      <c r="AL59" s="522">
        <v>10500</v>
      </c>
      <c r="AM59" s="522">
        <f t="shared" ref="AM59:AM76" si="3">+AK59*AL59</f>
        <v>0</v>
      </c>
      <c r="AR59" s="86"/>
      <c r="AS59" s="328"/>
      <c r="AT59" s="16"/>
      <c r="AU59" s="591" t="s">
        <v>97</v>
      </c>
      <c r="AV59" s="595">
        <f>+'Basic rates'!E28</f>
        <v>335.95984799999997</v>
      </c>
      <c r="AW59" s="595">
        <f>+'Basic rates'!F28</f>
        <v>355.72219200000001</v>
      </c>
      <c r="AX59" s="591" t="s">
        <v>92</v>
      </c>
      <c r="AY59" s="298" t="s">
        <v>214</v>
      </c>
      <c r="BC59" s="16"/>
      <c r="BD59" s="16"/>
      <c r="BE59" s="16"/>
      <c r="BF59" s="16"/>
      <c r="BG59" s="327"/>
      <c r="BH59" s="327"/>
      <c r="BI59" s="327"/>
      <c r="BJ59" s="327"/>
      <c r="BK59" s="327"/>
      <c r="BL59" s="16"/>
      <c r="BM59" s="17"/>
      <c r="DB59" s="75"/>
      <c r="DC59" s="75"/>
      <c r="DD59" s="75"/>
      <c r="DE59" s="75"/>
      <c r="DF59" s="75"/>
      <c r="DO59" s="75"/>
      <c r="DP59" s="75"/>
      <c r="DQ59" s="75"/>
      <c r="DR59" s="75"/>
      <c r="DS59" s="75"/>
      <c r="DT59" s="75"/>
      <c r="DU59" s="75"/>
      <c r="DV59" s="75"/>
      <c r="DW59" s="75"/>
      <c r="DX59" s="75"/>
      <c r="DY59" s="75"/>
      <c r="DZ59" s="75"/>
      <c r="EA59" s="75"/>
      <c r="EB59" s="75"/>
      <c r="EC59" s="75"/>
    </row>
    <row r="60" spans="1:136" ht="13.5" customHeight="1" x14ac:dyDescent="0.2">
      <c r="AG60" s="745" t="s">
        <v>331</v>
      </c>
      <c r="AH60" s="746"/>
      <c r="AI60" s="747"/>
      <c r="AJ60" s="520" t="s">
        <v>179</v>
      </c>
      <c r="AK60" s="521">
        <v>0</v>
      </c>
      <c r="AL60" s="522">
        <v>10500</v>
      </c>
      <c r="AM60" s="522">
        <f t="shared" si="3"/>
        <v>0</v>
      </c>
      <c r="AR60" s="16"/>
      <c r="AS60" s="600"/>
      <c r="AT60" s="197"/>
      <c r="AU60" s="319" t="s">
        <v>98</v>
      </c>
      <c r="AV60" s="595">
        <f>+'Basic rates'!E29</f>
        <v>420.67594799999995</v>
      </c>
      <c r="AW60" s="703">
        <f>+'Basic rates'!F29</f>
        <v>445.42159199999998</v>
      </c>
      <c r="AX60" s="319" t="s">
        <v>92</v>
      </c>
      <c r="AY60" s="591" t="s">
        <v>215</v>
      </c>
      <c r="BC60" s="197"/>
      <c r="BD60" s="197"/>
      <c r="BE60" s="16"/>
      <c r="BF60" s="197"/>
      <c r="BG60" s="327"/>
      <c r="BH60" s="327"/>
      <c r="BI60" s="327"/>
      <c r="BJ60" s="327"/>
      <c r="BK60" s="327"/>
      <c r="BL60" s="16"/>
      <c r="BM60" s="17"/>
      <c r="DC60" s="75"/>
      <c r="DD60" s="75"/>
      <c r="DE60" s="75"/>
      <c r="DF60" s="75"/>
      <c r="DG60" s="75"/>
    </row>
    <row r="61" spans="1:136" ht="12.75" customHeight="1" x14ac:dyDescent="0.2">
      <c r="AG61" s="745" t="s">
        <v>332</v>
      </c>
      <c r="AH61" s="746"/>
      <c r="AI61" s="747"/>
      <c r="AJ61" s="520" t="s">
        <v>179</v>
      </c>
      <c r="AK61" s="521">
        <v>0</v>
      </c>
      <c r="AL61" s="522">
        <v>10500</v>
      </c>
      <c r="AM61" s="522">
        <f t="shared" si="3"/>
        <v>0</v>
      </c>
      <c r="AR61" s="16"/>
      <c r="AS61" s="323"/>
      <c r="AT61" s="197"/>
      <c r="AU61" s="705"/>
      <c r="AV61" s="704"/>
      <c r="AW61" s="197"/>
      <c r="AX61" s="197"/>
      <c r="AY61" s="197"/>
      <c r="AZ61" s="197"/>
      <c r="BA61" s="197"/>
      <c r="BB61" s="197"/>
      <c r="BC61" s="197"/>
      <c r="BD61" s="197"/>
      <c r="BE61" s="197"/>
      <c r="BF61" s="327"/>
      <c r="BG61" s="240"/>
      <c r="BH61" s="240"/>
      <c r="BI61" s="240"/>
      <c r="BJ61" s="327"/>
      <c r="BK61" s="16"/>
      <c r="BL61" s="16"/>
      <c r="BM61" s="17"/>
      <c r="DC61" s="75"/>
      <c r="DD61" s="75"/>
      <c r="DE61" s="75"/>
      <c r="DF61" s="75"/>
      <c r="DG61" s="75"/>
      <c r="DH61" s="75"/>
      <c r="DI61" s="75"/>
      <c r="DJ61" s="75"/>
      <c r="DK61" s="75"/>
      <c r="DL61" s="75"/>
      <c r="DM61" s="75"/>
      <c r="DN61" s="75"/>
      <c r="DO61" s="75"/>
    </row>
    <row r="62" spans="1:136" ht="12.75" customHeight="1" x14ac:dyDescent="0.2">
      <c r="AG62" s="745" t="s">
        <v>333</v>
      </c>
      <c r="AH62" s="746"/>
      <c r="AI62" s="747"/>
      <c r="AJ62" s="520" t="s">
        <v>179</v>
      </c>
      <c r="AK62" s="521">
        <v>0</v>
      </c>
      <c r="AL62" s="522">
        <v>2500</v>
      </c>
      <c r="AM62" s="522">
        <f t="shared" si="3"/>
        <v>0</v>
      </c>
      <c r="AR62" s="16"/>
      <c r="AS62" s="323"/>
      <c r="AT62" s="197"/>
      <c r="AU62" s="197"/>
      <c r="AV62" s="197"/>
      <c r="AW62" s="197"/>
      <c r="AX62" s="197"/>
      <c r="AY62" s="197"/>
      <c r="AZ62" s="197"/>
      <c r="BA62" s="197"/>
      <c r="BB62" s="197"/>
      <c r="BC62" s="197"/>
      <c r="BD62" s="197"/>
      <c r="BE62" s="197"/>
      <c r="BF62" s="327"/>
      <c r="BG62" s="240"/>
      <c r="BH62" s="240"/>
      <c r="BI62" s="240"/>
      <c r="BJ62" s="327"/>
      <c r="BK62" s="16"/>
      <c r="BL62" s="16"/>
      <c r="BM62" s="17"/>
      <c r="DE62" s="75"/>
      <c r="DF62" s="75"/>
      <c r="DG62" s="75"/>
      <c r="DH62" s="75"/>
      <c r="DI62" s="75"/>
      <c r="DR62" s="75"/>
      <c r="DS62" s="75"/>
      <c r="DT62" s="75"/>
      <c r="DU62" s="75"/>
      <c r="DV62" s="75"/>
      <c r="DW62" s="75"/>
      <c r="DX62" s="75"/>
      <c r="DY62" s="75"/>
      <c r="DZ62" s="75"/>
      <c r="EA62" s="75"/>
      <c r="EB62" s="75"/>
      <c r="EC62" s="75"/>
      <c r="ED62" s="75"/>
      <c r="EE62" s="75"/>
      <c r="EF62" s="75"/>
    </row>
    <row r="63" spans="1:136" ht="12.75" x14ac:dyDescent="0.2">
      <c r="AG63" s="745" t="s">
        <v>334</v>
      </c>
      <c r="AH63" s="746"/>
      <c r="AI63" s="747"/>
      <c r="AJ63" s="520" t="s">
        <v>54</v>
      </c>
      <c r="AK63" s="521">
        <v>0</v>
      </c>
      <c r="AL63" s="522">
        <v>12500</v>
      </c>
      <c r="AM63" s="522">
        <f t="shared" si="3"/>
        <v>0</v>
      </c>
      <c r="AR63" s="16"/>
      <c r="AS63" s="323"/>
      <c r="AT63" s="197" t="s">
        <v>263</v>
      </c>
      <c r="AU63" s="293" t="s">
        <v>309</v>
      </c>
      <c r="AV63" s="606" t="s">
        <v>307</v>
      </c>
      <c r="AW63" s="319" t="s">
        <v>298</v>
      </c>
      <c r="AX63" s="319"/>
      <c r="AY63" s="621" t="s">
        <v>319</v>
      </c>
      <c r="BB63" s="197"/>
      <c r="BD63" s="197"/>
      <c r="BE63" s="197"/>
      <c r="BF63" s="197"/>
      <c r="BG63" s="197"/>
      <c r="BH63" s="327"/>
      <c r="BI63" s="240"/>
      <c r="BJ63" s="327"/>
      <c r="BK63" s="16"/>
      <c r="BL63" s="16"/>
      <c r="BM63" s="17"/>
      <c r="DG63" s="75"/>
      <c r="DH63" s="75"/>
      <c r="DI63" s="75"/>
      <c r="DJ63" s="75"/>
      <c r="DK63" s="75"/>
    </row>
    <row r="64" spans="1:136" ht="12.75" x14ac:dyDescent="0.2">
      <c r="AG64" s="745" t="s">
        <v>335</v>
      </c>
      <c r="AH64" s="746"/>
      <c r="AI64" s="747"/>
      <c r="AJ64" s="520" t="s">
        <v>179</v>
      </c>
      <c r="AK64" s="521">
        <v>0</v>
      </c>
      <c r="AL64" s="522">
        <v>16500</v>
      </c>
      <c r="AM64" s="522">
        <f t="shared" si="3"/>
        <v>0</v>
      </c>
      <c r="AR64" s="16"/>
      <c r="AS64" s="323"/>
      <c r="AT64" s="197"/>
      <c r="AU64" s="608">
        <v>4</v>
      </c>
      <c r="AV64" s="608">
        <v>12.5</v>
      </c>
      <c r="AW64" s="370">
        <f>+'Basic rates'!H33</f>
        <v>715.5</v>
      </c>
      <c r="AX64" s="459" t="s">
        <v>75</v>
      </c>
      <c r="AY64" s="614">
        <v>758885</v>
      </c>
      <c r="BB64" s="197"/>
      <c r="BD64" s="197"/>
      <c r="BE64" s="197"/>
      <c r="BF64" s="197"/>
      <c r="BG64" s="197"/>
      <c r="BH64" s="327"/>
      <c r="BI64" s="240"/>
      <c r="BJ64" s="327"/>
      <c r="BK64" s="16"/>
      <c r="BL64" s="16"/>
      <c r="BM64" s="17"/>
      <c r="DF64" s="75"/>
      <c r="DG64" s="75"/>
      <c r="DH64" s="75"/>
      <c r="DI64" s="75"/>
      <c r="DJ64" s="75"/>
    </row>
    <row r="65" spans="33:114" ht="12.75" x14ac:dyDescent="0.2">
      <c r="AG65" s="745" t="s">
        <v>336</v>
      </c>
      <c r="AH65" s="746"/>
      <c r="AI65" s="747"/>
      <c r="AJ65" s="520" t="s">
        <v>179</v>
      </c>
      <c r="AK65" s="521">
        <v>0</v>
      </c>
      <c r="AL65" s="522">
        <v>3000</v>
      </c>
      <c r="AM65" s="522">
        <f t="shared" si="3"/>
        <v>0</v>
      </c>
      <c r="AR65" s="16"/>
      <c r="AS65" s="323"/>
      <c r="AT65" s="197"/>
      <c r="AU65" s="608">
        <v>5</v>
      </c>
      <c r="AV65" s="608">
        <v>16.649999999999999</v>
      </c>
      <c r="AW65" s="370">
        <f>+'Basic rates'!H34</f>
        <v>953.04599999999994</v>
      </c>
      <c r="AX65" s="459" t="s">
        <v>75</v>
      </c>
      <c r="AY65" s="616">
        <v>115</v>
      </c>
      <c r="BB65" s="197"/>
      <c r="BD65" s="197"/>
      <c r="BE65" s="197"/>
      <c r="BF65" s="197"/>
      <c r="BG65" s="197"/>
      <c r="BH65" s="327"/>
      <c r="BI65" s="240"/>
      <c r="BJ65" s="327"/>
      <c r="BK65" s="16"/>
      <c r="BL65" s="16"/>
      <c r="BM65" s="17"/>
      <c r="DF65" s="75"/>
      <c r="DG65" s="75"/>
      <c r="DH65" s="75"/>
      <c r="DI65" s="75"/>
      <c r="DJ65" s="75"/>
    </row>
    <row r="66" spans="33:114" ht="12.75" x14ac:dyDescent="0.2">
      <c r="AG66" s="541" t="s">
        <v>344</v>
      </c>
      <c r="AH66" s="565"/>
      <c r="AI66" s="566"/>
      <c r="AJ66" s="524" t="s">
        <v>343</v>
      </c>
      <c r="AK66" s="521">
        <v>0</v>
      </c>
      <c r="AL66" s="522">
        <v>0</v>
      </c>
      <c r="AM66" s="522">
        <f t="shared" si="3"/>
        <v>0</v>
      </c>
      <c r="AR66" s="16"/>
      <c r="AS66" s="323"/>
      <c r="AT66" s="197"/>
      <c r="AU66" s="608">
        <v>6</v>
      </c>
      <c r="AV66" s="608">
        <v>19.37</v>
      </c>
      <c r="AW66" s="370">
        <f>+'Basic rates'!H35</f>
        <v>1108.7388000000001</v>
      </c>
      <c r="AX66" s="459" t="s">
        <v>75</v>
      </c>
      <c r="AY66" s="615"/>
      <c r="BB66" s="197"/>
      <c r="BC66" s="327"/>
      <c r="BD66" s="197"/>
      <c r="BE66" s="197"/>
      <c r="BF66" s="197"/>
      <c r="BG66" s="197"/>
      <c r="BH66" s="327"/>
      <c r="BI66" s="240"/>
      <c r="BJ66" s="327"/>
      <c r="BK66" s="16"/>
      <c r="BL66" s="16"/>
      <c r="BM66" s="17"/>
      <c r="DF66" s="75"/>
      <c r="DG66" s="75"/>
      <c r="DH66" s="75"/>
      <c r="DI66" s="75"/>
      <c r="DJ66" s="75"/>
    </row>
    <row r="67" spans="33:114" ht="12.75" x14ac:dyDescent="0.2">
      <c r="AG67" s="745" t="s">
        <v>337</v>
      </c>
      <c r="AH67" s="746"/>
      <c r="AI67" s="747"/>
      <c r="AJ67" s="520" t="s">
        <v>179</v>
      </c>
      <c r="AK67" s="521">
        <v>0</v>
      </c>
      <c r="AL67" s="522">
        <v>3000</v>
      </c>
      <c r="AM67" s="522">
        <f t="shared" si="3"/>
        <v>0</v>
      </c>
      <c r="AR67" s="16"/>
      <c r="AS67" s="323"/>
      <c r="AT67" s="197"/>
      <c r="AU67" s="608">
        <v>8</v>
      </c>
      <c r="AV67" s="608">
        <v>23.43</v>
      </c>
      <c r="AW67" s="370">
        <f>+'Basic rates'!H36</f>
        <v>1341.1332</v>
      </c>
      <c r="AX67" s="459" t="s">
        <v>75</v>
      </c>
      <c r="AY67" s="459"/>
      <c r="BB67" s="197"/>
      <c r="BC67" s="327"/>
      <c r="BD67" s="197"/>
      <c r="BE67" s="197"/>
      <c r="BF67" s="197"/>
      <c r="BG67" s="197"/>
      <c r="BH67" s="327"/>
      <c r="BI67" s="240"/>
      <c r="BJ67" s="327"/>
      <c r="BK67" s="16"/>
      <c r="BL67" s="16"/>
      <c r="BM67" s="17"/>
      <c r="DF67" s="75"/>
      <c r="DG67" s="75"/>
      <c r="DH67" s="75"/>
      <c r="DI67" s="75"/>
      <c r="DJ67" s="75"/>
    </row>
    <row r="68" spans="33:114" ht="12.75" x14ac:dyDescent="0.2">
      <c r="AG68" s="745" t="s">
        <v>338</v>
      </c>
      <c r="AH68" s="746"/>
      <c r="AI68" s="747"/>
      <c r="AJ68" s="520" t="s">
        <v>179</v>
      </c>
      <c r="AK68" s="521">
        <v>0</v>
      </c>
      <c r="AL68" s="522">
        <v>4000</v>
      </c>
      <c r="AM68" s="522">
        <f t="shared" si="3"/>
        <v>0</v>
      </c>
      <c r="AR68" s="16"/>
      <c r="AS68" s="323"/>
      <c r="AT68" s="197"/>
      <c r="AU68" s="610">
        <v>10</v>
      </c>
      <c r="AV68" s="610">
        <v>26.51</v>
      </c>
      <c r="AW68" s="370">
        <f>+'Basic rates'!H37</f>
        <v>1517.4324000000001</v>
      </c>
      <c r="AX68" s="591" t="s">
        <v>75</v>
      </c>
      <c r="AY68" s="591"/>
      <c r="BB68" s="197"/>
      <c r="BC68" s="327"/>
      <c r="BD68" s="197"/>
      <c r="BE68" s="197"/>
      <c r="BF68" s="197"/>
      <c r="BG68" s="197"/>
      <c r="BH68" s="327"/>
      <c r="BI68" s="240"/>
      <c r="BJ68" s="327"/>
      <c r="BK68" s="16"/>
      <c r="BL68" s="16"/>
      <c r="BM68" s="17"/>
      <c r="DF68" s="75"/>
      <c r="DG68" s="75"/>
      <c r="DH68" s="75"/>
    </row>
    <row r="69" spans="33:114" ht="12.75" x14ac:dyDescent="0.2">
      <c r="AG69" s="659" t="s">
        <v>430</v>
      </c>
      <c r="AH69" s="777" t="s">
        <v>31</v>
      </c>
      <c r="AI69" s="778"/>
      <c r="AJ69" s="520" t="s">
        <v>179</v>
      </c>
      <c r="AK69" s="521">
        <f>+AH10*2</f>
        <v>4</v>
      </c>
      <c r="AL69" s="522">
        <v>160</v>
      </c>
      <c r="AM69" s="522">
        <f t="shared" si="3"/>
        <v>640</v>
      </c>
      <c r="AR69" s="16"/>
      <c r="AS69" s="323"/>
      <c r="AT69" s="197"/>
      <c r="AU69" s="610">
        <v>12</v>
      </c>
      <c r="AV69" s="610">
        <v>31.44</v>
      </c>
      <c r="AW69" s="370">
        <f>+'Basic rates'!H38</f>
        <v>1799.6256000000001</v>
      </c>
      <c r="AX69" s="591" t="s">
        <v>75</v>
      </c>
      <c r="AY69" s="591"/>
      <c r="BB69" s="197"/>
      <c r="BC69" s="327"/>
      <c r="BD69" s="197"/>
      <c r="BE69" s="197"/>
      <c r="BF69" s="197"/>
      <c r="BG69" s="197"/>
      <c r="BH69" s="327"/>
      <c r="BI69" s="240"/>
      <c r="BJ69" s="327"/>
      <c r="BK69" s="16"/>
      <c r="BL69" s="16"/>
      <c r="BM69" s="17"/>
      <c r="DF69" s="75"/>
      <c r="DG69" s="75"/>
      <c r="DH69" s="75"/>
    </row>
    <row r="70" spans="33:114" ht="12.75" x14ac:dyDescent="0.2">
      <c r="AG70" s="745" t="s">
        <v>339</v>
      </c>
      <c r="AH70" s="746"/>
      <c r="AI70" s="747"/>
      <c r="AJ70" s="520" t="s">
        <v>54</v>
      </c>
      <c r="AK70" s="521">
        <v>0</v>
      </c>
      <c r="AL70" s="522">
        <v>10500</v>
      </c>
      <c r="AM70" s="522">
        <f t="shared" si="3"/>
        <v>0</v>
      </c>
      <c r="AR70" s="16"/>
      <c r="AS70" s="323"/>
      <c r="AT70" s="197"/>
      <c r="AU70" s="610">
        <v>14</v>
      </c>
      <c r="AV70" s="610">
        <v>37.61</v>
      </c>
      <c r="AW70" s="370">
        <f>+'Basic rates'!H39</f>
        <v>2152.7964000000002</v>
      </c>
      <c r="AX70" s="591" t="s">
        <v>75</v>
      </c>
      <c r="AY70" s="591"/>
      <c r="AZ70" s="650" t="s">
        <v>23</v>
      </c>
      <c r="BA70" s="650">
        <v>1</v>
      </c>
      <c r="BB70" s="319">
        <v>0</v>
      </c>
      <c r="BC70" s="327"/>
      <c r="BD70" s="197"/>
      <c r="BE70" s="197"/>
      <c r="BF70" s="197"/>
      <c r="BG70" s="197"/>
      <c r="BH70" s="327"/>
      <c r="BI70" s="240"/>
      <c r="BJ70" s="327"/>
      <c r="BK70" s="16"/>
      <c r="BL70" s="16"/>
      <c r="BM70" s="17"/>
      <c r="DF70" s="75"/>
      <c r="DG70" s="75"/>
      <c r="DH70" s="75"/>
      <c r="DI70" s="75"/>
      <c r="DJ70" s="75"/>
    </row>
    <row r="71" spans="33:114" ht="12.75" x14ac:dyDescent="0.2">
      <c r="AG71" s="745" t="s">
        <v>340</v>
      </c>
      <c r="AH71" s="746"/>
      <c r="AI71" s="747"/>
      <c r="AJ71" s="520" t="s">
        <v>179</v>
      </c>
      <c r="AK71" s="521">
        <v>0</v>
      </c>
      <c r="AL71" s="523">
        <v>10500</v>
      </c>
      <c r="AM71" s="522">
        <f t="shared" si="3"/>
        <v>0</v>
      </c>
      <c r="AR71" s="16"/>
      <c r="AS71" s="323"/>
      <c r="AT71" s="197"/>
      <c r="AU71" s="197"/>
      <c r="AV71" s="197"/>
      <c r="AW71" s="197"/>
      <c r="AX71" s="197"/>
      <c r="AY71" s="197"/>
      <c r="AZ71" s="650" t="s">
        <v>31</v>
      </c>
      <c r="BA71" s="319">
        <v>2</v>
      </c>
      <c r="BB71" s="319">
        <v>200</v>
      </c>
      <c r="BC71" s="327"/>
      <c r="BD71" s="197"/>
      <c r="BE71" s="197"/>
      <c r="BF71" s="327"/>
      <c r="BG71" s="240"/>
      <c r="BH71" s="240"/>
      <c r="BI71" s="240"/>
      <c r="BJ71" s="327"/>
      <c r="BK71" s="16"/>
      <c r="BL71" s="16"/>
      <c r="BM71" s="17"/>
      <c r="CT71" s="75"/>
      <c r="CU71" s="75"/>
      <c r="CV71" s="75"/>
      <c r="CW71" s="75"/>
      <c r="CX71" s="75"/>
      <c r="CY71" s="75"/>
      <c r="CZ71" s="75"/>
      <c r="DA71" s="75"/>
      <c r="DB71" s="75"/>
      <c r="DC71" s="75"/>
      <c r="DD71" s="75"/>
      <c r="DE71" s="75"/>
    </row>
    <row r="72" spans="33:114" ht="12.75" x14ac:dyDescent="0.2">
      <c r="AG72" s="745" t="s">
        <v>341</v>
      </c>
      <c r="AH72" s="746"/>
      <c r="AI72" s="747"/>
      <c r="AJ72" s="520" t="s">
        <v>179</v>
      </c>
      <c r="AK72" s="521">
        <v>0</v>
      </c>
      <c r="AL72" s="523">
        <v>67500</v>
      </c>
      <c r="AM72" s="522">
        <f t="shared" si="3"/>
        <v>0</v>
      </c>
      <c r="AR72" s="16"/>
      <c r="AS72" s="323"/>
      <c r="AT72" s="197"/>
      <c r="AU72" s="293" t="s">
        <v>72</v>
      </c>
      <c r="AV72" s="617" t="s">
        <v>302</v>
      </c>
      <c r="AW72" s="617" t="s">
        <v>315</v>
      </c>
      <c r="AX72" s="617" t="s">
        <v>270</v>
      </c>
      <c r="AY72" s="197"/>
      <c r="AZ72" s="197"/>
      <c r="BA72" s="197"/>
      <c r="BB72" s="197"/>
      <c r="BC72" s="327"/>
      <c r="BD72" s="197"/>
      <c r="BE72" s="197"/>
      <c r="BF72" s="327"/>
      <c r="BG72" s="240"/>
      <c r="BH72" s="240"/>
      <c r="BI72" s="240"/>
      <c r="BJ72" s="327"/>
      <c r="BK72" s="16"/>
      <c r="BL72" s="16"/>
      <c r="BM72" s="17"/>
      <c r="CT72" s="75"/>
      <c r="CU72" s="75"/>
      <c r="CV72" s="75"/>
      <c r="CW72" s="75"/>
      <c r="CX72" s="75"/>
      <c r="CY72" s="75"/>
      <c r="CZ72" s="75"/>
      <c r="DA72" s="75"/>
      <c r="DB72" s="75"/>
      <c r="DC72" s="75"/>
      <c r="DD72" s="75"/>
      <c r="DE72" s="75"/>
    </row>
    <row r="73" spans="33:114" ht="12.75" x14ac:dyDescent="0.2">
      <c r="AG73" s="745" t="s">
        <v>341</v>
      </c>
      <c r="AH73" s="746"/>
      <c r="AI73" s="747"/>
      <c r="AJ73" s="520" t="s">
        <v>179</v>
      </c>
      <c r="AK73" s="521">
        <v>0</v>
      </c>
      <c r="AL73" s="523">
        <v>93500</v>
      </c>
      <c r="AM73" s="522">
        <f t="shared" si="3"/>
        <v>0</v>
      </c>
      <c r="AR73" s="16"/>
      <c r="AS73" s="323"/>
      <c r="AT73" s="197" t="s">
        <v>264</v>
      </c>
      <c r="AU73" s="591"/>
      <c r="AV73" s="459">
        <v>12</v>
      </c>
      <c r="AW73" s="223">
        <f>+'Basic rates'!E42</f>
        <v>1400</v>
      </c>
      <c r="AX73" s="459" t="s">
        <v>45</v>
      </c>
      <c r="BB73" s="197"/>
      <c r="BC73" s="327"/>
      <c r="BD73" s="197"/>
      <c r="BE73" s="197"/>
      <c r="BF73" s="197"/>
      <c r="BG73" s="327"/>
      <c r="BH73" s="240"/>
      <c r="BI73" s="240"/>
      <c r="BJ73" s="240"/>
      <c r="BK73" s="327"/>
      <c r="BL73" s="16"/>
      <c r="BM73" s="17"/>
      <c r="CT73" s="75"/>
      <c r="CU73" s="75"/>
      <c r="CV73" s="75"/>
      <c r="CW73" s="75"/>
      <c r="CX73" s="75"/>
      <c r="CY73" s="75"/>
      <c r="CZ73" s="75"/>
      <c r="DA73" s="75"/>
      <c r="DB73" s="75"/>
      <c r="DC73" s="75"/>
      <c r="DD73" s="75"/>
      <c r="DE73" s="75"/>
      <c r="DF73" s="75"/>
      <c r="DG73" s="75"/>
      <c r="DH73" s="75"/>
    </row>
    <row r="74" spans="33:114" ht="12.75" x14ac:dyDescent="0.2">
      <c r="AG74" s="745" t="s">
        <v>341</v>
      </c>
      <c r="AH74" s="746"/>
      <c r="AI74" s="747"/>
      <c r="AJ74" s="520" t="s">
        <v>179</v>
      </c>
      <c r="AK74" s="521">
        <v>0</v>
      </c>
      <c r="AL74" s="523">
        <v>125000</v>
      </c>
      <c r="AM74" s="522">
        <f t="shared" si="3"/>
        <v>0</v>
      </c>
      <c r="AR74" s="16"/>
      <c r="AS74" s="323"/>
      <c r="AT74" s="197"/>
      <c r="AU74" s="620"/>
      <c r="AV74" s="459">
        <v>24</v>
      </c>
      <c r="AW74" s="223">
        <f>+'Basic rates'!E43</f>
        <v>1600</v>
      </c>
      <c r="AX74" s="459" t="s">
        <v>45</v>
      </c>
      <c r="BB74" s="197"/>
      <c r="BC74" s="327"/>
      <c r="BD74" s="197"/>
      <c r="BE74" s="197"/>
      <c r="BF74" s="197"/>
      <c r="BG74" s="327"/>
      <c r="BH74" s="240"/>
      <c r="BI74" s="240"/>
      <c r="BJ74" s="240"/>
      <c r="BK74" s="327"/>
      <c r="BL74" s="16"/>
      <c r="BM74" s="17"/>
      <c r="CT74" s="75"/>
      <c r="CU74" s="75"/>
      <c r="CV74" s="75"/>
      <c r="CW74" s="75"/>
      <c r="CX74" s="75"/>
      <c r="CY74" s="75"/>
      <c r="CZ74" s="75"/>
      <c r="DA74" s="75"/>
      <c r="DB74" s="75"/>
      <c r="DC74" s="75"/>
      <c r="DD74" s="75"/>
      <c r="DE74" s="75"/>
    </row>
    <row r="75" spans="33:114" ht="12.75" x14ac:dyDescent="0.2">
      <c r="AG75" s="663" t="s">
        <v>431</v>
      </c>
      <c r="AH75" s="664"/>
      <c r="AI75" s="665"/>
      <c r="AJ75" s="524" t="s">
        <v>343</v>
      </c>
      <c r="AK75" s="520">
        <f>+AH9</f>
        <v>2</v>
      </c>
      <c r="AL75" s="522">
        <v>0</v>
      </c>
      <c r="AM75" s="522">
        <f t="shared" si="3"/>
        <v>0</v>
      </c>
      <c r="AR75" s="16"/>
      <c r="AS75" s="323"/>
      <c r="AT75" s="197"/>
      <c r="AU75" s="620"/>
      <c r="AV75" s="319">
        <v>48</v>
      </c>
      <c r="AW75" s="223">
        <f>+'Basic rates'!E44</f>
        <v>1800</v>
      </c>
      <c r="AX75" s="459" t="s">
        <v>45</v>
      </c>
      <c r="BB75" s="197"/>
      <c r="BC75" s="197"/>
      <c r="BD75" s="197"/>
      <c r="BE75" s="197"/>
      <c r="BF75" s="197"/>
      <c r="BG75" s="327"/>
      <c r="BH75" s="240"/>
      <c r="BI75" s="240"/>
      <c r="BJ75" s="240"/>
      <c r="BK75" s="327"/>
      <c r="BL75" s="16"/>
      <c r="BM75" s="17"/>
      <c r="CT75" s="75"/>
      <c r="CU75" s="75"/>
      <c r="CV75" s="75"/>
      <c r="CW75" s="75"/>
      <c r="CX75" s="75"/>
      <c r="CY75" s="75"/>
      <c r="CZ75" s="75"/>
      <c r="DA75" s="75"/>
      <c r="DB75" s="75"/>
      <c r="DC75" s="75"/>
      <c r="DD75" s="75"/>
      <c r="DE75" s="75"/>
    </row>
    <row r="76" spans="33:114" ht="13.5" thickBot="1" x14ac:dyDescent="0.25">
      <c r="AG76" s="745" t="s">
        <v>342</v>
      </c>
      <c r="AH76" s="746"/>
      <c r="AI76" s="747"/>
      <c r="AJ76" s="520" t="s">
        <v>179</v>
      </c>
      <c r="AK76" s="521">
        <v>0</v>
      </c>
      <c r="AL76" s="522">
        <v>6000</v>
      </c>
      <c r="AM76" s="522">
        <f t="shared" si="3"/>
        <v>0</v>
      </c>
      <c r="AR76" s="16"/>
      <c r="AS76" s="323"/>
      <c r="AT76" s="197"/>
      <c r="AU76" s="619"/>
      <c r="AV76" s="319">
        <v>64</v>
      </c>
      <c r="AW76" s="223">
        <f>+'Basic rates'!E45</f>
        <v>2200</v>
      </c>
      <c r="AX76" s="459" t="s">
        <v>45</v>
      </c>
      <c r="BB76" s="197"/>
      <c r="BC76" s="197"/>
      <c r="BD76" s="197"/>
      <c r="BE76" s="197"/>
      <c r="BF76" s="197"/>
      <c r="BG76" s="327"/>
      <c r="BH76" s="240"/>
      <c r="BI76" s="240"/>
      <c r="BJ76" s="240"/>
      <c r="BK76" s="327"/>
      <c r="BL76" s="16"/>
      <c r="BM76" s="17"/>
      <c r="CT76" s="75"/>
      <c r="CU76" s="75"/>
      <c r="CV76" s="75"/>
      <c r="CW76" s="75"/>
      <c r="CX76" s="75"/>
      <c r="CY76" s="75"/>
      <c r="CZ76" s="75"/>
      <c r="DA76" s="75"/>
      <c r="DB76" s="75"/>
      <c r="DC76" s="75"/>
      <c r="DD76" s="75"/>
      <c r="DE76" s="75"/>
    </row>
    <row r="77" spans="33:114" ht="13.5" thickBot="1" x14ac:dyDescent="0.25">
      <c r="AG77" s="768" t="s">
        <v>148</v>
      </c>
      <c r="AH77" s="769"/>
      <c r="AI77" s="769"/>
      <c r="AJ77" s="769"/>
      <c r="AK77" s="769"/>
      <c r="AL77" s="770"/>
      <c r="AM77" s="525">
        <f>+SUM(AM58:AP76) - AM66+AM97+AM103</f>
        <v>4096</v>
      </c>
      <c r="AR77" s="16"/>
      <c r="AS77" s="323"/>
      <c r="AT77" s="197"/>
      <c r="AU77" s="619"/>
      <c r="AV77" s="319">
        <v>90</v>
      </c>
      <c r="AW77" s="223">
        <f>+'Basic rates'!E46</f>
        <v>2500</v>
      </c>
      <c r="AX77" s="459" t="s">
        <v>45</v>
      </c>
      <c r="BB77" s="197"/>
      <c r="BC77" s="197"/>
      <c r="BD77" s="197"/>
      <c r="BE77" s="197"/>
      <c r="BF77" s="197"/>
      <c r="BG77" s="327"/>
      <c r="BH77" s="240"/>
      <c r="BI77" s="240"/>
      <c r="BJ77" s="240"/>
      <c r="BK77" s="327"/>
      <c r="BL77" s="16"/>
      <c r="BM77" s="17"/>
      <c r="CT77" s="75"/>
      <c r="CU77" s="75"/>
      <c r="CV77" s="75"/>
      <c r="CW77" s="75"/>
      <c r="CX77" s="75"/>
      <c r="CY77" s="75"/>
      <c r="CZ77" s="75"/>
      <c r="DA77" s="75"/>
      <c r="DB77" s="75"/>
      <c r="DC77" s="75"/>
      <c r="DD77" s="75"/>
      <c r="DE77" s="75"/>
    </row>
    <row r="78" spans="33:114" ht="12.75" x14ac:dyDescent="0.2">
      <c r="AR78" s="16"/>
      <c r="AS78" s="323"/>
      <c r="AT78" s="197"/>
      <c r="AU78" s="619"/>
      <c r="AV78" s="319">
        <f>+AV77+24</f>
        <v>114</v>
      </c>
      <c r="AW78" s="223">
        <f>+'Basic rates'!E47</f>
        <v>3000</v>
      </c>
      <c r="AX78" s="459" t="s">
        <v>45</v>
      </c>
      <c r="BB78" s="197"/>
      <c r="BC78" s="197"/>
      <c r="BD78" s="197"/>
      <c r="BE78" s="197"/>
      <c r="BF78" s="197"/>
      <c r="BG78" s="327"/>
      <c r="BH78" s="240"/>
      <c r="BI78" s="240"/>
      <c r="BJ78" s="240"/>
      <c r="BK78" s="327"/>
      <c r="BL78" s="16"/>
      <c r="BM78" s="17"/>
      <c r="CT78" s="75"/>
      <c r="CU78" s="75"/>
      <c r="CV78" s="75"/>
      <c r="CW78" s="75"/>
      <c r="CX78" s="75"/>
      <c r="CY78" s="75"/>
      <c r="CZ78" s="75"/>
      <c r="DA78" s="75"/>
      <c r="DB78" s="75"/>
      <c r="DC78" s="75"/>
      <c r="DD78" s="75"/>
      <c r="DE78" s="75"/>
    </row>
    <row r="79" spans="33:114" ht="12.75" x14ac:dyDescent="0.2">
      <c r="AR79" s="16"/>
      <c r="AS79" s="323"/>
      <c r="AT79" s="197"/>
      <c r="AU79" s="619"/>
      <c r="AV79" s="319">
        <f t="shared" ref="AV79" si="4">+AV78+24</f>
        <v>138</v>
      </c>
      <c r="AW79" s="223">
        <f>+'Basic rates'!E48</f>
        <v>3000</v>
      </c>
      <c r="AX79" s="459" t="s">
        <v>45</v>
      </c>
      <c r="BB79" s="197"/>
      <c r="BC79" s="197"/>
      <c r="BD79" s="197"/>
      <c r="BE79" s="197"/>
      <c r="BF79" s="197"/>
      <c r="BG79" s="327"/>
      <c r="BH79" s="240"/>
      <c r="BI79" s="240"/>
      <c r="BJ79" s="240"/>
      <c r="BK79" s="327"/>
      <c r="BL79" s="16"/>
      <c r="BM79" s="17"/>
      <c r="CT79" s="75"/>
      <c r="CU79" s="75"/>
      <c r="CV79" s="75"/>
      <c r="CW79" s="75"/>
      <c r="CX79" s="75"/>
      <c r="CY79" s="75"/>
      <c r="CZ79" s="75"/>
      <c r="DA79" s="75"/>
      <c r="DB79" s="75"/>
      <c r="DC79" s="75"/>
      <c r="DD79" s="75"/>
      <c r="DE79" s="75"/>
    </row>
    <row r="80" spans="33:114" ht="12.75" x14ac:dyDescent="0.2">
      <c r="AR80" s="16"/>
      <c r="AS80" s="323"/>
      <c r="AT80" s="197"/>
      <c r="AU80" s="619"/>
      <c r="AV80" s="319">
        <f>+AV79+30</f>
        <v>168</v>
      </c>
      <c r="AW80" s="223">
        <f>+'Basic rates'!E49</f>
        <v>3000</v>
      </c>
      <c r="AX80" s="459" t="s">
        <v>45</v>
      </c>
      <c r="BB80" s="197"/>
      <c r="BC80" s="197"/>
      <c r="BD80" s="197"/>
      <c r="BE80" s="197"/>
      <c r="BF80" s="197"/>
      <c r="BG80" s="327"/>
      <c r="BH80" s="240"/>
      <c r="BI80" s="240"/>
      <c r="BJ80" s="240"/>
      <c r="BK80" s="327"/>
      <c r="BL80" s="16"/>
      <c r="BM80" s="17"/>
      <c r="CT80" s="75"/>
      <c r="CU80" s="75"/>
      <c r="CV80" s="75"/>
      <c r="CW80" s="75"/>
      <c r="CX80" s="75"/>
      <c r="CY80" s="75"/>
      <c r="CZ80" s="75"/>
      <c r="DA80" s="75"/>
      <c r="DB80" s="75"/>
      <c r="DC80" s="75"/>
      <c r="DD80" s="75"/>
      <c r="DE80" s="75"/>
    </row>
    <row r="81" spans="33:109" ht="13.5" thickBot="1" x14ac:dyDescent="0.25">
      <c r="AR81" s="16"/>
      <c r="AS81" s="323"/>
      <c r="AT81" s="197"/>
      <c r="AU81" s="197"/>
      <c r="AV81" s="197"/>
      <c r="AW81" s="197"/>
      <c r="AX81" s="197"/>
      <c r="AY81" s="197"/>
      <c r="AZ81" s="197"/>
      <c r="BA81" s="197"/>
      <c r="BB81" s="197"/>
      <c r="BC81" s="197"/>
      <c r="BD81" s="197"/>
      <c r="BE81" s="197"/>
      <c r="BF81" s="197"/>
      <c r="BG81" s="327"/>
      <c r="BH81" s="240"/>
      <c r="BI81" s="240"/>
      <c r="BJ81" s="240"/>
      <c r="BK81" s="327"/>
      <c r="BL81" s="16"/>
      <c r="BM81" s="17"/>
      <c r="CT81" s="75"/>
      <c r="CU81" s="75"/>
      <c r="CV81" s="75"/>
      <c r="CW81" s="75"/>
      <c r="CX81" s="75"/>
      <c r="CY81" s="75"/>
      <c r="CZ81" s="75"/>
      <c r="DA81" s="75"/>
      <c r="DB81" s="75"/>
      <c r="DC81" s="75"/>
      <c r="DD81" s="75"/>
      <c r="DE81" s="75"/>
    </row>
    <row r="82" spans="33:109" ht="15" thickBot="1" x14ac:dyDescent="0.25">
      <c r="AG82" s="752" t="s">
        <v>345</v>
      </c>
      <c r="AH82" s="753"/>
      <c r="AI82" s="753"/>
      <c r="AJ82" s="753"/>
      <c r="AK82" s="753"/>
      <c r="AL82" s="753"/>
      <c r="AM82" s="754"/>
      <c r="AR82" s="16"/>
      <c r="AS82" s="323"/>
      <c r="AT82" s="197"/>
      <c r="AU82" s="197"/>
      <c r="AV82" s="197"/>
      <c r="AW82" s="197"/>
      <c r="AX82" s="197"/>
      <c r="AY82" s="197"/>
      <c r="AZ82" s="197"/>
      <c r="BA82" s="197"/>
      <c r="BB82" s="197"/>
      <c r="BC82" s="197"/>
      <c r="BD82" s="197"/>
      <c r="BE82" s="197"/>
      <c r="BF82" s="197"/>
      <c r="BG82" s="327"/>
      <c r="BH82" s="240"/>
      <c r="BI82" s="240"/>
      <c r="BJ82" s="240"/>
      <c r="BK82" s="327"/>
      <c r="BL82" s="16"/>
      <c r="BM82" s="17"/>
      <c r="BY82" s="75"/>
      <c r="BZ82" s="75"/>
      <c r="CA82" s="75"/>
      <c r="CQ82" s="75"/>
      <c r="CR82" s="75"/>
      <c r="CS82" s="75"/>
      <c r="CT82" s="75"/>
      <c r="CU82" s="75"/>
      <c r="CV82" s="75"/>
      <c r="CW82" s="75"/>
      <c r="CX82" s="75"/>
      <c r="CY82" s="75"/>
      <c r="CZ82" s="75"/>
      <c r="DA82" s="75"/>
      <c r="DB82" s="75"/>
      <c r="DC82" s="75"/>
      <c r="DD82" s="75"/>
      <c r="DE82" s="75"/>
    </row>
    <row r="83" spans="33:109" ht="13.5" thickBot="1" x14ac:dyDescent="0.25">
      <c r="AG83" s="549" t="s">
        <v>50</v>
      </c>
      <c r="AH83" s="550" t="s">
        <v>276</v>
      </c>
      <c r="AI83" s="551" t="s">
        <v>346</v>
      </c>
      <c r="AJ83" s="145" t="s">
        <v>10</v>
      </c>
      <c r="AK83" s="145" t="s">
        <v>347</v>
      </c>
      <c r="AL83" s="145" t="s">
        <v>51</v>
      </c>
      <c r="AM83" s="146" t="s">
        <v>42</v>
      </c>
      <c r="AR83" s="16"/>
      <c r="AS83" s="323"/>
      <c r="AT83" s="197"/>
      <c r="AU83" s="197"/>
      <c r="AV83" s="197"/>
      <c r="AW83" s="197"/>
      <c r="AX83" s="197"/>
      <c r="AY83" s="197"/>
      <c r="AZ83" s="197"/>
      <c r="BA83" s="197"/>
      <c r="BB83" s="197"/>
      <c r="BC83" s="197"/>
      <c r="BD83" s="197"/>
      <c r="BE83" s="197"/>
      <c r="BF83" s="327"/>
      <c r="BG83" s="240"/>
      <c r="BH83" s="240"/>
      <c r="BI83" s="240"/>
      <c r="BJ83" s="327"/>
      <c r="BK83" s="16"/>
      <c r="BL83" s="16"/>
      <c r="BM83" s="17"/>
      <c r="BY83" s="75"/>
      <c r="BZ83" s="75"/>
      <c r="CA83" s="75"/>
      <c r="CQ83" s="75"/>
      <c r="CR83" s="75"/>
      <c r="CS83" s="75"/>
      <c r="CT83" s="75"/>
      <c r="CU83" s="75"/>
      <c r="CV83" s="75"/>
      <c r="CW83" s="75"/>
      <c r="CX83" s="75"/>
      <c r="CY83" s="75"/>
      <c r="CZ83" s="75"/>
      <c r="DA83" s="75"/>
      <c r="DB83" s="75"/>
      <c r="DC83" s="75"/>
      <c r="DD83" s="75"/>
      <c r="DE83" s="75"/>
    </row>
    <row r="84" spans="33:109" ht="12.75" x14ac:dyDescent="0.2">
      <c r="AG84" s="568" t="s">
        <v>348</v>
      </c>
      <c r="AH84" s="249">
        <f>AH10+(AI29/1000)+0.2</f>
        <v>2.6</v>
      </c>
      <c r="AI84" s="568">
        <f>+IF(AND(AH11&gt;BD97,AH11&lt;BE97),BF97)+IF(AND(AH11&gt;BD98,AH11&lt;BE98),BF98)</f>
        <v>13.8</v>
      </c>
      <c r="AJ84" s="568">
        <v>4</v>
      </c>
      <c r="AK84" s="568">
        <f>AI84*AJ84*AH84</f>
        <v>143.52000000000001</v>
      </c>
      <c r="AL84" s="568">
        <v>50</v>
      </c>
      <c r="AM84" s="568">
        <f t="shared" ref="AM84:AM92" si="5">AK84*AL84</f>
        <v>7176.0000000000009</v>
      </c>
      <c r="AR84" s="16"/>
      <c r="AS84" s="323"/>
      <c r="AT84" s="197"/>
      <c r="AU84" s="197"/>
      <c r="AV84" s="197"/>
      <c r="AW84" s="197"/>
      <c r="AX84" s="197"/>
      <c r="AY84" s="197"/>
      <c r="AZ84" s="197"/>
      <c r="BA84" s="197"/>
      <c r="BB84" s="197"/>
      <c r="BC84" s="197"/>
      <c r="BD84" s="197"/>
      <c r="BE84" s="197"/>
      <c r="BF84" s="327"/>
      <c r="BG84" s="240"/>
      <c r="BH84" s="240"/>
      <c r="BI84" s="240"/>
      <c r="BJ84" s="327"/>
      <c r="BK84" s="16"/>
      <c r="BL84" s="16"/>
      <c r="BM84" s="17"/>
      <c r="BY84" s="75"/>
      <c r="BZ84" s="75"/>
      <c r="CA84" s="75"/>
      <c r="CB84" s="75"/>
      <c r="CC84" s="75"/>
      <c r="CD84" s="75"/>
      <c r="CE84" s="75"/>
      <c r="CF84" s="75"/>
      <c r="CG84" s="75"/>
      <c r="CI84" s="75"/>
      <c r="CJ84" s="75"/>
      <c r="CK84" s="75"/>
      <c r="CL84" s="75"/>
      <c r="CM84" s="75"/>
      <c r="CN84" s="75"/>
      <c r="CO84" s="75"/>
      <c r="CP84" s="75"/>
      <c r="CQ84" s="75"/>
      <c r="CR84" s="75"/>
      <c r="CS84" s="75"/>
      <c r="CT84" s="75"/>
      <c r="CU84" s="75"/>
      <c r="CV84" s="75"/>
      <c r="CW84" s="75"/>
      <c r="CX84" s="75"/>
      <c r="CY84" s="75"/>
      <c r="CZ84" s="75"/>
      <c r="DA84" s="75"/>
      <c r="DB84" s="75"/>
      <c r="DC84" s="75"/>
      <c r="DD84" s="75"/>
      <c r="DE84" s="75"/>
    </row>
    <row r="85" spans="33:109" ht="12.75" x14ac:dyDescent="0.2">
      <c r="AG85" s="568" t="s">
        <v>349</v>
      </c>
      <c r="AH85" s="249">
        <f>AH9+0.3</f>
        <v>2.2999999999999998</v>
      </c>
      <c r="AI85" s="568">
        <f>+IF(AND(AH11&gt;BD97,AH11&lt;BE97),BF97)+IF(AND(AH11&gt;BD98,AH11&lt;BE98),BF98)</f>
        <v>13.8</v>
      </c>
      <c r="AJ85" s="568">
        <v>2</v>
      </c>
      <c r="AK85" s="568">
        <f>AI85*AJ85*AH85</f>
        <v>63.48</v>
      </c>
      <c r="AL85" s="568">
        <v>50</v>
      </c>
      <c r="AM85" s="568">
        <f t="shared" si="5"/>
        <v>3174</v>
      </c>
      <c r="AR85" s="16"/>
      <c r="AS85" s="323"/>
      <c r="AT85" s="197" t="s">
        <v>265</v>
      </c>
      <c r="AU85" s="293" t="s">
        <v>171</v>
      </c>
      <c r="AV85" s="191" t="s">
        <v>270</v>
      </c>
      <c r="AW85" s="191" t="s">
        <v>76</v>
      </c>
      <c r="AX85" s="622" t="s">
        <v>71</v>
      </c>
      <c r="AY85" s="622" t="s">
        <v>170</v>
      </c>
      <c r="AZ85" s="191" t="s">
        <v>49</v>
      </c>
      <c r="BA85" s="197"/>
      <c r="BE85" s="197"/>
      <c r="BF85" s="327"/>
      <c r="BG85" s="240"/>
      <c r="BH85" s="240"/>
      <c r="BI85" s="240"/>
      <c r="BJ85" s="327"/>
      <c r="BK85" s="16"/>
      <c r="BL85" s="16"/>
      <c r="BM85" s="17"/>
      <c r="BY85" s="75"/>
      <c r="BZ85" s="75"/>
      <c r="CA85" s="75"/>
      <c r="CB85" s="75"/>
      <c r="CC85" s="75"/>
      <c r="CD85" s="75"/>
      <c r="CE85" s="75"/>
      <c r="CF85" s="75"/>
      <c r="CG85" s="75"/>
      <c r="CH85" s="75"/>
      <c r="CI85" s="75"/>
      <c r="CJ85" s="75"/>
      <c r="CK85" s="75"/>
      <c r="CL85" s="75"/>
      <c r="CM85" s="75"/>
      <c r="CN85" s="75"/>
      <c r="CO85" s="75"/>
      <c r="CP85" s="75"/>
      <c r="CQ85" s="75"/>
      <c r="CR85" s="75"/>
      <c r="CS85" s="75"/>
    </row>
    <row r="86" spans="33:109" ht="15" x14ac:dyDescent="0.25">
      <c r="AG86" s="568" t="s">
        <v>350</v>
      </c>
      <c r="AH86" s="249">
        <f>1</f>
        <v>1</v>
      </c>
      <c r="AI86" s="568">
        <f>+IF(AND(AH11&gt;BD97,AH11&lt;BE97),BF97)+IF(AND(AH11&gt;BD98,AH11&lt;BE98),BF98)</f>
        <v>13.8</v>
      </c>
      <c r="AJ86" s="568">
        <f>AH9/1</f>
        <v>2</v>
      </c>
      <c r="AK86" s="568">
        <f>AI86*AJ86*AH86</f>
        <v>27.6</v>
      </c>
      <c r="AL86" s="568">
        <v>50</v>
      </c>
      <c r="AM86" s="568">
        <f t="shared" si="5"/>
        <v>1380</v>
      </c>
      <c r="AR86" s="16"/>
      <c r="AS86" s="323"/>
      <c r="AT86" s="197"/>
      <c r="AU86" s="627"/>
      <c r="AV86" s="222">
        <v>400</v>
      </c>
      <c r="AW86" s="222">
        <v>5</v>
      </c>
      <c r="AX86" s="595">
        <f>+'Basic rates'!F52</f>
        <v>861.64055280000025</v>
      </c>
      <c r="AY86" s="595">
        <f>+'Basic rates'!G52</f>
        <v>912.32529120000027</v>
      </c>
      <c r="AZ86" s="222" t="s">
        <v>79</v>
      </c>
      <c r="BA86" s="319" t="s">
        <v>269</v>
      </c>
      <c r="BE86" s="197"/>
      <c r="BF86" s="327"/>
      <c r="BG86" s="240"/>
      <c r="BH86" s="240"/>
      <c r="BI86" s="240"/>
      <c r="BJ86" s="327"/>
      <c r="BK86" s="16"/>
      <c r="BL86" s="16"/>
      <c r="BM86" s="17"/>
      <c r="BY86" s="75"/>
      <c r="BZ86" s="75"/>
      <c r="CA86" s="75"/>
      <c r="CB86" s="75"/>
      <c r="CC86" s="75"/>
      <c r="CD86" s="75"/>
      <c r="CE86" s="75"/>
      <c r="CF86" s="75"/>
      <c r="CG86" s="75"/>
      <c r="CH86" s="75"/>
      <c r="CI86" s="75"/>
      <c r="CJ86" s="75"/>
      <c r="CK86" s="75"/>
      <c r="CL86" s="75"/>
      <c r="CM86" s="75"/>
      <c r="CN86" s="75"/>
      <c r="CO86" s="75"/>
      <c r="CP86" s="75"/>
      <c r="CQ86" s="75"/>
      <c r="CR86" s="75"/>
      <c r="CS86" s="75"/>
    </row>
    <row r="87" spans="33:109" ht="12.75" x14ac:dyDescent="0.2">
      <c r="AG87" s="568" t="s">
        <v>351</v>
      </c>
      <c r="AH87" s="249">
        <v>1</v>
      </c>
      <c r="AI87" s="568">
        <f>+IF(AND(AH11&gt;BD97,AH11&lt;BE97),BF97)+IF(AND(AH11&gt;BD98,AH11&lt;BE98),BF98)</f>
        <v>13.8</v>
      </c>
      <c r="AJ87" s="568">
        <f>AH9/1</f>
        <v>2</v>
      </c>
      <c r="AK87" s="568">
        <f>AI87*AJ87*AH87</f>
        <v>27.6</v>
      </c>
      <c r="AL87" s="568">
        <v>50</v>
      </c>
      <c r="AM87" s="568">
        <f t="shared" si="5"/>
        <v>1380</v>
      </c>
      <c r="AR87" s="16"/>
      <c r="AS87" s="323"/>
      <c r="AT87" s="197"/>
      <c r="AU87" s="629"/>
      <c r="AV87" s="222">
        <v>450</v>
      </c>
      <c r="AW87" s="222">
        <v>5</v>
      </c>
      <c r="AX87" s="595">
        <f>+'Basic rates'!F53</f>
        <v>1025.0551404000003</v>
      </c>
      <c r="AY87" s="595">
        <f>+'Basic rates'!G53</f>
        <v>1085.3525016000003</v>
      </c>
      <c r="AZ87" s="222" t="s">
        <v>79</v>
      </c>
      <c r="BA87" s="319" t="s">
        <v>268</v>
      </c>
      <c r="BE87" s="197"/>
      <c r="BF87" s="240"/>
      <c r="BG87" s="240"/>
      <c r="BH87" s="240"/>
      <c r="BI87" s="240"/>
      <c r="BJ87" s="327"/>
      <c r="BK87" s="16"/>
      <c r="BL87" s="16"/>
      <c r="BM87" s="17"/>
      <c r="BY87" s="75"/>
      <c r="BZ87" s="75"/>
      <c r="CA87" s="75"/>
      <c r="CB87" s="75"/>
      <c r="CC87" s="75"/>
      <c r="CD87" s="75"/>
      <c r="CE87" s="75"/>
      <c r="CF87" s="75"/>
      <c r="CG87" s="75"/>
      <c r="CH87" s="75"/>
      <c r="CI87" s="75"/>
      <c r="CJ87" s="75"/>
      <c r="CK87" s="75"/>
      <c r="CL87" s="75"/>
      <c r="CM87" s="75"/>
      <c r="CN87" s="75"/>
      <c r="CO87" s="75"/>
      <c r="CP87" s="75"/>
      <c r="CQ87" s="75"/>
      <c r="CR87" s="75"/>
      <c r="CS87" s="75"/>
      <c r="CT87" s="75"/>
      <c r="CU87" s="75"/>
      <c r="CV87" s="75"/>
      <c r="CW87" s="75"/>
      <c r="CX87" s="75"/>
      <c r="CY87" s="75"/>
      <c r="CZ87" s="75"/>
      <c r="DA87" s="75"/>
      <c r="DB87" s="75"/>
      <c r="DC87" s="75"/>
      <c r="DD87" s="75"/>
      <c r="DE87" s="75"/>
    </row>
    <row r="88" spans="33:109" ht="12.75" x14ac:dyDescent="0.2">
      <c r="AG88" s="568" t="s">
        <v>352</v>
      </c>
      <c r="AH88" s="568" t="s">
        <v>353</v>
      </c>
      <c r="AI88" s="568">
        <f>0.2*0.2*8*7.85</f>
        <v>2.5120000000000005</v>
      </c>
      <c r="AJ88" s="568">
        <v>4</v>
      </c>
      <c r="AK88" s="568">
        <f>AI88*AJ88</f>
        <v>10.048000000000002</v>
      </c>
      <c r="AL88" s="568">
        <v>50</v>
      </c>
      <c r="AM88" s="568">
        <f t="shared" si="5"/>
        <v>502.40000000000009</v>
      </c>
      <c r="AR88" s="16"/>
      <c r="AS88" s="323"/>
      <c r="AT88" s="197"/>
      <c r="AU88" s="629"/>
      <c r="AV88" s="222">
        <v>525</v>
      </c>
      <c r="AW88" s="222">
        <v>6</v>
      </c>
      <c r="AX88" s="595">
        <f>+'Basic rates'!F54</f>
        <v>1983.9142647000006</v>
      </c>
      <c r="AY88" s="595">
        <f>+'Basic rates'!G54</f>
        <v>2100.6151038000007</v>
      </c>
      <c r="AZ88" s="222" t="s">
        <v>79</v>
      </c>
      <c r="BA88" s="240"/>
      <c r="BE88" s="240"/>
      <c r="BF88" s="16"/>
      <c r="BG88" s="16"/>
      <c r="BH88" s="240"/>
      <c r="BI88" s="240"/>
      <c r="BJ88" s="327"/>
      <c r="BK88" s="16"/>
      <c r="BL88" s="16"/>
      <c r="BM88" s="17"/>
      <c r="BN88" s="75"/>
      <c r="BO88" s="75"/>
      <c r="BP88" s="75"/>
      <c r="BQ88" s="75"/>
      <c r="BR88" s="75"/>
      <c r="BS88" s="75"/>
      <c r="BT88" s="75"/>
      <c r="BU88" s="75"/>
      <c r="BV88" s="75"/>
      <c r="BY88" s="75"/>
      <c r="BZ88" s="75"/>
      <c r="CA88" s="75"/>
      <c r="CB88" s="75"/>
      <c r="CC88" s="75"/>
      <c r="CD88" s="75"/>
      <c r="CE88" s="75"/>
      <c r="CF88" s="75"/>
      <c r="CG88" s="75"/>
      <c r="CH88" s="75"/>
      <c r="CI88" s="75"/>
      <c r="CJ88" s="75"/>
      <c r="CK88" s="75"/>
      <c r="CL88" s="75"/>
      <c r="CM88" s="75"/>
      <c r="CN88" s="75"/>
      <c r="CO88" s="75"/>
      <c r="CP88" s="75"/>
      <c r="CQ88" s="75"/>
      <c r="CR88" s="75"/>
      <c r="CS88" s="75"/>
    </row>
    <row r="89" spans="33:109" ht="12.75" x14ac:dyDescent="0.2">
      <c r="AG89" s="568" t="s">
        <v>43</v>
      </c>
      <c r="AH89" s="568"/>
      <c r="AI89" s="249">
        <f>AH11</f>
        <v>5</v>
      </c>
      <c r="AJ89" s="568">
        <v>1</v>
      </c>
      <c r="AK89" s="568">
        <f>AI89*AJ89</f>
        <v>5</v>
      </c>
      <c r="AL89" s="568">
        <v>10</v>
      </c>
      <c r="AM89" s="568">
        <f t="shared" si="5"/>
        <v>50</v>
      </c>
      <c r="AR89" s="16"/>
      <c r="AS89" s="323"/>
      <c r="AT89" s="197"/>
      <c r="AU89" s="629"/>
      <c r="AV89" s="222">
        <v>600</v>
      </c>
      <c r="AW89" s="222">
        <v>8</v>
      </c>
      <c r="AX89" s="595">
        <f>+'Basic rates'!F55</f>
        <v>2522.0026728000007</v>
      </c>
      <c r="AY89" s="595">
        <f>+'Basic rates'!G55</f>
        <v>2670.3557712000011</v>
      </c>
      <c r="AZ89" s="222" t="s">
        <v>79</v>
      </c>
      <c r="BA89" s="240"/>
      <c r="BE89" s="240"/>
      <c r="BF89" s="16"/>
      <c r="BG89" s="16"/>
      <c r="BH89" s="240"/>
      <c r="BI89" s="240"/>
      <c r="BJ89" s="327"/>
      <c r="BK89" s="16"/>
      <c r="BL89" s="16"/>
      <c r="BM89" s="17"/>
      <c r="BN89" s="75"/>
      <c r="BO89" s="75"/>
      <c r="BP89" s="75"/>
      <c r="BQ89" s="75"/>
      <c r="BR89" s="75"/>
      <c r="BS89" s="75"/>
      <c r="BT89" s="75"/>
      <c r="BU89" s="75"/>
      <c r="BV89" s="75"/>
      <c r="BY89" s="75"/>
      <c r="BZ89" s="75"/>
      <c r="CA89" s="75"/>
      <c r="CB89" s="75"/>
      <c r="CC89" s="75"/>
      <c r="CD89" s="75"/>
      <c r="CE89" s="75"/>
      <c r="CF89" s="75"/>
      <c r="CG89" s="75"/>
      <c r="CH89" s="75"/>
      <c r="CI89" s="75"/>
      <c r="CJ89" s="75"/>
      <c r="CK89" s="75"/>
      <c r="CL89" s="75"/>
      <c r="CM89" s="75"/>
      <c r="CN89" s="75"/>
      <c r="CO89" s="75"/>
      <c r="CP89" s="75"/>
      <c r="CQ89" s="75"/>
      <c r="CR89" s="75"/>
      <c r="CS89" s="75"/>
    </row>
    <row r="90" spans="33:109" ht="12.75" x14ac:dyDescent="0.2">
      <c r="AG90" s="568" t="s">
        <v>354</v>
      </c>
      <c r="AH90" s="568"/>
      <c r="AI90" s="568"/>
      <c r="AJ90" s="568"/>
      <c r="AK90" s="568">
        <f>SUM(AK84:AK89)*0.1</f>
        <v>27.724800000000002</v>
      </c>
      <c r="AL90" s="568">
        <v>50</v>
      </c>
      <c r="AM90" s="568">
        <f t="shared" si="5"/>
        <v>1386.24</v>
      </c>
      <c r="AR90" s="16"/>
      <c r="AS90" s="323"/>
      <c r="AT90" s="197"/>
      <c r="AU90" s="629"/>
      <c r="AV90" s="222">
        <v>675</v>
      </c>
      <c r="AW90" s="222">
        <v>8</v>
      </c>
      <c r="AX90" s="595">
        <f>+'Basic rates'!F56</f>
        <v>3086.3073249000008</v>
      </c>
      <c r="AY90" s="595">
        <f>+'Basic rates'!G56</f>
        <v>3267.8548146000012</v>
      </c>
      <c r="AZ90" s="222" t="s">
        <v>79</v>
      </c>
      <c r="BA90" s="240"/>
      <c r="BE90" s="240"/>
      <c r="BF90" s="16"/>
      <c r="BG90" s="16"/>
      <c r="BH90" s="240"/>
      <c r="BI90" s="240"/>
      <c r="BJ90" s="327"/>
      <c r="BK90" s="16"/>
      <c r="BL90" s="16"/>
      <c r="BM90" s="17"/>
      <c r="BN90" s="75"/>
      <c r="BO90" s="75"/>
      <c r="BP90" s="75"/>
      <c r="BQ90" s="75"/>
      <c r="BR90" s="75"/>
      <c r="BS90" s="75"/>
      <c r="BT90" s="75"/>
      <c r="BU90" s="75"/>
      <c r="BV90" s="75"/>
      <c r="CB90" s="75"/>
      <c r="CC90" s="75"/>
      <c r="CD90" s="75"/>
      <c r="CE90" s="75"/>
      <c r="CF90" s="75"/>
      <c r="CG90" s="75"/>
      <c r="CH90" s="75"/>
      <c r="CI90" s="75"/>
      <c r="CJ90" s="75"/>
      <c r="CK90" s="75"/>
      <c r="CL90" s="75"/>
      <c r="CM90" s="75"/>
      <c r="CN90" s="75"/>
      <c r="CO90" s="75"/>
      <c r="CP90" s="75"/>
    </row>
    <row r="91" spans="33:109" ht="12.75" x14ac:dyDescent="0.2">
      <c r="AG91" s="568" t="s">
        <v>355</v>
      </c>
      <c r="AH91" s="568"/>
      <c r="AI91" s="568"/>
      <c r="AJ91" s="568"/>
      <c r="AK91" s="568">
        <f>SUM(AK84:AK90)</f>
        <v>304.97280000000001</v>
      </c>
      <c r="AL91" s="568">
        <v>20</v>
      </c>
      <c r="AM91" s="568">
        <f t="shared" si="5"/>
        <v>6099.4560000000001</v>
      </c>
      <c r="AR91" s="16"/>
      <c r="AS91" s="323"/>
      <c r="AT91" s="331"/>
      <c r="AU91" s="299"/>
      <c r="AV91" s="223">
        <v>750</v>
      </c>
      <c r="AW91" s="223">
        <v>8</v>
      </c>
      <c r="AX91" s="595">
        <f>+'Basic rates'!F57</f>
        <v>3709.5985259999998</v>
      </c>
      <c r="AY91" s="595">
        <f>+'Basic rates'!G57</f>
        <v>3927.8102039999999</v>
      </c>
      <c r="AZ91" s="222" t="s">
        <v>79</v>
      </c>
      <c r="BA91" s="240"/>
      <c r="BE91" s="240"/>
      <c r="BF91" s="16"/>
      <c r="BG91" s="16"/>
      <c r="BH91" s="240"/>
      <c r="BI91" s="240"/>
      <c r="BJ91" s="327"/>
      <c r="BK91" s="16"/>
      <c r="BL91" s="16"/>
      <c r="BM91" s="17"/>
      <c r="BN91" s="75"/>
      <c r="BO91" s="75"/>
      <c r="BP91" s="75"/>
      <c r="BQ91" s="75"/>
      <c r="BR91" s="75"/>
      <c r="BS91" s="75"/>
      <c r="BT91" s="75"/>
      <c r="BU91" s="75"/>
      <c r="BV91" s="75"/>
      <c r="CB91" s="75"/>
      <c r="CC91" s="75"/>
      <c r="CD91" s="75"/>
      <c r="CE91" s="75"/>
      <c r="CF91" s="75"/>
      <c r="CG91" s="75"/>
      <c r="CH91" s="75"/>
      <c r="CI91" s="75"/>
      <c r="CJ91" s="75"/>
      <c r="CK91" s="75"/>
      <c r="CL91" s="75"/>
      <c r="CM91" s="75"/>
      <c r="CN91" s="75"/>
      <c r="CO91" s="75"/>
      <c r="CP91" s="75"/>
    </row>
    <row r="92" spans="33:109" ht="13.5" thickBot="1" x14ac:dyDescent="0.25">
      <c r="AG92" s="568" t="s">
        <v>356</v>
      </c>
      <c r="AH92" s="568"/>
      <c r="AI92" s="568"/>
      <c r="AJ92" s="568"/>
      <c r="AK92" s="249">
        <f>AH11</f>
        <v>5</v>
      </c>
      <c r="AL92" s="568">
        <v>30</v>
      </c>
      <c r="AM92" s="568">
        <f t="shared" si="5"/>
        <v>150</v>
      </c>
      <c r="AR92" s="16"/>
      <c r="AS92" s="323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327"/>
      <c r="BE92" s="327"/>
      <c r="BF92" s="16"/>
      <c r="BG92" s="327"/>
      <c r="BH92" s="327"/>
      <c r="BI92" s="327"/>
      <c r="BJ92" s="327"/>
      <c r="BK92" s="197"/>
      <c r="BL92" s="197"/>
      <c r="BM92" s="332"/>
      <c r="BN92" s="75"/>
      <c r="BO92" s="75"/>
      <c r="BP92" s="75"/>
      <c r="BQ92" s="75"/>
      <c r="BR92" s="75"/>
      <c r="BS92" s="75"/>
      <c r="BT92" s="75"/>
      <c r="BU92" s="75"/>
      <c r="BV92" s="75"/>
      <c r="BY92" s="75"/>
      <c r="BZ92" s="75"/>
      <c r="CA92" s="75"/>
      <c r="CH92" s="75"/>
      <c r="CQ92" s="75"/>
      <c r="CR92" s="75"/>
      <c r="CS92" s="75"/>
    </row>
    <row r="93" spans="33:109" ht="13.5" thickBot="1" x14ac:dyDescent="0.25">
      <c r="AG93" s="412" t="s">
        <v>63</v>
      </c>
      <c r="AH93" s="567"/>
      <c r="AI93" s="552"/>
      <c r="AJ93" s="553"/>
      <c r="AK93" s="553"/>
      <c r="AL93" s="553"/>
      <c r="AM93" s="554">
        <f>SUM(AM84:AM92)</f>
        <v>21298.095999999998</v>
      </c>
      <c r="AR93" s="16"/>
      <c r="AS93" s="323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327"/>
      <c r="BE93" s="327"/>
      <c r="BF93" s="327"/>
      <c r="BG93" s="327"/>
      <c r="BH93" s="327"/>
      <c r="BI93" s="327"/>
      <c r="BJ93" s="327"/>
      <c r="BK93" s="16"/>
      <c r="BL93" s="197"/>
      <c r="BM93" s="332"/>
      <c r="BN93" s="75"/>
      <c r="BO93" s="75"/>
      <c r="BP93" s="75"/>
      <c r="BQ93" s="75"/>
      <c r="BR93" s="75"/>
      <c r="BS93" s="75"/>
      <c r="BT93" s="75"/>
      <c r="BU93" s="75"/>
      <c r="BV93" s="75"/>
    </row>
    <row r="94" spans="33:109" ht="12.75" x14ac:dyDescent="0.2">
      <c r="AR94" s="16"/>
      <c r="AS94" s="323"/>
      <c r="AT94" s="16"/>
      <c r="AU94" s="16"/>
      <c r="AV94" s="16"/>
      <c r="AW94" s="16"/>
      <c r="AX94" s="16"/>
      <c r="AY94" s="16"/>
      <c r="AZ94" s="197"/>
      <c r="BA94" s="197"/>
      <c r="BB94" s="197"/>
      <c r="BC94" s="197"/>
      <c r="BD94" s="240"/>
      <c r="BE94" s="240"/>
      <c r="BF94" s="240"/>
      <c r="BG94" s="240"/>
      <c r="BH94" s="240"/>
      <c r="BI94" s="240"/>
      <c r="BJ94" s="327"/>
      <c r="BK94" s="16"/>
      <c r="BL94" s="197"/>
      <c r="BM94" s="332"/>
      <c r="BN94" s="75"/>
      <c r="BO94" s="75"/>
      <c r="BP94" s="75"/>
      <c r="BQ94" s="75"/>
      <c r="BR94" s="75"/>
      <c r="BS94" s="75"/>
      <c r="BT94" s="75"/>
      <c r="BU94" s="75"/>
      <c r="BV94" s="75"/>
      <c r="BW94" s="75"/>
      <c r="BX94" s="75"/>
      <c r="CB94" s="75"/>
      <c r="CC94" s="75"/>
      <c r="CD94" s="75"/>
      <c r="CE94" s="75"/>
      <c r="CF94" s="75"/>
      <c r="CG94" s="75"/>
      <c r="CI94" s="75"/>
      <c r="CJ94" s="75"/>
      <c r="CK94" s="75"/>
      <c r="CL94" s="75"/>
      <c r="CM94" s="75"/>
      <c r="CN94" s="75"/>
      <c r="CO94" s="75"/>
      <c r="CP94" s="75"/>
    </row>
    <row r="95" spans="33:109" ht="12.75" x14ac:dyDescent="0.2">
      <c r="AR95" s="16"/>
      <c r="AS95" s="323"/>
      <c r="AT95" s="16" t="s">
        <v>271</v>
      </c>
      <c r="AU95" s="293" t="s">
        <v>37</v>
      </c>
      <c r="AV95" s="222" t="s">
        <v>74</v>
      </c>
      <c r="AW95" s="222"/>
      <c r="AX95" s="222"/>
      <c r="AY95" s="222"/>
      <c r="AZ95" s="43"/>
      <c r="BA95" s="43"/>
      <c r="BB95" s="43"/>
      <c r="BC95" s="43"/>
      <c r="BD95" s="241"/>
      <c r="BE95" s="241"/>
      <c r="BF95" s="327"/>
      <c r="BG95" s="327"/>
      <c r="BH95" s="327"/>
      <c r="BI95" s="327"/>
      <c r="BJ95" s="327"/>
      <c r="BK95" s="16"/>
      <c r="BL95" s="197"/>
      <c r="BM95" s="332"/>
      <c r="BN95" s="75"/>
      <c r="BO95" s="75"/>
      <c r="BP95" s="75"/>
      <c r="BQ95" s="75"/>
      <c r="BR95" s="75"/>
      <c r="BS95" s="75"/>
      <c r="BT95" s="75"/>
      <c r="BU95" s="75"/>
      <c r="BV95" s="75"/>
      <c r="BW95" s="75"/>
      <c r="BX95" s="75"/>
      <c r="CH95" s="75"/>
    </row>
    <row r="96" spans="33:109" ht="15" x14ac:dyDescent="0.25">
      <c r="AH96" s="1"/>
      <c r="AR96" s="16"/>
      <c r="AS96" s="323"/>
      <c r="AT96" s="16"/>
      <c r="AU96" s="627"/>
      <c r="AV96" s="222">
        <v>12</v>
      </c>
      <c r="AW96" s="222" t="s">
        <v>44</v>
      </c>
      <c r="AX96" s="370">
        <f>+'Basic rates'!E60</f>
        <v>400</v>
      </c>
      <c r="AY96" s="222" t="s">
        <v>45</v>
      </c>
      <c r="AZ96" s="43"/>
      <c r="BA96" s="43"/>
      <c r="BB96" s="43"/>
      <c r="BC96" s="43"/>
      <c r="BD96" s="43"/>
      <c r="BE96" s="43"/>
      <c r="BF96" s="327"/>
      <c r="BG96" s="327"/>
      <c r="BH96" s="327"/>
      <c r="BI96" s="327"/>
      <c r="BJ96" s="240"/>
      <c r="BK96" s="197"/>
      <c r="BL96" s="197"/>
      <c r="BM96" s="332"/>
      <c r="BW96" s="75"/>
      <c r="BX96" s="75"/>
    </row>
    <row r="97" spans="2:76" ht="15" x14ac:dyDescent="0.25">
      <c r="AG97" s="585" t="s">
        <v>362</v>
      </c>
      <c r="AH97" s="586">
        <v>1</v>
      </c>
      <c r="AI97" s="587"/>
      <c r="AJ97" s="587">
        <v>1</v>
      </c>
      <c r="AK97" s="588" t="s">
        <v>13</v>
      </c>
      <c r="AL97" s="589">
        <v>2500</v>
      </c>
      <c r="AM97" s="589">
        <f>IF(AH97=AH100,AL97*AJ97,0)</f>
        <v>2500</v>
      </c>
      <c r="AR97" s="16"/>
      <c r="AS97" s="323"/>
      <c r="AT97" s="16"/>
      <c r="AU97" s="627"/>
      <c r="AV97" s="222">
        <v>24</v>
      </c>
      <c r="AW97" s="222" t="s">
        <v>44</v>
      </c>
      <c r="AX97" s="370">
        <f>+'Basic rates'!E61</f>
        <v>600</v>
      </c>
      <c r="AY97" s="222" t="s">
        <v>45</v>
      </c>
      <c r="AZ97" s="16"/>
      <c r="BA97" s="16"/>
      <c r="BB97" s="16"/>
      <c r="BC97" s="16"/>
      <c r="BD97" s="591">
        <v>0.01</v>
      </c>
      <c r="BE97" s="591">
        <v>30.01</v>
      </c>
      <c r="BF97" s="591">
        <v>13.8</v>
      </c>
      <c r="BG97" s="591" t="s">
        <v>357</v>
      </c>
      <c r="BH97" s="327"/>
      <c r="BI97" s="327"/>
      <c r="BJ97" s="327"/>
      <c r="BK97" s="197"/>
      <c r="BL97" s="197"/>
      <c r="BM97" s="332"/>
      <c r="BW97" s="75"/>
      <c r="BX97" s="75"/>
    </row>
    <row r="98" spans="2:76" ht="12.75" x14ac:dyDescent="0.2">
      <c r="AR98" s="16"/>
      <c r="AS98" s="323"/>
      <c r="AT98" s="16"/>
      <c r="AU98" s="628"/>
      <c r="AV98" s="222">
        <v>36</v>
      </c>
      <c r="AW98" s="222" t="s">
        <v>44</v>
      </c>
      <c r="AX98" s="370">
        <f>+'Basic rates'!E62</f>
        <v>1000</v>
      </c>
      <c r="AY98" s="222" t="s">
        <v>45</v>
      </c>
      <c r="AZ98" s="16"/>
      <c r="BA98" s="16"/>
      <c r="BB98" s="16"/>
      <c r="BC98" s="16"/>
      <c r="BD98" s="591">
        <v>30.01</v>
      </c>
      <c r="BE98" s="591">
        <v>200</v>
      </c>
      <c r="BF98" s="591">
        <v>16.8</v>
      </c>
      <c r="BG98" s="591" t="s">
        <v>358</v>
      </c>
      <c r="BH98" s="327"/>
      <c r="BI98" s="327"/>
      <c r="BJ98" s="327"/>
      <c r="BK98" s="197"/>
      <c r="BL98" s="197"/>
      <c r="BM98" s="332"/>
      <c r="BW98" s="75"/>
      <c r="BX98" s="75"/>
    </row>
    <row r="99" spans="2:76" ht="12.75" x14ac:dyDescent="0.2">
      <c r="AR99" s="16"/>
      <c r="AS99" s="323"/>
      <c r="AT99" s="86"/>
      <c r="AU99" s="222"/>
      <c r="AV99" s="478" t="s">
        <v>46</v>
      </c>
      <c r="AW99" s="222" t="s">
        <v>44</v>
      </c>
      <c r="AX99" s="370">
        <f>+'Basic rates'!E63</f>
        <v>1000</v>
      </c>
      <c r="AY99" s="222" t="s">
        <v>45</v>
      </c>
      <c r="AZ99" s="16"/>
      <c r="BA99" s="16"/>
      <c r="BB99" s="16"/>
      <c r="BC99" s="16"/>
      <c r="BD99" s="16"/>
      <c r="BE99" s="16"/>
      <c r="BF99" s="327"/>
      <c r="BG99" s="327"/>
      <c r="BH99" s="327"/>
      <c r="BI99" s="327"/>
      <c r="BJ99" s="197"/>
      <c r="BK99" s="197"/>
      <c r="BL99" s="197"/>
      <c r="BM99" s="332"/>
      <c r="BW99" s="75"/>
      <c r="BX99" s="75"/>
    </row>
    <row r="100" spans="2:76" ht="12.75" x14ac:dyDescent="0.2">
      <c r="AH100" s="2">
        <v>1</v>
      </c>
      <c r="AR100" s="16"/>
      <c r="AS100" s="323"/>
      <c r="AT100" s="105"/>
      <c r="AU100" s="591"/>
      <c r="AV100" s="479" t="s">
        <v>101</v>
      </c>
      <c r="AW100" s="223" t="s">
        <v>44</v>
      </c>
      <c r="AX100" s="370">
        <f>+'Basic rates'!E64</f>
        <v>1000</v>
      </c>
      <c r="AY100" s="480" t="s">
        <v>13</v>
      </c>
      <c r="AZ100" s="16"/>
      <c r="BA100" s="16"/>
      <c r="BB100" s="16"/>
      <c r="BC100" s="16"/>
      <c r="BD100" s="16"/>
      <c r="BE100" s="16"/>
      <c r="BF100" s="327"/>
      <c r="BG100" s="327"/>
      <c r="BH100" s="327"/>
      <c r="BI100" s="327"/>
      <c r="BJ100" s="327"/>
      <c r="BK100" s="16"/>
      <c r="BL100" s="16"/>
      <c r="BM100" s="17"/>
      <c r="BW100" s="75"/>
      <c r="BX100" s="75"/>
    </row>
    <row r="101" spans="2:76" ht="12.75" x14ac:dyDescent="0.2">
      <c r="AH101" s="2">
        <v>2</v>
      </c>
      <c r="AR101" s="16"/>
      <c r="AS101" s="323"/>
      <c r="AT101" s="105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327"/>
      <c r="BG101" s="327"/>
      <c r="BH101" s="327"/>
      <c r="BI101" s="327"/>
      <c r="BJ101" s="327"/>
      <c r="BK101" s="16"/>
      <c r="BL101" s="16"/>
      <c r="BM101" s="17"/>
      <c r="BW101" s="75"/>
      <c r="BX101" s="75"/>
    </row>
    <row r="102" spans="2:76" ht="12.75" x14ac:dyDescent="0.2">
      <c r="AG102" s="706"/>
      <c r="AH102" s="707"/>
      <c r="AI102" s="706"/>
      <c r="AJ102" s="706"/>
      <c r="AK102" s="706"/>
      <c r="AL102" s="706"/>
      <c r="AM102" s="706"/>
      <c r="AR102" s="16"/>
      <c r="AS102" s="323"/>
      <c r="AT102" s="197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327"/>
      <c r="BG102" s="327"/>
      <c r="BH102" s="327"/>
      <c r="BI102" s="327"/>
      <c r="BJ102" s="327"/>
      <c r="BK102" s="16"/>
      <c r="BL102" s="16"/>
      <c r="BM102" s="17"/>
    </row>
    <row r="103" spans="2:76" ht="12.75" x14ac:dyDescent="0.2">
      <c r="AG103" s="755" t="s">
        <v>440</v>
      </c>
      <c r="AH103" s="756"/>
      <c r="AI103" s="757"/>
      <c r="AJ103" s="708" t="s">
        <v>343</v>
      </c>
      <c r="AK103" s="709">
        <f>+AH9</f>
        <v>2</v>
      </c>
      <c r="AL103" s="710">
        <v>478</v>
      </c>
      <c r="AM103" s="710">
        <f>+AK103*AL103</f>
        <v>956</v>
      </c>
      <c r="AR103" s="16"/>
      <c r="AS103" s="323"/>
      <c r="AT103" s="197" t="s">
        <v>272</v>
      </c>
      <c r="AU103" s="293" t="s">
        <v>273</v>
      </c>
      <c r="AV103" s="591"/>
      <c r="AW103" s="591"/>
      <c r="AX103" s="591"/>
      <c r="AY103" s="16"/>
      <c r="AZ103" s="16"/>
      <c r="BA103" s="16"/>
      <c r="BB103" s="16"/>
      <c r="BC103" s="16"/>
      <c r="BD103" s="327"/>
      <c r="BE103" s="327"/>
      <c r="BF103" s="327"/>
      <c r="BG103" s="327"/>
      <c r="BH103" s="327"/>
      <c r="BI103" s="327"/>
      <c r="BJ103" s="327"/>
      <c r="BK103" s="16"/>
      <c r="BL103" s="16"/>
      <c r="BM103" s="17"/>
    </row>
    <row r="104" spans="2:76" ht="12.75" x14ac:dyDescent="0.2">
      <c r="AR104" s="16"/>
      <c r="AS104" s="323"/>
      <c r="AT104" s="197"/>
      <c r="AU104" s="591" t="s">
        <v>276</v>
      </c>
      <c r="AV104" s="630" t="s">
        <v>274</v>
      </c>
      <c r="AW104" s="630" t="s">
        <v>275</v>
      </c>
      <c r="AX104" s="630" t="s">
        <v>274</v>
      </c>
      <c r="BB104" s="43"/>
      <c r="BC104" s="43"/>
      <c r="BD104" s="241"/>
      <c r="BE104" s="241"/>
      <c r="BF104" s="327"/>
      <c r="BG104" s="327"/>
      <c r="BH104" s="327"/>
      <c r="BI104" s="327"/>
      <c r="BJ104" s="327"/>
      <c r="BK104" s="16"/>
      <c r="BL104" s="16"/>
      <c r="BM104" s="17"/>
      <c r="BW104" s="75"/>
      <c r="BX104" s="75"/>
    </row>
    <row r="105" spans="2:76" ht="12.75" x14ac:dyDescent="0.2">
      <c r="AR105" s="16"/>
      <c r="AS105" s="323"/>
      <c r="AT105" s="197"/>
      <c r="AU105" s="222">
        <v>400</v>
      </c>
      <c r="AV105" s="595">
        <f>+'Basic rates'!E68</f>
        <v>356.23249200000004</v>
      </c>
      <c r="AW105" s="251">
        <f>+'Basic rates'!G68</f>
        <v>407.12284800000009</v>
      </c>
      <c r="AX105" s="630" t="s">
        <v>275</v>
      </c>
      <c r="BB105" s="43"/>
      <c r="BC105" s="43"/>
      <c r="BD105" s="241"/>
      <c r="BE105" s="241"/>
      <c r="BF105" s="327"/>
      <c r="BG105" s="327"/>
      <c r="BH105" s="327"/>
      <c r="BI105" s="327"/>
      <c r="BJ105" s="327"/>
      <c r="BK105" s="16"/>
      <c r="BL105" s="16"/>
      <c r="BM105" s="17"/>
      <c r="BN105" s="75"/>
      <c r="BO105" s="75"/>
      <c r="BP105" s="75"/>
      <c r="BQ105" s="75"/>
      <c r="BR105" s="75"/>
      <c r="BS105" s="75"/>
      <c r="BT105" s="75"/>
      <c r="BU105" s="75"/>
      <c r="BV105" s="75"/>
    </row>
    <row r="106" spans="2:76" ht="12.75" x14ac:dyDescent="0.2">
      <c r="AR106" s="16"/>
      <c r="AS106" s="323"/>
      <c r="AT106" s="197"/>
      <c r="AU106" s="222">
        <v>450</v>
      </c>
      <c r="AV106" s="595">
        <f>+'Basic rates'!E69</f>
        <v>404.80965000000009</v>
      </c>
      <c r="AW106" s="251">
        <f>+'Basic rates'!G69</f>
        <v>462.63960000000009</v>
      </c>
      <c r="AX106" s="319"/>
      <c r="BB106" s="43"/>
      <c r="BC106" s="43"/>
      <c r="BD106" s="241"/>
      <c r="BE106" s="241"/>
      <c r="BF106" s="327"/>
      <c r="BG106" s="327"/>
      <c r="BH106" s="327"/>
      <c r="BI106" s="327"/>
      <c r="BJ106" s="327"/>
      <c r="BK106" s="16"/>
      <c r="BL106" s="16"/>
      <c r="BM106" s="17"/>
      <c r="BN106" s="75"/>
      <c r="BO106" s="75"/>
      <c r="BP106" s="75"/>
      <c r="BQ106" s="75"/>
      <c r="BR106" s="75"/>
      <c r="BS106" s="75"/>
      <c r="BT106" s="75"/>
      <c r="BU106" s="75"/>
      <c r="BV106" s="75"/>
    </row>
    <row r="107" spans="2:76" ht="12.75" x14ac:dyDescent="0.2">
      <c r="B107" s="568"/>
      <c r="C107" s="568">
        <v>1</v>
      </c>
      <c r="D107" s="568">
        <v>2</v>
      </c>
      <c r="E107" s="568">
        <v>3</v>
      </c>
      <c r="F107" s="568">
        <v>4</v>
      </c>
      <c r="G107" s="568">
        <v>5</v>
      </c>
      <c r="H107" s="568">
        <v>6</v>
      </c>
      <c r="I107" s="568">
        <v>7</v>
      </c>
      <c r="J107" s="568">
        <v>8</v>
      </c>
      <c r="K107" s="568">
        <v>9</v>
      </c>
      <c r="L107" s="568">
        <v>10</v>
      </c>
      <c r="M107" s="568">
        <v>11</v>
      </c>
      <c r="N107" s="568">
        <v>12</v>
      </c>
      <c r="O107" s="568">
        <v>13</v>
      </c>
      <c r="P107" s="568">
        <v>14</v>
      </c>
      <c r="Q107" s="568">
        <v>15</v>
      </c>
      <c r="R107" s="568">
        <v>16</v>
      </c>
      <c r="S107" s="568">
        <v>1</v>
      </c>
      <c r="T107" s="568">
        <v>2</v>
      </c>
      <c r="U107" s="568">
        <v>3</v>
      </c>
      <c r="V107" s="568">
        <v>4</v>
      </c>
      <c r="W107" s="568">
        <v>5</v>
      </c>
      <c r="X107" s="568">
        <v>6</v>
      </c>
      <c r="Y107" s="568">
        <v>7</v>
      </c>
      <c r="Z107" s="568">
        <v>8</v>
      </c>
      <c r="AA107" s="568">
        <v>9</v>
      </c>
      <c r="AB107" s="568">
        <v>10</v>
      </c>
      <c r="AC107" s="568">
        <v>11</v>
      </c>
      <c r="AD107" s="568">
        <v>12</v>
      </c>
      <c r="AE107" s="568">
        <v>13</v>
      </c>
      <c r="AF107" s="568">
        <v>14</v>
      </c>
      <c r="AN107" s="568">
        <v>22</v>
      </c>
      <c r="AR107" s="16"/>
      <c r="AS107" s="323"/>
      <c r="AT107" s="197"/>
      <c r="AU107" s="222">
        <v>525</v>
      </c>
      <c r="AV107" s="595">
        <f>+'Basic rates'!E70</f>
        <v>477.67538700000011</v>
      </c>
      <c r="AW107" s="251">
        <f>+'Basic rates'!G70</f>
        <v>545.91472800000008</v>
      </c>
      <c r="AX107" s="319"/>
      <c r="BB107" s="241"/>
      <c r="BC107" s="241"/>
      <c r="BD107" s="241"/>
      <c r="BE107" s="241"/>
      <c r="BF107" s="327"/>
      <c r="BG107" s="327"/>
      <c r="BH107" s="327"/>
      <c r="BI107" s="327"/>
      <c r="BJ107" s="327"/>
      <c r="BK107" s="16"/>
      <c r="BL107" s="16"/>
      <c r="BM107" s="17"/>
      <c r="BN107" s="75"/>
      <c r="BO107" s="75"/>
      <c r="BP107" s="75"/>
      <c r="BQ107" s="75"/>
      <c r="BR107" s="75"/>
      <c r="BS107" s="75"/>
      <c r="BT107" s="75"/>
      <c r="BU107" s="75"/>
      <c r="BV107" s="75"/>
    </row>
    <row r="108" spans="2:76" ht="12.75" x14ac:dyDescent="0.2"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8"/>
      <c r="P108" s="568"/>
      <c r="Q108" s="568"/>
      <c r="R108" s="568"/>
      <c r="S108" s="568">
        <f>+IF(AND(AH27=AY64,AH9&lt;=2,AH10&lt;=8),4,0)</f>
        <v>4</v>
      </c>
      <c r="T108" s="568">
        <f>+IF(AND(AH27=AY64,AH9&gt;2,AH9&lt;=2.5,AH10&lt;=6.5),4,0)</f>
        <v>0</v>
      </c>
      <c r="U108" s="568">
        <f>+IF(AND(AH27=AY64,AH9&gt;2.5,AH9&lt;=3,AH10&lt;=6.5),4,0)</f>
        <v>0</v>
      </c>
      <c r="V108" s="568">
        <f>+IF(AND(AH27=AY64,AH9&gt;3,AH9&lt;=3.5,AH10&lt;=5.5),4,0)</f>
        <v>0</v>
      </c>
      <c r="W108" s="568">
        <f>+IF(AND(AH27=AY64,AH9&gt;3.5,AH9&lt;=4,AH10&lt;=3.5),4,0)</f>
        <v>0</v>
      </c>
      <c r="X108" s="568">
        <f>+IF(AND(AH27=AY64,AH9&gt;4,AH9&lt;=4.5,AH10&lt;=2.5),4,0)</f>
        <v>0</v>
      </c>
      <c r="Y108" s="568">
        <f>+IF(AND(AH27=AY64,AH9&gt;4.5,AH9&lt;=5,AH10&lt;=2.5),4,0)</f>
        <v>0</v>
      </c>
      <c r="Z108" s="568"/>
      <c r="AA108" s="568"/>
      <c r="AB108" s="568"/>
      <c r="AC108" s="568"/>
      <c r="AD108" s="568"/>
      <c r="AE108" s="568"/>
      <c r="AF108" s="568"/>
      <c r="AG108" s="568">
        <v>15</v>
      </c>
      <c r="AH108" s="6">
        <v>16</v>
      </c>
      <c r="AI108" s="568"/>
      <c r="AJ108" s="568">
        <v>18</v>
      </c>
      <c r="AK108" s="568">
        <v>19</v>
      </c>
      <c r="AL108" s="568">
        <v>20</v>
      </c>
      <c r="AM108" s="568">
        <v>21</v>
      </c>
      <c r="AN108" s="568"/>
      <c r="AR108" s="16"/>
      <c r="AS108" s="323"/>
      <c r="AT108" s="16"/>
      <c r="AU108" s="222">
        <v>600</v>
      </c>
      <c r="AV108" s="595">
        <f>+'Basic rates'!E71</f>
        <v>550.54112400000008</v>
      </c>
      <c r="AW108" s="251">
        <f>+'Basic rates'!G71</f>
        <v>629.18985600000008</v>
      </c>
      <c r="AX108" s="319"/>
      <c r="BB108" s="241"/>
      <c r="BC108" s="241"/>
      <c r="BD108" s="241"/>
      <c r="BE108" s="241"/>
      <c r="BF108" s="327"/>
      <c r="BG108" s="327"/>
      <c r="BH108" s="327"/>
      <c r="BI108" s="327"/>
      <c r="BJ108" s="327"/>
      <c r="BK108" s="16"/>
      <c r="BL108" s="16"/>
      <c r="BM108" s="17"/>
      <c r="BN108" s="75"/>
      <c r="BO108" s="75"/>
      <c r="BP108" s="75"/>
      <c r="BQ108" s="75"/>
      <c r="BR108" s="75"/>
      <c r="BS108" s="75"/>
      <c r="BT108" s="75"/>
      <c r="BU108" s="75"/>
      <c r="BV108" s="75"/>
    </row>
    <row r="109" spans="2:76" ht="12.75" x14ac:dyDescent="0.2"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8"/>
      <c r="P109" s="568"/>
      <c r="Q109" s="568"/>
      <c r="R109" s="568"/>
      <c r="S109" s="568">
        <f>+IF(AND(AH27=AY64,AH9&lt;=2,AH10&gt;8,AH10&lt;=12.01),5,0)</f>
        <v>0</v>
      </c>
      <c r="T109" s="568">
        <f>+IF(AND(AH27=AY64,AH9&gt;2,AH9&lt;=2.5,AH10&gt;6.5,AH10&lt;=12.01),5,0)</f>
        <v>0</v>
      </c>
      <c r="U109" s="568">
        <f>+IF(AND(AH27=AY64,AH9&gt;2.5,AH9&lt;=3,AH10&gt;6.5,AH10&lt;=8),5,0)</f>
        <v>0</v>
      </c>
      <c r="V109" s="568">
        <f>+IF(AND(AH27=AY64,AH9&gt;3,AH9&lt;=3.5,AH10&gt;5.5,AH10&lt;=8.5),5,0)</f>
        <v>0</v>
      </c>
      <c r="W109" s="568">
        <f>+IF(AND(AH27=AY64,AH9&gt;3.5,AH9&lt;=4,AH10&gt;3.5,AH10&lt;=7),5,0)</f>
        <v>0</v>
      </c>
      <c r="X109" s="568">
        <f>+IF(AND(AH27=AY64,AH9&gt;4,AH9&lt;=4.5,AH10&gt;2.5,AH10&lt;=5.5),5,0)</f>
        <v>0</v>
      </c>
      <c r="Y109" s="568">
        <f>+IF(AND(AH27=AY64,AH9&gt;4.5,AH9&lt;=5,AH10&gt;2.5,AH10&lt;=4),5,0)</f>
        <v>0</v>
      </c>
      <c r="Z109" s="568">
        <f>+IF(AND(AH27=AY64,AH9&gt;5,AH9&lt;=5.5,AH10&lt;=2.5),5,0)</f>
        <v>0</v>
      </c>
      <c r="AA109" s="568"/>
      <c r="AB109" s="568"/>
      <c r="AC109" s="568"/>
      <c r="AD109" s="568"/>
      <c r="AE109" s="568"/>
      <c r="AF109" s="568"/>
      <c r="AG109" s="568"/>
      <c r="AH109" s="6"/>
      <c r="AI109" s="568"/>
      <c r="AJ109" s="568"/>
      <c r="AK109" s="568"/>
      <c r="AL109" s="568"/>
      <c r="AM109" s="568"/>
      <c r="AN109" s="568"/>
      <c r="AR109" s="16"/>
      <c r="AS109" s="323" t="s">
        <v>310</v>
      </c>
      <c r="AT109" s="16"/>
      <c r="AU109" s="222">
        <v>675</v>
      </c>
      <c r="AV109" s="595">
        <f>+'Basic rates'!E72</f>
        <v>623.40686100000005</v>
      </c>
      <c r="AW109" s="251">
        <f>+'Basic rates'!G72</f>
        <v>712.46498400000007</v>
      </c>
      <c r="AX109" s="319"/>
      <c r="BB109" s="241"/>
      <c r="BC109" s="241"/>
      <c r="BD109" s="241"/>
      <c r="BE109" s="241"/>
      <c r="BF109" s="327"/>
      <c r="BG109" s="327"/>
      <c r="BH109" s="327"/>
      <c r="BI109" s="327"/>
      <c r="BJ109" s="240"/>
      <c r="BK109" s="197"/>
      <c r="BL109" s="197"/>
      <c r="BM109" s="332"/>
      <c r="BN109" s="75"/>
      <c r="BO109" s="75"/>
      <c r="BP109" s="75"/>
      <c r="BQ109" s="75"/>
      <c r="BR109" s="75"/>
      <c r="BS109" s="75"/>
      <c r="BT109" s="75"/>
      <c r="BU109" s="75"/>
      <c r="BV109" s="75"/>
    </row>
    <row r="110" spans="2:76" ht="12.75" x14ac:dyDescent="0.2">
      <c r="B110" s="568"/>
      <c r="C110" s="568">
        <f>IF(AND(AH27=AY65,AH9&lt;=4,AH10&lt;=12.1),6,0)</f>
        <v>0</v>
      </c>
      <c r="D110" s="568">
        <f>+IF(AND(AH27=AY65,AH9&gt;4,AH9&lt;=4.5,AH10&lt;=10),6,0)</f>
        <v>0</v>
      </c>
      <c r="E110" s="568">
        <f>+IF(AND(AH27=AY65,AH9&gt;4.5,AH9&lt;=5,AH10&lt;=7),6,0)</f>
        <v>0</v>
      </c>
      <c r="F110" s="568">
        <f>+IF(AND(AH27=AY65,AH9&gt;5,AH9&lt;=5.5,AH10&lt;=5),6,0)</f>
        <v>0</v>
      </c>
      <c r="G110" s="568">
        <f>+IF(AND(AH27=AY65,AH9&gt;5.5,AH9&lt;=6,AH10&lt;=4),6,0)</f>
        <v>0</v>
      </c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>
        <f>+IF(AND(AH27=AY64,AH9&gt;2.5,AH9&lt;=3,AH10&gt;8,AH10&lt;=9),6,0)</f>
        <v>0</v>
      </c>
      <c r="V110" s="568">
        <f>+IF(AND(AH27=AY64,AH9&gt;3,AH9&lt;=3.5,AH10&gt;8.5,AH10&lt;=9.5),6,0)</f>
        <v>0</v>
      </c>
      <c r="W110" s="568">
        <f>+IF(AND(AH27=AY64,AH9&gt;3.5,AH9&lt;=4,AH10&gt;7,AH10&lt;=9.5),6,0)</f>
        <v>0</v>
      </c>
      <c r="X110" s="568">
        <f>+IF(AND(AH27=AY64,AH9&gt;4,AH9&lt;=4.5,AH10&gt;5.5,AH10&lt;=9),6,0)</f>
        <v>0</v>
      </c>
      <c r="Y110" s="568">
        <f>+IF(AND(AH27=AY64,AH9&gt;4.5,AH9&lt;=5,AH10&gt;4,AH10&lt;=7.5),6,0)</f>
        <v>0</v>
      </c>
      <c r="Z110" s="568">
        <f>+IF(AND(AH27=AY64,AH9&gt;5,AH9&lt;=5.5,AH10&gt;2.5,AH10&lt;=7.5),6,0)</f>
        <v>0</v>
      </c>
      <c r="AA110" s="568">
        <f>+IF(AND(AH27=AY64,AH9&gt;5.5,AH9&lt;=6,AH10&lt;=6),6,0)</f>
        <v>0</v>
      </c>
      <c r="AB110" s="568">
        <f>+IF(AND(AH27=AY64,AH9&gt;6,AH9&lt;=6.5,AH10&lt;=4),6,0)</f>
        <v>0</v>
      </c>
      <c r="AC110" s="568">
        <f>+IF(AND(AH27=AY64,AH9&gt;6.5,AH9&lt;=7,AH10&lt;=3),6,0)</f>
        <v>0</v>
      </c>
      <c r="AD110" s="568">
        <f>+IF(AND(AH27=AY64,AH9&gt;7,AH9&lt;=7.5,AH10&lt;=2),6,0)</f>
        <v>0</v>
      </c>
      <c r="AE110" s="568"/>
      <c r="AF110" s="568"/>
      <c r="AG110" s="568"/>
      <c r="AH110" s="6"/>
      <c r="AI110" s="568"/>
      <c r="AJ110" s="568"/>
      <c r="AK110" s="568"/>
      <c r="AL110" s="568"/>
      <c r="AM110" s="568"/>
      <c r="AN110" s="568"/>
      <c r="AR110" s="16"/>
      <c r="AS110" s="323"/>
      <c r="AT110" s="197"/>
      <c r="AU110" s="459">
        <v>750</v>
      </c>
      <c r="AV110" s="595">
        <f>+'Basic rates'!E73</f>
        <v>696.27259800000002</v>
      </c>
      <c r="AW110" s="251">
        <f>+'Basic rates'!G73</f>
        <v>795.74011200000007</v>
      </c>
      <c r="AX110" s="319"/>
      <c r="BB110" s="327"/>
      <c r="BC110" s="241"/>
      <c r="BD110" s="241"/>
      <c r="BE110" s="241"/>
      <c r="BF110" s="241"/>
      <c r="BG110" s="241"/>
      <c r="BH110" s="241"/>
      <c r="BI110" s="241"/>
      <c r="BJ110" s="240"/>
      <c r="BK110" s="197"/>
      <c r="BL110" s="197"/>
      <c r="BM110" s="332"/>
      <c r="BN110" s="75"/>
      <c r="BO110" s="75"/>
      <c r="BP110" s="75"/>
      <c r="BQ110" s="75"/>
      <c r="BR110" s="75"/>
      <c r="BS110" s="75"/>
      <c r="BT110" s="75"/>
      <c r="BU110" s="75"/>
      <c r="BV110" s="75"/>
    </row>
    <row r="111" spans="2:76" ht="12.75" x14ac:dyDescent="0.2">
      <c r="B111" s="568"/>
      <c r="C111" s="568"/>
      <c r="D111" s="568">
        <f>+IF(AND(AH27=AY65,AH9&gt;4,AH9&lt;=4.5,AH10&gt;10,AH10&lt;=12.01),8,0)</f>
        <v>0</v>
      </c>
      <c r="E111" s="568">
        <f>+IF(AND(AH27=AY65,AH9&gt;4.5,AH9&lt;=5,AH10&gt;7,AH10&lt;=12.01),8,0)</f>
        <v>0</v>
      </c>
      <c r="F111" s="568">
        <f>+IF(AND(AH27=AY65,AH9&gt;5,AH9&lt;=5.5,AH10&gt;5,AH10&lt;=12.01),8,0)</f>
        <v>0</v>
      </c>
      <c r="G111" s="568">
        <f>+IF(AND(AH27=AY65,AH9&gt;5.5,AH9&lt;=6,AH10&gt;4,AH10&lt;=12.01),8,0)</f>
        <v>0</v>
      </c>
      <c r="H111" s="568">
        <f>+IF(AND(AH27=AY65,AH9&gt;6,AH9&lt;=6.5,AH10&lt;=9),8,0)</f>
        <v>0</v>
      </c>
      <c r="I111" s="568">
        <f>+IF(AND(AH27=AY65,AH9&gt;6.5,AH9&lt;=7,AH10&lt;=6.5),8,0)</f>
        <v>0</v>
      </c>
      <c r="J111" s="568">
        <f>+IF(AND(AH27=AY65,AH9&gt;7,AH9&lt;=7.5,AH10&lt;=5.5),8,0)</f>
        <v>0</v>
      </c>
      <c r="K111" s="568">
        <f>+IF(AND(AH27=AY65,AH9&gt;7.5,AH9&lt;=8,AH10&lt;=4),8,0)</f>
        <v>0</v>
      </c>
      <c r="L111" s="568">
        <f>+IF(AND(AH27=AY65,AH9&gt;8,AH9&lt;=8.5,AH10&lt;=3),8,0)</f>
        <v>0</v>
      </c>
      <c r="M111" s="568">
        <f>+IF(AND(AH27=AY65,AH9&gt;8.5,AH9&lt;=9,AH10&lt;=3),8,0)</f>
        <v>0</v>
      </c>
      <c r="N111" s="568"/>
      <c r="O111" s="568"/>
      <c r="P111" s="568"/>
      <c r="Q111" s="568"/>
      <c r="R111" s="568"/>
      <c r="S111" s="568"/>
      <c r="T111" s="568"/>
      <c r="U111" s="568">
        <f>+IF(AND(AH27=AY64,AH9&gt;2.5,AH9&lt;=3,AH10&gt;9,AH10&lt;=12.01),8,0)</f>
        <v>0</v>
      </c>
      <c r="V111" s="568">
        <f>+IF(AND(AH27=AY64,AH9&gt;3,AH9&lt;=3.5,AH10&gt;9.5,AH10&lt;=12.01),8,0)</f>
        <v>0</v>
      </c>
      <c r="W111" s="568">
        <f>+IF(AND(AH27=AY64,AH9&gt;3.5,AH9&lt;=4,AH10&gt;9.5,AH10&lt;=12.01),8,0)</f>
        <v>0</v>
      </c>
      <c r="X111" s="568">
        <f>+IF(AND(AH27=AY64,AH9&gt;4,AH9&lt;=4.5,AH10&gt;9,AH10&lt;=12.01),8,0)</f>
        <v>0</v>
      </c>
      <c r="Y111" s="568">
        <f>+IF(AND(AH27=AY64,AH9&gt;4.5,AH9&lt;=5,AH10&gt;7.5,AH10&lt;=10),8,0)</f>
        <v>0</v>
      </c>
      <c r="Z111" s="568">
        <f>+IF(AND(AH27=AY64,AH9&gt;5,AH9&lt;=5.5,AH10&gt;7.5,AH10&lt;=10),8,0)</f>
        <v>0</v>
      </c>
      <c r="AA111" s="568">
        <f>+IF(AND(AH27=AY64,AH9&gt;5.5,AH9&lt;=6,AH10&gt;6,AH10&lt;=10.5),8,0)</f>
        <v>0</v>
      </c>
      <c r="AB111" s="568">
        <f>+IF(AND(AH27=AY64,AH9&gt;6,AH9&lt;=6.5,AH10&gt;4,AH10&lt;=10),8,0)</f>
        <v>0</v>
      </c>
      <c r="AC111" s="568">
        <f>+IF(AND(AH27=AY64,AH9&gt;6.5,AH9&lt;=7,AH10&gt;3,AH10&lt;=10),8,0)</f>
        <v>0</v>
      </c>
      <c r="AD111" s="568">
        <f>+IF(AND(AH27=AY64,AH9&gt;7,AH9&lt;=7.5,AH10&gt;2,AH10&lt;=8),8,0)</f>
        <v>0</v>
      </c>
      <c r="AE111" s="568">
        <f>+IF(AND(AH27=AY64,AH9&gt;7.5,AH9&lt;=8,AH10&lt;=6),8,0)</f>
        <v>0</v>
      </c>
      <c r="AF111" s="568">
        <f>+IF(AND(AH27=AY64,AH9&gt;8,AH9&lt;=8.5,AH10&lt;=6),8,0)</f>
        <v>0</v>
      </c>
      <c r="AG111" s="568"/>
      <c r="AH111" s="6"/>
      <c r="AI111" s="568"/>
      <c r="AJ111" s="568"/>
      <c r="AK111" s="568"/>
      <c r="AL111" s="568"/>
      <c r="AM111" s="568"/>
      <c r="AN111" s="568"/>
      <c r="AR111" s="16"/>
      <c r="AS111" s="323"/>
      <c r="AT111" s="16"/>
      <c r="AU111" s="16"/>
      <c r="AV111" s="16"/>
      <c r="AW111" s="16"/>
      <c r="AX111" s="16"/>
      <c r="AY111" s="16"/>
      <c r="AZ111" s="327"/>
      <c r="BA111" s="16"/>
      <c r="BB111" s="16"/>
      <c r="BC111" s="16"/>
      <c r="BD111" s="16"/>
      <c r="BE111" s="241"/>
      <c r="BF111" s="241"/>
      <c r="BG111" s="241"/>
      <c r="BH111" s="241"/>
      <c r="BI111" s="241"/>
      <c r="BJ111" s="240"/>
      <c r="BK111" s="197"/>
      <c r="BL111" s="197"/>
      <c r="BM111" s="332"/>
      <c r="BN111" s="75"/>
      <c r="BO111" s="75"/>
      <c r="BP111" s="75"/>
      <c r="BQ111" s="75"/>
      <c r="BR111" s="75"/>
      <c r="BS111" s="75"/>
      <c r="BT111" s="75"/>
      <c r="BU111" s="75"/>
      <c r="BV111" s="75"/>
    </row>
    <row r="112" spans="2:76" ht="12.75" x14ac:dyDescent="0.2">
      <c r="B112" s="568"/>
      <c r="C112" s="568"/>
      <c r="D112" s="568"/>
      <c r="E112" s="568"/>
      <c r="F112" s="568"/>
      <c r="G112" s="568"/>
      <c r="H112" s="568">
        <f>+IF(AND(AH27=AY65,AH9&gt;6,AH9&lt;=6.5,AH10&gt;9,AH10&lt;=12.01),10,0)</f>
        <v>0</v>
      </c>
      <c r="I112" s="568">
        <f>+IF(AND(AH27=AY65,AH9&gt;6.5,AH9&lt;=7,AH10&gt;6.5,AH10&lt;=12.01),10,0)</f>
        <v>0</v>
      </c>
      <c r="J112" s="568">
        <f>+IF(AND(AH27=AY65,AH9&gt;7,AH9&lt;=7.5,AH10&gt;5.5,AH10&lt;=12.01),10,0)</f>
        <v>0</v>
      </c>
      <c r="K112" s="568">
        <f>+IF(AND(AH27=AY65,AH9&gt;7.5,AH9&lt;=8,AH10&gt;4,AH10&lt;=12.01),10,0)</f>
        <v>0</v>
      </c>
      <c r="L112" s="568">
        <f>+IF(AND(AH27=AY65,AH9&gt;8,AH9&lt;=8.5,AH10&gt;3,AH10&lt;=7.5),10,0)</f>
        <v>0</v>
      </c>
      <c r="M112" s="568">
        <f>+IF(AND(AH27=AY65,AH9&gt;8.5,AH9&lt;=9,AH10&gt;3,AH10&lt;=6),10,0)</f>
        <v>0</v>
      </c>
      <c r="N112" s="568">
        <f>+IF(AND(AH27=AY65,AH9&gt;9,AH9&lt;=9.5,AH10&lt;=5),10,0)</f>
        <v>0</v>
      </c>
      <c r="O112" s="568">
        <f>+IF(AND(AH27=AY65,AH9&gt;9.5,AH9&lt;=10,AH10&lt;=4),10,0)</f>
        <v>0</v>
      </c>
      <c r="P112" s="568">
        <f>+IF(AND(AH27=AY65,AH9&gt;10,AH9&lt;=10.5,AH10&lt;=3.5),10,0)</f>
        <v>0</v>
      </c>
      <c r="Q112" s="568">
        <f>+IF(AND(AH27=AY65,AH9&gt;10.5,AH9&lt;=11,AH10&lt;=2.5),10,0)</f>
        <v>0</v>
      </c>
      <c r="R112" s="568"/>
      <c r="S112" s="568"/>
      <c r="T112" s="568"/>
      <c r="U112" s="568"/>
      <c r="V112" s="568"/>
      <c r="W112" s="568"/>
      <c r="X112" s="568"/>
      <c r="Y112" s="568">
        <f>+IF(AND(AH27=AY64,AH9&gt;4.5,AH9&lt;=5,AH10&gt;10.5,AH10&lt;=12.01),10,0)</f>
        <v>0</v>
      </c>
      <c r="Z112" s="568">
        <f>+IF(AND(AH27=AY64,AH9&gt;5,AH9&lt;=5.5,AH10&gt;10,AH10&lt;=12.01),10,0)</f>
        <v>0</v>
      </c>
      <c r="AA112" s="568">
        <f>+IF(AND(AH27=AY64,AH9&gt;5.5,AH9&lt;=6,AH10&gt;10.5,AH10&lt;=12.01),10,0)</f>
        <v>0</v>
      </c>
      <c r="AB112" s="568">
        <f>+IF(AND(AH27=AY64,AH9&gt;6,AH9&lt;=6.5,AH10&gt;10,AH10&lt;=12.01),10,0)</f>
        <v>0</v>
      </c>
      <c r="AC112" s="568">
        <f>+IF(AND(AH27=AY64,AH9&gt;6.5,AH9&lt;=7,AH10&gt;10,AH10&lt;=12.01),10,0)</f>
        <v>0</v>
      </c>
      <c r="AD112" s="568">
        <f>+IF(AND(AH27=AY64,AH9&gt;7,AH9&lt;=7.5,AH10&gt;8,AH10&lt;=12.01),10,0)</f>
        <v>0</v>
      </c>
      <c r="AE112" s="568">
        <f>+IF(AND(AH27=AY64,AH9&gt;7.5,AH9&lt;=8,AH10&gt;6,AH10&lt;=10.5),10,0)</f>
        <v>0</v>
      </c>
      <c r="AF112" s="568">
        <f>+IF(AND(AH27=AY64,AH9&gt;8,AH9&lt;=8.5,AH10&gt;6,AH10&lt;=10),10,0)</f>
        <v>0</v>
      </c>
      <c r="AG112" s="568">
        <f>+IF(AND(AH27=AY64,AH9&gt;8.5,AH9&lt;=9,AH10&lt;=4),8,0)</f>
        <v>0</v>
      </c>
      <c r="AH112" s="6">
        <f>+IF(AND(AH27=AY64,AH9&gt;9,AH9&lt;=9.5,AH10&lt;=2.5),8,0)</f>
        <v>0</v>
      </c>
      <c r="AI112" s="568"/>
      <c r="AJ112" s="568"/>
      <c r="AK112" s="568"/>
      <c r="AL112" s="568"/>
      <c r="AM112" s="568"/>
      <c r="AN112" s="568">
        <f>+IF(AND(AH27=AY64,AH9&gt;11.5,AH9&lt;=14.01,AH10&lt;=2),10,0)</f>
        <v>0</v>
      </c>
      <c r="AR112" s="16"/>
      <c r="AS112" s="323"/>
      <c r="AT112" s="16"/>
      <c r="AU112" s="16"/>
      <c r="AV112" s="16"/>
      <c r="AW112" s="16"/>
      <c r="AX112" s="16"/>
      <c r="AY112" s="16"/>
      <c r="AZ112" s="327"/>
      <c r="BA112" s="16"/>
      <c r="BB112" s="16"/>
      <c r="BC112" s="16"/>
      <c r="BD112" s="16"/>
      <c r="BE112" s="241"/>
      <c r="BF112" s="241"/>
      <c r="BG112" s="241"/>
      <c r="BH112" s="241"/>
      <c r="BI112" s="241"/>
      <c r="BJ112" s="240"/>
      <c r="BK112" s="197"/>
      <c r="BL112" s="197"/>
      <c r="BM112" s="332"/>
      <c r="BN112" s="75"/>
      <c r="BO112" s="75"/>
      <c r="BP112" s="75"/>
      <c r="BQ112" s="75"/>
      <c r="BR112" s="75"/>
      <c r="BS112" s="75"/>
      <c r="BT112" s="75"/>
      <c r="BU112" s="75"/>
      <c r="BV112" s="75"/>
    </row>
    <row r="113" spans="2:74" ht="12.75" x14ac:dyDescent="0.2">
      <c r="B113" s="568"/>
      <c r="C113" s="568"/>
      <c r="D113" s="568"/>
      <c r="E113" s="568"/>
      <c r="F113" s="568"/>
      <c r="G113" s="568"/>
      <c r="H113" s="568"/>
      <c r="I113" s="568"/>
      <c r="J113" s="568"/>
      <c r="K113" s="568"/>
      <c r="L113" s="568">
        <f>+IF(AND(AH27=AY65,AH9&gt;8,AH9&lt;=8.5,AH10&gt;7.5,AH10&lt;=12.01),12,0)</f>
        <v>0</v>
      </c>
      <c r="M113" s="568">
        <f>+IF(AND(AH27=AY65,AH9&gt;8.5,AH9&lt;=9,AH10&gt;6,AH10&lt;=12.01),12,0)</f>
        <v>0</v>
      </c>
      <c r="N113" s="568">
        <f>+IF(AND(AH27=AY65,AH9&gt;9,AH9&lt;=9.5,AH10&gt;5,AH10&lt;=12.01),12,0)</f>
        <v>0</v>
      </c>
      <c r="O113" s="568">
        <f>+IF(AND(AH27=AY65,AH9&gt;9.5,AH9&lt;=10,AH10&gt;4,AH10&lt;=8.5),12,0)</f>
        <v>0</v>
      </c>
      <c r="P113" s="568">
        <f>+IF(AND(AH27=AY65,AH9&gt;10,AH9&lt;=10.5,AH10&gt;3.5,AH10&lt;=5.5),12,0)</f>
        <v>0</v>
      </c>
      <c r="Q113" s="568">
        <f>+IF(AND(AH27=AY65,AH9&gt;10.5,AH9&lt;=11,AH10&gt;2.5,AH10&lt;=5),12,0)</f>
        <v>0</v>
      </c>
      <c r="R113" s="568">
        <f>+IF(AND(AH27=AY65,AH9&gt;11,AH9&lt;=14.01,AH10&lt;=3.5),12,0)</f>
        <v>0</v>
      </c>
      <c r="S113" s="568"/>
      <c r="T113" s="568"/>
      <c r="U113" s="568"/>
      <c r="V113" s="568"/>
      <c r="W113" s="568"/>
      <c r="X113" s="568"/>
      <c r="Y113" s="568"/>
      <c r="Z113" s="568"/>
      <c r="AA113" s="568"/>
      <c r="AB113" s="568"/>
      <c r="AC113" s="568"/>
      <c r="AD113" s="568"/>
      <c r="AE113" s="568">
        <f>+IF(AND(AH27=AY64,AH9&gt;7.5,AH9&lt;=8,AH10&gt;10.5,AH10&lt;=12.01),12,0)</f>
        <v>0</v>
      </c>
      <c r="AF113" s="568">
        <f>+IF(AND(AH27=AY64,AH9&gt;8,AH9&lt;=8.5,AH10&gt;10,AH10&lt;=12.01),12,0)</f>
        <v>0</v>
      </c>
      <c r="AG113" s="568">
        <f>+IF(AND(AH27=AY64,AH9&gt;8.5,AH9&lt;=9,AH10&gt;4,AH10&lt;=9),10,0)</f>
        <v>0</v>
      </c>
      <c r="AH113" s="6">
        <f>+IF(AND(AH27=AY64,AH9&gt;9,AH9&lt;=9.5,AH10&gt;2.5,AH10&lt;=7),10,0)</f>
        <v>0</v>
      </c>
      <c r="AI113" s="568"/>
      <c r="AJ113" s="568">
        <f>+IF(AND(AH27=AY64,AH9&gt;9.5,AH9&lt;=10,AH10&lt;=6),10,0)</f>
        <v>0</v>
      </c>
      <c r="AK113" s="568">
        <f>+IF(AND(AH27=AY64,AH9&gt;10,AH9&lt;=10.5,AH10&lt;=4),10,0)</f>
        <v>0</v>
      </c>
      <c r="AL113" s="568">
        <f>+IF(AND(AH27=AY64,AH9&gt;10.5,AH9&lt;=11,AH10&lt;=4),10,0)</f>
        <v>0</v>
      </c>
      <c r="AM113" s="568">
        <f>+IF(AND(AH27=AY64,AH9&gt;11,AH9&lt;=11.5,AH10&lt;=3),10,0)</f>
        <v>0</v>
      </c>
      <c r="AN113" s="568">
        <f>+IF(AND(AH27=AY64,AH9&gt;11.5,AH9&lt;=14.01,AH10&gt;2,AH10&lt;=5.5),12,0)</f>
        <v>0</v>
      </c>
      <c r="AR113" s="16"/>
      <c r="AS113" s="323"/>
      <c r="AT113" s="16" t="s">
        <v>280</v>
      </c>
      <c r="AU113" s="293" t="s">
        <v>43</v>
      </c>
      <c r="AV113" s="223" t="s">
        <v>74</v>
      </c>
      <c r="AW113" s="223"/>
      <c r="AX113" s="223"/>
      <c r="AY113" s="223"/>
      <c r="AZ113" s="327"/>
      <c r="BA113" s="16"/>
      <c r="BB113" s="16"/>
      <c r="BC113" s="16"/>
      <c r="BD113" s="16"/>
      <c r="BE113" s="243"/>
      <c r="BF113" s="327"/>
      <c r="BG113" s="242"/>
      <c r="BH113" s="242"/>
      <c r="BI113" s="327"/>
      <c r="BJ113" s="240"/>
      <c r="BK113" s="197"/>
      <c r="BL113" s="197"/>
      <c r="BM113" s="332"/>
    </row>
    <row r="114" spans="2:74" ht="12.75" x14ac:dyDescent="0.2"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8">
        <f>+IF(AND(AH27=AY65,AH9&gt;9.5,AH9&lt;=10,AH10&gt;8.5,AH10&lt;=12.01),14,0)</f>
        <v>0</v>
      </c>
      <c r="P114" s="568">
        <f>+IF(AND(AH27=AY65,AH9&gt;10,AH9&lt;=10.5,AH10&gt;5.5,AH10&lt;=12.01),14,0)</f>
        <v>0</v>
      </c>
      <c r="Q114" s="568">
        <f>+IF(AND(AH27=AY65,AH9&gt;10.5,AH9&lt;=11,AH10&gt;5,AH10&lt;=12.01),14,0)</f>
        <v>0</v>
      </c>
      <c r="R114" s="568">
        <f>+IF(AND(AH27=AY65,AH9&gt;11,AH9&lt;=14.01,AH10&gt;3.5,AH10&lt;=12.01),14,0)</f>
        <v>0</v>
      </c>
      <c r="S114" s="568"/>
      <c r="T114" s="568"/>
      <c r="U114" s="568"/>
      <c r="V114" s="568"/>
      <c r="W114" s="568"/>
      <c r="X114" s="568"/>
      <c r="Y114" s="568"/>
      <c r="Z114" s="568"/>
      <c r="AA114" s="568"/>
      <c r="AB114" s="568"/>
      <c r="AC114" s="568"/>
      <c r="AD114" s="568"/>
      <c r="AE114" s="568"/>
      <c r="AF114" s="568"/>
      <c r="AG114" s="568">
        <f>+IF(AND(AH27=AY64,AH9&gt;8.5,AH9&lt;=9,AH10&gt;9,AH10&lt;=12.01),12,0)</f>
        <v>0</v>
      </c>
      <c r="AH114" s="6">
        <f>+IF(AND(AH27=AY64,AH9&gt;9,AH9&lt;=9.5,AH10&gt;7,AH10&lt;=12.01),12,0)</f>
        <v>0</v>
      </c>
      <c r="AI114" s="568"/>
      <c r="AJ114" s="568">
        <f>+IF(AND(AH27=AY64,AH9&gt;9.5,AH9&lt;=10,AH10&gt;6,AH10&lt;=12.01),12,0)</f>
        <v>0</v>
      </c>
      <c r="AK114" s="568">
        <f>+IF(AND(AH27=AY64,AH9&gt;10,AH9&lt;=10.5,AH10&gt;4,AH10&lt;=10),12,0)</f>
        <v>0</v>
      </c>
      <c r="AL114" s="568">
        <f>+IF(AND(AH27=AY64,AH9&gt;10.5,AH9&lt;=11,AH10&gt;4,AH10&lt;=8),12,0)</f>
        <v>0</v>
      </c>
      <c r="AM114" s="568">
        <f>+IF(AND(AH27=AY64,AH9&gt;11,AH9&lt;=11.5,AH10&gt;3,AH10&lt;=7),12,0)</f>
        <v>0</v>
      </c>
      <c r="AN114" s="568">
        <f>+IF(AND(AH27=AY64,AH9&gt;11.5,AH9&lt;=14.01,AH10&gt;5.5,AH10&lt;=12.01),14,0)</f>
        <v>0</v>
      </c>
      <c r="AR114" s="16"/>
      <c r="AS114" s="323"/>
      <c r="AT114" s="16"/>
      <c r="AU114" s="223"/>
      <c r="AV114" s="223">
        <v>12</v>
      </c>
      <c r="AW114" s="223" t="s">
        <v>44</v>
      </c>
      <c r="AX114" s="223">
        <f>+'Basic rates'!D76</f>
        <v>500</v>
      </c>
      <c r="AY114" s="223" t="s">
        <v>45</v>
      </c>
      <c r="AZ114" s="327"/>
      <c r="BA114" s="16"/>
      <c r="BB114" s="16"/>
      <c r="BC114" s="16"/>
      <c r="BD114" s="16"/>
      <c r="BE114" s="243"/>
      <c r="BF114" s="327"/>
      <c r="BG114" s="242"/>
      <c r="BH114" s="242"/>
      <c r="BI114" s="327"/>
      <c r="BJ114" s="240"/>
      <c r="BK114" s="197"/>
      <c r="BL114" s="197"/>
      <c r="BM114" s="332"/>
    </row>
    <row r="115" spans="2:74" ht="12.75" x14ac:dyDescent="0.2">
      <c r="B115" s="568" t="s">
        <v>359</v>
      </c>
      <c r="C115" s="568">
        <f>IF(AND(AH27=AY65,AH9&lt;=4,AH10&lt;=12.1),6,0)</f>
        <v>0</v>
      </c>
      <c r="D115" s="568">
        <f>+IF(AND(AH27=AY65,AH9&gt;4,AH9&lt;=4.5,AH10&lt;=10),6,0)+IF(AND(AH27=AY65,AH9&gt;4,AH9&lt;=4.5,AH10&gt;10,AH10&lt;=12.01),8,0)</f>
        <v>0</v>
      </c>
      <c r="E115" s="568">
        <f>+IF(AND(AH27=AY65,AH9&gt;4.5,AH9&lt;=5,AH10&lt;=7),6,0)+IF(AND(AH27=AY65,AH9&gt;4.5,AH9&lt;=5,AH10&gt;7,AH10&lt;=12.01),8,0)</f>
        <v>0</v>
      </c>
      <c r="F115" s="568">
        <f>+IF(AND(AH27=AY65,AH9&gt;5,AH9&lt;=5.5,AH10&lt;=5),6,0)+IF(AND(AH27=AY65,AH9&gt;5,AH9&lt;=5.5,AH10&gt;5,AH10&lt;=12.01),8,0)</f>
        <v>0</v>
      </c>
      <c r="G115" s="568">
        <f>+IF(AND(AH27=AY65,AH9&gt;5.5,AH9&lt;=6,AH10&lt;=4),6,0)+IF(AND(AH27=AY65,AH9&gt;5.5,AH9&lt;=6,AH10&gt;4,AH10&lt;=12.01),8,0)</f>
        <v>0</v>
      </c>
      <c r="H115" s="568">
        <f>+IF(AND(AH27=AY65,AH9&gt;6,AH9&lt;=6.5,AH10&lt;=9),8,0)+IF(AND(AH27=AY65,AH9&gt;6,AH9&lt;=6.5,AH10&gt;9,AH10&lt;=12.01),10,0)</f>
        <v>0</v>
      </c>
      <c r="I115" s="568">
        <f>+IF(AND(AH27=AY65,AH9&gt;6.5,AH9&lt;=7,AH10&lt;=6.5),8,0)+IF(AND(AH27=AY65,AH9&gt;6.5,AH9&lt;=7,AH10&gt;6.5,AH10&lt;=12.01),10,0)</f>
        <v>0</v>
      </c>
      <c r="J115" s="568">
        <f>+IF(AND(AH27=AY65,AH9&gt;7,AH9&lt;=7.5,AH10&lt;=5.5),8,0)+IF(AND(AH27=AY65,AH9&gt;7,AH9&lt;=7.5,AH10&gt;5.5,AH10&lt;=12.01),10,0)</f>
        <v>0</v>
      </c>
      <c r="K115" s="568">
        <f>+IF(AND(AH27=AY65,AH9&gt;7.5,AH9&lt;=8,AH10&lt;=4),8,0)+IF(AND(AH27=AY65,AH9&gt;7.5,AH9&lt;=8,AH10&gt;4,AH10&lt;=12.01),10,0)</f>
        <v>0</v>
      </c>
      <c r="L115" s="568">
        <f>+IF(AND(AH27=AY65,AH9&gt;8,AH9&lt;=8.5,AH10&lt;=3),8,0)+IF(AND(AH27=AY65,AH9&gt;8,AH9&lt;=8.5,AH10&gt;3,AH10&lt;=7.5),10,0)+IF(AND(AH27=AY65,AH9&gt;8,AH9&lt;=8.5,AH10&gt;7.5,AH10&lt;=12.01),12,0)</f>
        <v>0</v>
      </c>
      <c r="M115" s="568">
        <f>+IF(AND(AH27=AY65,AH9&gt;8.5,AH9&lt;=9,AH10&lt;=3),8,0)+IF(AND(AH27=AY65,AH9&gt;8.5,AH9&lt;=9,AH10&gt;3,AH10&lt;=6),10,0)+IF(AND(AH27=AY65,AH9&gt;8.5,AH9&lt;=9,AH10&gt;6,AH10&lt;=12.01),12,0)</f>
        <v>0</v>
      </c>
      <c r="N115" s="568">
        <f>+IF(AND(AH27=AY65,AH9&gt;9,AH9&lt;=9.5,AH10&lt;=5),10,0)+IF(AND(AH27=AY65,AH9&gt;9,AH9&lt;=9.5,AH10&gt;5,AH10&lt;=12.01),12,0)</f>
        <v>0</v>
      </c>
      <c r="O115" s="568">
        <f>+IF(AND(AH27=AY65,AH9&gt;9.5,AH9&lt;=10,AH10&lt;=4),10,0)+IF(AND(AH27=AY65,AH9&gt;9.5,AH9&lt;=10,AH10&gt;4,AH10&lt;=8.5),12,0)+IF(AND(AH27=AY65,AH9&gt;9.5,AH9&lt;=10,AH10&gt;8.5,AH10&lt;=12.01),14,0)</f>
        <v>0</v>
      </c>
      <c r="P115" s="568">
        <f>+IF(AND(AH27=AY65,AH9&gt;10,AH9&lt;=10.5,AH10&lt;=3.5),10,0)+IF(AND(AH27=AY65,AH9&gt;10,AH9&lt;=10.5,AH10&gt;3.5,AH10&lt;=5.5),12,0)+IF(AND(AH27=AY65,AH9&gt;10,AH9&lt;=10.5,AH10&gt;5.5,AH10&lt;=12.01),14,0)</f>
        <v>0</v>
      </c>
      <c r="Q115" s="568">
        <f>+IF(AND(AH27=AY65,AH9&gt;10.5,AH9&lt;=11,AH10&lt;=2.5),10,0)+IF(AND(AH27=AY65,AH9&gt;10.5,AH9&lt;=11,AH10&gt;2.5,AH10&lt;=5),12,0)+IF(AND(AH27=AY65,AH9&gt;10.5,AH9&lt;=11,AH10&gt;5,AH10&lt;=12.01),14,0)</f>
        <v>0</v>
      </c>
      <c r="R115" s="568">
        <f>+IF(AND(AH27=AY65,AH9&gt;11,AH9&lt;=14.01,AH10&lt;=3.5),12,0)+IF(AND(AH27=AY65,AH9&gt;11,AH9&lt;=14.01,AH10&gt;3.5,AH10&lt;=12.01),14,0)</f>
        <v>0</v>
      </c>
      <c r="S115" s="568">
        <f>+IF(AND(AH27=AY64,AH9&lt;=2,AH10&lt;=8),4,0)+IF(AND(AH27=AY64,AH9&lt;=2,AH10&gt;8,AH10&lt;=12.01),5,0)</f>
        <v>4</v>
      </c>
      <c r="T115" s="568">
        <f>+IF(AND(AH27=AY64,AH9&gt;2,AH9&lt;=2.5,AH10&lt;=6.5),4,0)+IF(AND(AH27=AY64,AH9&gt;2,AH9&lt;=2.5,AH10&gt;6.5,AH10&lt;=12.01),5,0)</f>
        <v>0</v>
      </c>
      <c r="U115" s="568">
        <f>+IF(AND(AH27=AY64,AH9&gt;2.5,AH9&lt;=3,AH10&lt;=6.5),4,0)+IF(AND(AH27=AY64,AH9&gt;2.5,AH9&lt;=3,AH10&gt;6.5,AH10&lt;=8),5,0)+IF(AND(AH27=AY64,AH9&gt;2.5,AH9&lt;=3,AH10&gt;8,AH10&lt;=9),6,0)+IF(AND(AH27=AY64,AH9&gt;2.5,AH9&lt;=3,AH10&gt;9,AH10&lt;=12.01),8,0)</f>
        <v>0</v>
      </c>
      <c r="V115" s="568">
        <f>+IF(AND(AH27=AY64,AH9&gt;3,AH9&lt;=3.5,AH10&lt;=5.5),4,0)+IF(AND(AH27=AY64,AH9&gt;3,AH9&lt;=3.5,AH10&gt;5.5,AH10&lt;=8.5),5,0)+IF(AND(AH27=AY64,AH9&gt;3,AH9&lt;=3.5,AH10&gt;8.5,AH10&lt;=9.5),6,0)+IF(AND(AH27=AY64,AH9&gt;3,AH9&lt;=3.5,AH10&gt;9.5,AH10&lt;=12.01),8,0)</f>
        <v>0</v>
      </c>
      <c r="W115" s="568">
        <f>+IF(AND(AH27=AY64,AH9&gt;3.5,AH9&lt;=4,AH10&lt;=3.5),4,0)+IF(AND(AH27=AY64,AH9&gt;3.5,AH9&lt;=4,AH10&gt;3.5,AH10&lt;=7),5,0)+IF(AND(AH27=AY64,AH9&gt;3.5,AH9&lt;=4,AH10&gt;7,AH10&lt;=9.5),6,0)+IF(AND(AH27=AY64,AH9&gt;3.5,AH9&lt;=4,AH10&gt;9.5,AH10&lt;=12.01),8,0)</f>
        <v>0</v>
      </c>
      <c r="X115" s="568">
        <f>+IF(AND(AH27=AY64,AH9&gt;4,AH9&lt;=4.5,AH10&lt;=2.5),4,0)+IF(AND(AH27=AY64,AH9&gt;4,AH9&lt;=4.5,AH10&gt;2.5,AH10&lt;=5.5),5,0)+IF(AND(AH27=AY64,AH9&gt;4,AH9&lt;=4.5,AH10&gt;5.5,AH10&lt;=9),6,0)+IF(AND(AH27=AY64,AH9&gt;4,AH9&lt;=4.5,AH10&gt;9,AH10&lt;=12.01),8,0)</f>
        <v>0</v>
      </c>
      <c r="Y115" s="568">
        <f>+IF(AND(AH27=AY64,AH9&gt;4.5,AH9&lt;=5,AH10&lt;=2.5),4,0)+IF(AND(AH27=AY64,AH9&gt;4.5,AH9&lt;=5,AH10&gt;2.5,AH10&lt;=4),5,0)+IF(AND(AH27=AY64,AH9&gt;4.5,AH9&lt;=5,AH10&gt;4,AH10&lt;=7.5),6,0)+IF(AND(AH27=AY64,AH9&gt;4.5,AH9&lt;=5,AH10&gt;7.5,AH10&lt;=10),8,0)+IF(AND(AH27=AY64,AH9&gt;4.5,AH9&lt;=5,AH10&gt;10.5,AH10&lt;=12.01),10,0)</f>
        <v>0</v>
      </c>
      <c r="Z115" s="568">
        <f>+IF(AND(AH27=AY64,AH9&gt;5,AH9&lt;=5.5,AH10&lt;=2.5),5,0)+IF(AND(AH27=AY64,AH9&gt;5,AH9&lt;=5.5,AH10&gt;2.5,AH10&lt;=7.5),6,0)+IF(AND(AH27=AY64,AH9&gt;5,AH9&lt;=5.5,AH10&gt;7.5,AH10&lt;=10),8,0)+IF(AND(AH27=AY64,AH9&gt;5,AH9&lt;=5.5,AH10&gt;10,AH10&lt;=12.01),10,0)</f>
        <v>0</v>
      </c>
      <c r="AA115" s="568">
        <f>+IF(AND(AH27=AY64,AH9&gt;5.5,AH9&lt;=6,AH10&lt;=6),6,0)+IF(AND(AH27=AY64,AH9&gt;5.5,AH9&lt;=6,AH10&gt;6,AH10&lt;=10.5),8,0)+IF(AND(AH27=AY64,AH9&gt;5.5,AH9&lt;=6,AH10&gt;10.5,AH10&lt;=12.01),10,0)</f>
        <v>0</v>
      </c>
      <c r="AB115" s="568">
        <f>+IF(AND(AH27=AY64,AH9&gt;6,AH9&lt;=6.5,AH10&lt;=4),6,0)+IF(AND(AH27=AY64,AH9&gt;6,AH9&lt;=6.5,AH10&gt;4,AH10&lt;=10),8,0)+IF(AND(AH27=AY64,AH9&gt;6,AH9&lt;=6.5,AH10&gt;10,AH10&lt;=12.01),10,0)</f>
        <v>0</v>
      </c>
      <c r="AC115" s="568">
        <f>+IF(AND(AH27=AY64,AH9&gt;6.5,AH9&lt;=7,AH10&lt;=3),6,0)+IF(AND(AH27=AY64,AH9&gt;6.5,AH9&lt;=7,AH10&gt;3,AH10&lt;=10),8,0)+IF(AND(AH27=AY64,AH9&gt;6.5,AH9&lt;=7,AH10&gt;10,AH10&lt;=12.01),10,0)</f>
        <v>0</v>
      </c>
      <c r="AD115" s="568">
        <f>+IF(AND(AH27=AY64,AH9&gt;7,AH9&lt;=7.5,AH10&lt;=2),6,0)+IF(AND(AH27=AY64,AH9&gt;7,AH9&lt;=7.5,AH10&gt;2,AH10&lt;=8),8,0)+IF(AND(AH27=AY64,AH9&gt;7,AH9&lt;=7.5,AH10&gt;8,AH10&lt;=12.01),10,0)</f>
        <v>0</v>
      </c>
      <c r="AE115" s="568">
        <f>+IF(AND(AH27=AY64,AH9&gt;7.5,AH9&lt;=8,AH10&lt;=6),8,0)+IF(AND(AH27=AY64,AH9&gt;7.5,AH9&lt;=8,AH10&gt;6,AH10&lt;=10.5),10,0)+IF(AND(AH27=AY64,AH9&gt;7.5,AH9&lt;=8,AH10&gt;10.5,AH10&lt;=12.01),12,0)</f>
        <v>0</v>
      </c>
      <c r="AF115" s="568">
        <f>+IF(AND(AH27=AY64,AH9&gt;8,AH9&lt;=8.5,AH10&lt;=6),8,0)+IF(AND(AH27=AY64,AH9&gt;8,AH9&lt;=8.5,AH10&gt;6,AH10&lt;=10),10,0)+IF(AND(AH27=AY64,AH9&gt;8,AH9&lt;=8.5,AH10&gt;10,AH10&lt;=12.01),12,0)</f>
        <v>0</v>
      </c>
      <c r="AG115" s="568"/>
      <c r="AH115" s="6"/>
      <c r="AI115" s="568"/>
      <c r="AJ115" s="568"/>
      <c r="AK115" s="568">
        <f>+IF(AND(AH27=AY64,AH9&gt;10,AH9&lt;=10.5,AH10&gt;10,AH10&lt;=12.01),14,0)</f>
        <v>0</v>
      </c>
      <c r="AL115" s="568">
        <f>+IF(AND(AH27=AY64,AH9&gt;10.5,AH9&lt;=11,AH10&gt;8,AH10&lt;=12.01),14,0)</f>
        <v>0</v>
      </c>
      <c r="AM115" s="568">
        <f>+IF(AND(AH27=AY64,AH9&gt;11,AH9&lt;=11.5,AH10&gt;7,AH10&lt;=12.01),14,0)</f>
        <v>0</v>
      </c>
      <c r="AN115" s="568">
        <f>+IF(AND(AH27=AY64,AH9&gt;11.5,AH9&lt;=14.01,AH10&lt;=2),10,0)+IF(AND(AH27=AY64,AH9&gt;11.5,AH9&lt;=14.01,AH10&gt;2,AH10&lt;=5.5),12,0)+IF(AND(AH27=AY64,AH9&gt;11.5,AH9&lt;=14.01,AH10&gt;5.5,AH10&lt;=12.01),14,0)</f>
        <v>0</v>
      </c>
      <c r="AR115" s="16"/>
      <c r="AS115" s="323"/>
      <c r="AT115" s="86"/>
      <c r="AU115" s="223"/>
      <c r="AV115" s="223">
        <v>24</v>
      </c>
      <c r="AW115" s="223" t="s">
        <v>44</v>
      </c>
      <c r="AX115" s="223">
        <f>+'Basic rates'!D77</f>
        <v>1000</v>
      </c>
      <c r="AY115" s="223" t="s">
        <v>45</v>
      </c>
      <c r="AZ115" s="327"/>
      <c r="BA115" s="327"/>
      <c r="BB115" s="327"/>
      <c r="BC115" s="243"/>
      <c r="BD115" s="243"/>
      <c r="BE115" s="111"/>
      <c r="BF115" s="327"/>
      <c r="BG115" s="242"/>
      <c r="BH115" s="242"/>
      <c r="BI115" s="327"/>
      <c r="BJ115" s="240"/>
      <c r="BK115" s="197"/>
      <c r="BL115" s="197"/>
      <c r="BM115" s="332"/>
      <c r="BN115" s="75"/>
      <c r="BO115" s="75"/>
      <c r="BP115" s="75"/>
      <c r="BQ115" s="75"/>
      <c r="BR115" s="75"/>
      <c r="BS115" s="75"/>
      <c r="BT115" s="75"/>
      <c r="BU115" s="75"/>
      <c r="BV115" s="75"/>
    </row>
    <row r="116" spans="2:74" ht="12.75" x14ac:dyDescent="0.2">
      <c r="B116" s="568" t="s">
        <v>359</v>
      </c>
      <c r="C116" s="758">
        <f>IF(AND(AH27=AY65,AH9&lt;=4,AH10&lt;=12.1),6,0)+IF(AND(AH27=AY65,AH9&gt;4,AH9&lt;=4.5,AH10&lt;=10),6,0)+IF(AND(AH27=AY65,AH9&gt;4,AH9&lt;=4.5,AH10&gt;10,AH10&lt;=12.01),8,0)+IF(AND(AH27=AY65,AH9&gt;4.5,AH9&lt;=5,AH10&lt;=7),6,0)+IF(AND(AH27=AY65,AH9&gt;4.5,AH9&lt;=5,AH10&gt;7,AH10&lt;=12.01),8,0)+IF(AND(AH27=AY65,AH9&gt;5,AH9&lt;=5.5,AH10&lt;=5),6,0)+IF(AND(AH27=AY65,AH9&gt;5,AH9&lt;=5.5,AH10&gt;5,AH10&lt;=12.01),8,0)+IF(AND(AH27=AY65,AH9&gt;5.5,AH9&lt;=6,AH10&lt;=4),6,0)+IF(AND(AH27=AY65,AH9&gt;5.5,AH9&lt;=6,AH10&gt;4,AH10&lt;=12.01),8,0)+IF(AND(AH27=AY65,AH9&gt;6,AH9&lt;=6.5,AH10&lt;=9),8,0)+IF(AND(AH27=AY65,AH9&gt;6,AH9&lt;=6.5,AH10&gt;9,AH10&lt;=12.01),10,0)+IF(AND(AH27=AY65,AH9&gt;6.5,AH9&lt;=7,AH10&lt;=6.5),8,0)+IF(AND(AH27=AY65,AH9&gt;6.5,AH9&lt;=7,AH10&gt;6.5,AH10&lt;=12.01),10,0)+IF(AND(AH27=AY65,AH9&gt;7,AH9&lt;=7.5,AH10&lt;=5.5),8,0)+IF(AND(AH27=AY65,AH9&gt;7,AH9&lt;=7.5,AH10&gt;5.5,AH10&lt;=12.01),10,0)+IF(AND(AH27=AY65,AH9&gt;7.5,AH9&lt;=8,AH10&lt;=4),8,0)+IF(AND(AH27=AY65,AH9&gt;7.5,AH9&lt;=8,AH10&gt;4,AH10&lt;=12.01),10,0)+IF(AND(AH27=AY65,AH9&gt;8,AH9&lt;=8.5,AH10&lt;=3),8,0)+IF(AND(AH27=AY65,AH9&gt;8,AH9&lt;=8.5,AH10&gt;3,AH10&lt;=7.5),10,0)+IF(AND(AH27=AY65,AH9&gt;8,AH9&lt;=8.5,AH10&gt;7.5,AH10&lt;=12.01),12,0)+IF(AND(AH27=AY65,AH9&gt;8.5,AH9&lt;=9,AH10&lt;=3),8,0)+IF(AND(AH27=AY65,AH9&gt;8.5,AH9&lt;=9,AH10&gt;3,AH10&lt;=6),10,0)+IF(AND(AH27=AY65,AH9&gt;8.5,AH9&lt;=9,AH10&gt;6,AH10&lt;=12.01),12,0)+IF(AND(AH27=AY65,AH9&gt;9,AH9&lt;=9.5,AH10&lt;=5),10,0)+IF(AND(AH27=AY65,AH9&gt;9,AH9&lt;=9.5,AH10&gt;5,AH10&lt;=12.01),12,0)+IF(AND(AH27=AY65,AH9&gt;9.5,AH9&lt;=10,AH10&lt;=4),10,0)+IF(AND(AH27=AY65,AH9&gt;9.5,AH9&lt;=10,AH10&gt;4,AH10&lt;=8.5),12,0)+IF(AND(AH27=AY65,AH9&gt;9.5,AH9&lt;=10,AH10&gt;8.5,AH10&lt;=12.01),14,0)+IF(AND(AH27=AY65,AH9&gt;10,AH9&lt;=10.5,AH10&lt;=3.5),10,0)+IF(AND(AH27=AY65,AH9&gt;10,AH9&lt;=10.5,AH10&gt;3.5,AH10&lt;=5.5),12,0)+IF(AND(AH27=AY65,AH9&gt;10,AH9&lt;=10.5,AH10&gt;5.5,AH10&lt;=12.01),14,0)+IF(AND(AH27=AY65,AH9&gt;10.5,AH9&lt;=11,AH10&lt;=2.5),10,0)+IF(AND(AH27=AY65,AH9&gt;10.5,AH9&lt;=11,AH10&gt;2.5,AH10&lt;=5),12,0)+IF(AND(AH27=AY65,AH9&gt;10.5,AH9&lt;=11,AH10&gt;5,AH10&lt;=12.01),14,0)+IF(AND(AH27=AY65,AH9&gt;11,AH9&lt;=14.01,AH10&lt;=3.5),12,0)+IF(AND(AH27=AY65,AH9&gt;11,AH9&lt;=14.01,AH10&gt;3.5,AH10&lt;=12.01),14,0)</f>
        <v>0</v>
      </c>
      <c r="D116" s="758"/>
      <c r="E116" s="758"/>
      <c r="F116" s="758"/>
      <c r="G116" s="758"/>
      <c r="H116" s="758"/>
      <c r="I116" s="758"/>
      <c r="J116" s="758"/>
      <c r="K116" s="758"/>
      <c r="L116" s="758"/>
      <c r="M116" s="758"/>
      <c r="N116" s="758"/>
      <c r="O116" s="758"/>
      <c r="P116" s="758"/>
      <c r="Q116" s="758"/>
      <c r="R116" s="758"/>
      <c r="S116" s="661">
        <f>+IF(AND(AH27=AY64,AH9&lt;=2,AH10&lt;=8),4,0)+IF(AND(AH27=AY64,AH9&lt;=2,AH10&gt;8,AH10&lt;=12.01),5,0)+IF(AND(AH27=AY64,AH9&gt;2,AH9&lt;=2.5,AH10&lt;=6.5),4,0)+IF(AND(AH27=AY64,AH9&gt;2,AH9&lt;=2.5,AH10&gt;6.5,AH10&lt;=12.01),5,0)+IF(AND(AH27=AY64,AH9&gt;2.5,AH9&lt;=3,AH10&lt;=6.5),4,0)+IF(AND(AH27=AY64,AH9&gt;2.5,AH9&lt;=3,AH10&gt;6.5,AH10&lt;=8),5,0)+IF(AND(AH27=AY64,AH9&gt;2.5,AH9&lt;=3,AH10&gt;8,AH10&lt;=9),6,0)+IF(AND(AH27=AY64,AH9&gt;2.5,AH9&lt;=3,AH10&gt;9,AH10&lt;=12.01),8,0)+IF(AND(AH27=AY64,AH9&gt;3,AH9&lt;=3.5,AH10&lt;=5.5),4,0)+IF(AND(AH27=AY64,AH9&gt;3,AH9&lt;=3.5,AH10&gt;5.5,AH10&lt;=8.5),5,0)+IF(AND(AH27=AY64,AH9&gt;3,AH9&lt;=3.5,AH10&gt;8.5,AH10&lt;=9.5),6,0)+IF(AND(AH27=AY64,AH9&gt;3,AH9&lt;=3.5,AH10&gt;9.5,AH10&lt;=12.01),8,0)+IF(AND(AH27=AY64,AH9&gt;3.5,AH9&lt;=4,AH10&lt;=3.5),4,0)+IF(AND(AH27=AY64,AH9&gt;3.5,AH9&lt;=4,AH10&gt;3.5,AH10&lt;=7),5,0)+IF(AND(AH27=AY64,AH9&gt;3.5,AH9&lt;=4,AH10&gt;7,AH10&lt;=9.5),6,0)+IF(AND(AH27=AY64,AH9&gt;3.5,AH9&lt;=4,AH10&gt;9.5,AH10&lt;=12.01),8,0)+IF(AND(AH27=AY64,AH9&gt;4,AH9&lt;=4.5,AH10&lt;=2.5),4,0)+IF(AND(AH27=AY64,AH9&gt;4,AH9&lt;=4.5,AH10&gt;2.5,AH10&lt;=5.5),5,0)+IF(AND(AH27=AY64,AH9&gt;4,AH9&lt;=4.5,AH10&gt;5.5,AH10&lt;=9),6,0)+IF(AND(AH27=AY64,AH9&gt;4,AH9&lt;=4.5,AH10&gt;9,AH10&lt;=12.01),8,0)+IF(AND(AH27=AY64,AH9&gt;4.5,AH9&lt;=5,AH10&lt;=2.5),4,0)+IF(AND(AH27=AY64,AH9&gt;4.5,AH9&lt;=5,AH10&gt;2.5,AH10&lt;=4),5,0)+IF(AND(AH27=AY64,AH9&gt;4.5,AH9&lt;=5,AH10&gt;4,AH10&lt;=7.5),6,0)+IF(AND(AH27=AY64,AH9&gt;4.5,AH9&lt;=5,AH10&gt;7.5,AH10&lt;=10),8,0)+IF(AND(AH27=AY64,AH9&gt;4.5,AH9&lt;=5,AH10&gt;10.5,AH10&lt;=12.01),10,0)+IF(AND(AH27=AY64,AH9&gt;5,AH9&lt;=5.5,AH10&lt;=2.5),5,0)+IF(AND(AH27=AY64,AH9&gt;5,AH9&lt;=5.5,AH10&gt;2.5,AH10&lt;=7.5),6,0)+IF(AND(AH27=AY64,AH9&gt;5,AH9&lt;=5.5,AH10&gt;7.5,AH10&lt;=10),8,0)+IF(AND(AH27=AY64,AH9&gt;5,AH9&lt;=5.5,AH10&gt;10,AH10&lt;=12.01),10,0)+IF(AND(AH27=AY64,AH9&gt;5.5,AH9&lt;=6,AH10&lt;=6),6,0)+IF(AND(AH27=AY64,AH9&gt;5.5,AH9&lt;=6,AH10&gt;6,AH10&lt;=10.5),8,0)+IF(AND(AH27=AY64,AH9&gt;5.5,AH9&lt;=6,AH10&gt;10.5,AH10&lt;=12.01),10,0)+IF(AND(AH27=AY64,AH9&gt;6,AH9&lt;=6.5,AH10&lt;=4),6,0)+IF(AND(AH27=AY64,AH9&gt;6,AH9&lt;=6.5,AH10&gt;4,AH10&lt;=10),8,0)+IF(AND(AH27=AY64,AH9&gt;6,AH9&lt;=6.5,AH10&gt;10,AH10&lt;=12.01),10,0)+IF(AND(AH27=AY64,AH9&gt;6.5,AH9&lt;=7,AH10&lt;=3),6,0)+IF(AND(AH27=AY64,AH9&gt;6.5,AH9&lt;=7,AH10&gt;3,AH10&lt;=10),8,0)+IF(AND(AH27=AY64,AH9&gt;6.5,AH9&lt;=7,AH10&gt;10,AH10&lt;=12.01),10,0)+IF(AND(AH27=AY64,AH9&gt;7,AH9&lt;=7.5,AH10&lt;=2),6,0)+IF(AND(AH27=AY64,AH9&gt;7,AH9&lt;=7.5,AH10&gt;2,AH10&lt;=8),8,0)+IF(AND(AH27=AY64,AH9&gt;7,AH9&lt;=7.5,AH10&gt;8,AH10&lt;=12.01),10,0)+IF(AND(AH27=AY64,AH9&gt;7.5,AH9&lt;=8,AH10&lt;=6),8,0)+IF(AND(AH27=AY64,AH9&gt;7.5,AH9&lt;=8,AH10&gt;6,AH10&lt;=10.5),10,0)+IF(AND(AH27=AY64,AH9&gt;7.5,AH9&lt;=8,AH10&gt;10.5,AH10&lt;=12.01),12,0)+IF(AND(AH27=AY64,AH9&gt;8,AH9&lt;=8.5,AH10&lt;=6),8,0)+IF(AND(AH27=AY64,AH9&gt;8,AH9&lt;=8.5,AH10&gt;6,AH10&lt;=10),10,0)+IF(AND(AH27=AY64,AH9&gt;8,AH9&lt;=8.5,AH10&gt;10,AH10&lt;=12.01),12,0)+IF(AND(AH27=AY64,AH9&gt;8.5,AH9&lt;=9,AH10&lt;=4),8,0)+IF(AND(AH27=AY64,AH9&gt;8.5,AH9&lt;=9,AH10&gt;4,AH10&lt;=9),10,0)+IF(AND(AH27=AY64,AH9&gt;8.5,AH9&lt;=9,AH10&gt;9,AH10&lt;=12.01),12,0)+IF(AND(AH27=AY64,AH9&gt;9,AH9&lt;=9.5,AH10&lt;=2.5),8,0)+IF(AND(AH27=AY64,AH9&gt;9,AH9&lt;=9.5,AH10&gt;2.5,AH10&lt;=7),10,0)+IF(AND(AH27=AY64,AH9&gt;9,AH9&lt;=9.5,AH10&gt;7,AH10&lt;=12.01),12,0)+IF(AND(AH27=AY64,AH9&gt;9,AH9&lt;=9.5,AH10&lt;=2.5),8,0)+IF(AND(AH27=AY64,AH9&gt;9.5,AH9&lt;=10,AH10&lt;=6),10,0)+IF(AND(AH27=AY64,AH9&gt;9.5,AH9&lt;=10,AH10&gt;6,AH10&lt;=12.01),12,0)+IF(AND(AH27=AY64,AH9&gt;10,AH9&lt;=10.5,AH10&lt;=4),10,0)+IF(AND(AH27=AY64,AH9&gt;10,AH9&lt;=10.5,AH10&gt;4,AH10&lt;=10),12,0)+IF(AND(AH27=AY64,AH9&gt;10,AH9&lt;=10.5,AH10&gt;10,AH10&lt;=12.01),14,0)+IF(AND(AH27=AY64,AH9&gt;10.5,AH9&lt;=11,AH10&lt;=4),10,0)+IF(AND(AH27=AY64,AH9&gt;10.5,AH9&lt;=11,AH10&gt;4,AH10&lt;=8),12,0)+IF(AND(AH27=AY64,AH9&gt;10.5,AH9&lt;=11,AH10&gt;8,AH10&lt;=12.01),14,0)+IF(AND(AH27=AY64,AH9&gt;11,AH9&lt;=11.5,AH10&lt;=3),10,0)+IF(AND(AH27=AY64,AH9&gt;11,AH9&lt;=11.5,AH10&gt;3,AH10&lt;=7),12,0)+IF(AND(AH27=AY64,AH9&gt;11,AH9&lt;=11.5,AH10&gt;7,AH10&lt;=12.01),14,0)+IF(AND(AH27=AY64,AH9&gt;11.5,AH9&lt;=14.01,AH10&lt;=2),10,0)+IF(AND(AH27=AY64,AH9&gt;11.5,AH9&lt;=14.01,AH10&gt;2,AH10&lt;=5.5),12,0)+IF(AND(AH27=AY64,AH9&gt;11.5,AH9&lt;=14.01,AH10&gt;5.5,AH10&lt;=12.01),14,0)</f>
        <v>4</v>
      </c>
      <c r="T116" s="661"/>
      <c r="U116" s="661"/>
      <c r="V116" s="661"/>
      <c r="W116" s="661"/>
      <c r="X116" s="661"/>
      <c r="Y116" s="661"/>
      <c r="Z116" s="661"/>
      <c r="AA116" s="661"/>
      <c r="AB116" s="661"/>
      <c r="AC116" s="661"/>
      <c r="AD116" s="661"/>
      <c r="AE116" s="661"/>
      <c r="AF116" s="661"/>
      <c r="AG116" s="568">
        <f>+IF(AND(AH27=AY64,AH9&gt;8.5,AH9&lt;=9,AH10&lt;=4),8,0)+IF(AND(AH27=AY64,AH9&gt;8.5,AH9&lt;=9,AH10&gt;4,AH10&lt;=9),10,0)+IF(AND(AH27=AY64,AH9&gt;8.5,AH9&lt;=9,AH10&gt;9,AH10&lt;=12.01),12,0)</f>
        <v>0</v>
      </c>
      <c r="AH116" s="6">
        <f>+IF(AND(AH27=AY64,AH9&gt;9,AH9&lt;=9.5,AH10&lt;=2.5),8,0)+IF(AND(AH27=AY64,AH9&gt;9,AH9&lt;=9.5,AH10&gt;2.5,AH10&lt;=7),10,0)+IF(AND(AH27=AY64,AH9&gt;9,AH9&lt;=9.5,AH10&gt;7,AH10&lt;=12.01),12,0)</f>
        <v>0</v>
      </c>
      <c r="AI116" s="568"/>
      <c r="AJ116" s="568">
        <f>+IF(AND(AH27=AY64,AH9&gt;9.5,AH9&lt;=10,AH10&lt;=6),10,0)+IF(AND(AH27=AY64,AH9&gt;9.5,AH9&lt;=10,AH10&gt;6,AH10&lt;=12.01),12,0)</f>
        <v>0</v>
      </c>
      <c r="AK116" s="568">
        <f>+IF(AND(AH27=AY64,AH9&gt;10,AH9&lt;=10.5,AH10&lt;=4),10,0)+IF(AND(AH27=AY64,AH9&gt;10,AH9&lt;=10.5,AH10&gt;4,AH10&lt;=10),12,0)+IF(AND(AH27=AY64,AH9&gt;10,AH9&lt;=10.5,AH10&gt;10,AH10&lt;=12.01),14,0)</f>
        <v>0</v>
      </c>
      <c r="AL116" s="568">
        <f>+IF(AND(AH27=AY64,AH9&gt;10.5,AH9&lt;=11,AH10&lt;=4),10,0)+IF(AND(AH27=AY64,AH9&gt;10.5,AH9&lt;=11,AH10&gt;4,AH10&lt;=8),12,0)+IF(AND(AH27=AY64,AH9&gt;10.5,AH9&lt;=11,AH10&gt;8,AH10&lt;=12.01),14,0)</f>
        <v>0</v>
      </c>
      <c r="AM116" s="568">
        <f>+IF(AND(AH27=AY64,AH9&gt;11,AH9&lt;=11.5,AH10&lt;=3),10,0)+IF(AND(AH27=AY64,AH9&gt;11,AH9&lt;=11.5,AH10&gt;3,AH10&lt;=7),12,0)+IF(AND(AH27=AY64,AH9&gt;11,AH9&lt;=11.5,AH10&gt;7,AH10&lt;=12.01),14,0)</f>
        <v>0</v>
      </c>
      <c r="AN116" s="661"/>
      <c r="AR116" s="16"/>
      <c r="AS116" s="323"/>
      <c r="AT116" s="86"/>
      <c r="AU116" s="480"/>
      <c r="AV116" s="223">
        <v>36</v>
      </c>
      <c r="AW116" s="480" t="s">
        <v>44</v>
      </c>
      <c r="AX116" s="223">
        <f>+'Basic rates'!D78</f>
        <v>1500</v>
      </c>
      <c r="AY116" s="480" t="s">
        <v>45</v>
      </c>
      <c r="AZ116" s="327"/>
      <c r="BA116" s="327"/>
      <c r="BB116" s="16"/>
      <c r="BC116" s="16"/>
      <c r="BD116" s="16"/>
      <c r="BE116" s="16"/>
      <c r="BF116" s="16"/>
      <c r="BG116" s="16"/>
      <c r="BH116" s="16"/>
      <c r="BI116" s="16"/>
      <c r="BJ116" s="240"/>
      <c r="BK116" s="197"/>
      <c r="BL116" s="197"/>
      <c r="BM116" s="332"/>
    </row>
    <row r="117" spans="2:74" ht="12.75" x14ac:dyDescent="0.2">
      <c r="B117" s="568" t="s">
        <v>360</v>
      </c>
      <c r="C117" s="661">
        <f>IF(AND(AH27=AY65,AH9&lt;=4,AH10&lt;=12.1),6,0)+IF(AND(AH27=AY65,AH9&gt;4,AH9&lt;=4.5,AH10&lt;=10),6,0)+IF(AND(AH27=AY65,AH9&gt;4,AH9&lt;=4.5,AH10&gt;10,AH10&lt;=12.01),8,0)+IF(AND(AH27=AY65,AH9&gt;4.5,AH9&lt;=5,AH10&lt;=7),6,0)+IF(AND(AH27=AY65,AH9&gt;4.5,AH9&lt;=5,AH10&gt;7,AH10&lt;=12.01),8,0)+IF(AND(AH27=AY65,AH9&gt;5,AH9&lt;=5.5,AH10&lt;=5),6,0)+IF(AND(AH27=AY65,AH9&gt;5,AH9&lt;=5.5,AH10&gt;5,AH10&lt;=12.01),8,0)+IF(AND(AH27=AY65,AH9&gt;5.5,AH9&lt;=6,AH10&lt;=4),6,0)+IF(AND(AH27=AY65,AH9&gt;5.5,AH9&lt;=6,AH10&gt;4,AH10&lt;=12.01),8,0)+IF(AND(AH27=AY65,AH9&gt;6,AH9&lt;=6.5,AH10&lt;=9),8,0)+IF(AND(AH27=AY65,AH9&gt;6,AH9&lt;=6.5,AH10&gt;9,AH10&lt;=12.01),10,0)+IF(AND(AH27=AY65,AH9&gt;6.5,AH9&lt;=7,AH10&lt;=6.5),8,0)+IF(AND(AH27=AY65,AH9&gt;6.5,AH9&lt;=7,AH10&gt;6.5,AH10&lt;=12.01),10,0)+IF(AND(AH27=AY65,AH9&gt;7,AH9&lt;=7.5,AH10&lt;=5.5),8,0)+IF(AND(AH27=AY65,AH9&gt;7,AH9&lt;=7.5,AH10&gt;5.5,AH10&lt;=12.01),10,0)+IF(AND(AH27=AY65,AH9&gt;7.5,AH9&lt;=8,AH10&lt;=4),8,0)+IF(AND(AH27=AY65,AH9&gt;7.5,AH9&lt;=8,AH10&gt;4,AH10&lt;=12.01),10,0)+IF(AND(AH27=AY65,AH9&gt;8,AH9&lt;=8.5,AH10&lt;=3),8,0)+IF(AND(AH27=AY65,AH9&gt;8,AH9&lt;=8.5,AH10&gt;3,AH10&lt;=7.5),10,0)+IF(AND(AH27=AY65,AH9&gt;8,AH9&lt;=8.5,AH10&gt;7.5,AH10&lt;=12.01),12,0)+IF(AND(AH27=AY65,AH9&gt;8.5,AH9&lt;=9,AH10&lt;=3),8,0)+IF(AND(AH27=AY65,AH9&gt;8.5,AH9&lt;=9,AH10&gt;3,AH10&lt;=6),10,0)+IF(AND(AH27=AY65,AH9&gt;8.5,AH9&lt;=9,AH10&gt;6,AH10&lt;=12.01),12,0)+IF(AND(AH27=AY65,AH9&gt;9,AH9&lt;=9.5,AH10&lt;=5),10,0)+IF(AND(AH27=AY65,AH9&gt;9,AH9&lt;=9.5,AH10&gt;5,AH10&lt;=12.01),12,0)+IF(AND(AH27=AY65,AH9&gt;9.5,AH9&lt;=10,AH10&lt;=4),10,0)+IF(AND(AH27=AY65,AH9&gt;9.5,AH9&lt;=10,AH10&gt;4,AH10&lt;=8.5),12,0)+IF(AND(AH27=AY65,AH9&gt;9.5,AH9&lt;=10,AH10&gt;8.5,AH10&lt;=12.01),14,0)+IF(AND(AH27=AY65,AH9&gt;10,AH9&lt;=10.5,AH10&lt;=3.5),10,0)+IF(AND(AH27=AY65,AH9&gt;10,AH9&lt;=10.5,AH10&gt;3.5,AH10&lt;=5.5),12,0)+IF(AND(AH27=AY65,AH9&gt;10,AH9&lt;=10.5,AH10&gt;5.5,AH10&lt;=12.01),14,0)+IF(AND(AH27=AY65,AH9&gt;10.5,AH9&lt;=11,AH10&lt;=2.5),10,0)+IF(AND(AH27=AY65,AH9&gt;10.5,AH9&lt;=11,AH10&gt;2.5,AH10&lt;=5),12,0)+IF(AND(AH27=AY65,AH9&gt;10.5,AH9&lt;=11,AH10&gt;5,AH10&lt;=12.01),14,0)+IF(AND(AH27=AY65,AH9&gt;11,AH9&lt;=14.01,AH10&lt;=3.5),12,0)+IF(AND(AH27=AY65,AH9&gt;11,AH9&lt;=14.01,AH10&gt;3.5,AH10&lt;=12.01),14,0)+IF(AND(AH27=AY64,AH9&lt;=2,AH10&lt;=8),4,0)+IF(AND(AH27=AY64,AH9&lt;=2,AH10&gt;8,AH10&lt;=12.01),5,0)+IF(AND(AH27=AY64,AH9&gt;2,AH9&lt;=2.5,AH10&lt;=6.5),4,0)+IF(AND(AH27=AY64,AH9&gt;2,AH9&lt;=2.5,AH10&gt;6.5,AH10&lt;=12.01),5,0)+IF(AND(AH27=AY64,AH9&gt;2.5,AH9&lt;=3,AH10&lt;=6.5),4,0)+IF(AND(AH27=AY64,AH9&gt;2.5,AH9&lt;=3,AH10&gt;6.5,AH10&lt;=8),5,0)+IF(AND(AH27=AY64,AH9&gt;2.5,AH9&lt;=3,AH10&gt;8,AH10&lt;=9),6,0)+IF(AND(AH27=AY64,AH9&gt;2.5,AH9&lt;=3,AH10&gt;9,AH10&lt;=12.01),8,0)+IF(AND(AH27=AY64,AH9&gt;3,AH9&lt;=3.5,AH10&lt;=5.5),4,0)+IF(AND(AH27=AY64,AH9&gt;3,AH9&lt;=3.5,AH10&gt;5.5,AH10&lt;=8.5),5,0)+IF(AND(AH27=AY64,AH9&gt;3,AH9&lt;=3.5,AH10&gt;8.5,AH10&lt;=9.5),6,0)+IF(AND(AH27=AY64,AH9&gt;3,AH9&lt;=3.5,AH10&gt;9.5,AH10&lt;=12.01),8,0)+IF(AND(AH27=AY64,AH9&gt;3.5,AH9&lt;=4,AH10&lt;=3.5),4,0)+IF(AND(AH27=AY64,AH9&gt;3.5,AH9&lt;=4,AH10&gt;3.5,AH10&lt;=7),5,0)+IF(AND(AH27=AY64,AH9&gt;3.5,AH9&lt;=4,AH10&gt;7,AH10&lt;=9.5),6,0)+IF(AND(AH27=AY64,AH9&gt;3.5,AH9&lt;=4,AH10&gt;9.5,AH10&lt;=12.01),8,0)+IF(AND(AH27=AY64,AH9&gt;4,AH9&lt;=4.5,AH10&lt;=2.5),4,0)+IF(AND(AH27=AY64,AH9&gt;4,AH9&lt;=4.5,AH10&gt;2.5,AH10&lt;=5.5),5,0)+IF(AND(AH27=AY64,AH9&gt;4,AH9&lt;=4.5,AH10&gt;5.5,AH10&lt;=9),6,0)+IF(AND(AH27=AY64,AH9&gt;4,AH9&lt;=4.5,AH10&gt;9,AH10&lt;=12.01),8,0)+IF(AND(AH27=AY64,AH9&gt;4.5,AH9&lt;=5,AH10&lt;=2.5),4,0)+IF(AND(AH27=AY64,AH9&gt;4.5,AH9&lt;=5,AH10&gt;2.5,AH10&lt;=4),5,0)+IF(AND(AH27=AY64,AH9&gt;4.5,AH9&lt;=5,AH10&gt;4,AH10&lt;=7.5),6,0)+IF(AND(AH27=AY64,AH9&gt;4.5,AH9&lt;=5,AH10&gt;7.5,AH10&lt;=10),8,0)+IF(AND(AH27=AY64,AH9&gt;4.5,AH9&lt;=5,AH10&gt;10.5,AH10&lt;=12.01),10,0)+IF(AND(AH27=AY64,AH9&gt;5,AH9&lt;=5.5,AH10&lt;=2.5),5,0)+IF(AND(AH27=AY64,AH9&gt;5,AH9&lt;=5.5,AH10&gt;2.5,AH10&lt;=7.5),6,0)+IF(AND(AH27=AY64,AH9&gt;5,AH9&lt;=5.5,AH10&gt;7.5,AH10&lt;=10),8,0)+IF(AND(AH27=AY64,AH9&gt;5,AH9&lt;=5.5,AH10&gt;10,AH10&lt;=12.01),10,0)+IF(AND(AH27=AY64,AH9&gt;5.5,AH9&lt;=6,AH10&lt;=6),6,0)+IF(AND(AH27=AY64,AH9&gt;5.5,AH9&lt;=6,AH10&gt;6,AH10&lt;=10.5),8,0)+IF(AND(AH27=AY64,AH9&gt;5.5,AH9&lt;=6,AH10&gt;10.5,AH10&lt;=12.01),10,0)+IF(AND(AH27=AY64,AH9&gt;6,AH9&lt;=6.5,AH10&lt;=4),6,0)+IF(AND(AH27=AY64,AH9&gt;6,AH9&lt;=6.5,AH10&gt;4,AH10&lt;=10),8,0)+IF(AND(AH27=AY64,AH9&gt;6,AH9&lt;=6.5,AH10&gt;10,AH10&lt;=12.01),10,0)+IF(AND(AH27=AY64,AH9&gt;6.5,AH9&lt;=7,AH10&lt;=3),6,0)+IF(AND(AH27=AY64,AH9&gt;6.5,AH9&lt;=7,AH10&gt;3,AH10&lt;=10),8,0)+IF(AND(AH27=AY64,AH9&gt;6.5,AH9&lt;=7,AH10&gt;10,AH10&lt;=12.01),10,0)+IF(AND(AH27=AY64,AH9&gt;7,AH9&lt;=7.5,AH10&lt;=2),6,0)+IF(AND(AH27=AY64,AH9&gt;7,AH9&lt;=7.5,AH10&gt;2,AH10&lt;=8),8,0)+IF(AND(AH27=AY64,AH9&gt;7,AH9&lt;=7.5,AH10&gt;8,AH10&lt;=12.01),10,0)+IF(AND(AH27=AY64,AH9&gt;7.5,AH9&lt;=8,AH10&lt;=6),8,0)+IF(AND(AH27=AY64,AH9&gt;7.5,AH9&lt;=8,AH10&gt;6,AH10&lt;=10.5),10,0)+IF(AND(AH27=AY64,AH9&gt;7.5,AH9&lt;=8,AH10&gt;10.5,AH10&lt;=12.01),12,0)+IF(AND(AH27=AY64,AH9&gt;8,AH9&lt;=8.5,AH10&lt;=6),8,0)+IF(AND(AH27=AY64,AH9&gt;8,AH9&lt;=8.5,AH10&gt;6,AH10&lt;=10),10,0)+IF(AND(AH27=AY64,AH9&gt;8,AH9&lt;=8.5,AH10&gt;10,AH10&lt;=12.01),12,0)+IF(AND(AH27=AY64,AH9&gt;8.5,AH9&lt;=9,AH10&lt;=4),8,0)+IF(AND(AH27=AY64,AH9&gt;8.5,AH9&lt;=9,AH10&gt;4,AH10&lt;=9),10,0)+IF(AND(AH27=AY64,AH9&gt;8.5,AH9&lt;=9,AH10&gt;9,AH10&lt;=12.01),12,0)+IF(AND(AH27=AY64,AH9&gt;9,AH9&lt;=9.5,AH10&lt;=2.5),8,0)+IF(AND(AH27=AY64,AH9&gt;9,AH9&lt;=9.5,AH10&gt;2.5,AH10&lt;=7),10,0)+IF(AND(AH27=AY64,AH9&gt;9,AH9&lt;=9.5,AH10&gt;7,AH10&lt;=12.01),12,0)+IF(AND(AH27=AY64,AH9&gt;9,AH9&lt;=9.5,AH10&lt;=2.5),8,0)+IF(AND(AH27=AY64,AH9&gt;9.5,AH9&lt;=10,AH10&lt;=6),10,0)+IF(AND(AH27=AY64,AH9&gt;9.5,AH9&lt;=10,AH10&gt;6,AH10&lt;=12.01),12,0)+IF(AND(AH27=AY64,AH9&gt;10,AH9&lt;=10.5,AH10&lt;=4),10,0)+IF(AND(AH27=AY64,AH9&gt;10,AH9&lt;=10.5,AH10&gt;4,AH10&lt;=10),12,0)+IF(AND(AH27=AY64,AH9&gt;10,AH9&lt;=10.5,AH10&gt;10,AH10&lt;=12.01),14,0)+IF(AND(AH27=AY64,AH9&gt;10.5,AH9&lt;=11,AH10&lt;=4),10,0)+IF(AND(AH27=AY64,AH9&gt;10.5,AH9&lt;=11,AH10&gt;4,AH10&lt;=8),12,0)+IF(AND(AH27=AY64,AH9&gt;10.5,AH9&lt;=11,AH10&gt;8,AH10&lt;=12.01),14,0)+IF(AND(AH27=AY64,AH9&gt;11,AH9&lt;=11.5,AH10&lt;=3),10,0)+IF(AND(AH27=AY64,AH9&gt;11,AH9&lt;=11.5,AH10&gt;3,AH10&lt;=7),12,0)+IF(AND(AH27=AY64,AH9&gt;11,AH9&lt;=11.5,AH10&gt;7,AH10&lt;=12.01),14,0)+IF(AND(AH27=AY64,AH9&gt;11.5,AH9&lt;=14.01,AH10&lt;=2),10,0)+IF(AND(AH27=AY64,AH9&gt;11.5,AH9&lt;=14.01,AH10&gt;2,AH10&lt;=5.5),12,0)+IF(AND(AH27=AY64,AH9&gt;11.5,AH9&lt;=14.01,AH10&gt;5.5,AH10&lt;=12.01),14,0)</f>
        <v>4</v>
      </c>
      <c r="D117" s="661"/>
      <c r="E117" s="661"/>
      <c r="F117" s="661"/>
      <c r="G117" s="661"/>
      <c r="H117" s="661"/>
      <c r="I117" s="661"/>
      <c r="J117" s="661"/>
      <c r="K117" s="661"/>
      <c r="L117" s="661"/>
      <c r="M117" s="661"/>
      <c r="N117" s="661"/>
      <c r="O117" s="661"/>
      <c r="P117" s="661"/>
      <c r="Q117" s="661"/>
      <c r="R117" s="661"/>
      <c r="S117" s="661"/>
      <c r="T117" s="661"/>
      <c r="U117" s="661"/>
      <c r="V117" s="661"/>
      <c r="W117" s="661"/>
      <c r="X117" s="661"/>
      <c r="Y117" s="661"/>
      <c r="Z117" s="661"/>
      <c r="AA117" s="661"/>
      <c r="AB117" s="661"/>
      <c r="AC117" s="661"/>
      <c r="AD117" s="661"/>
      <c r="AE117" s="661"/>
      <c r="AF117" s="661"/>
      <c r="AG117" s="661"/>
      <c r="AH117" s="661"/>
      <c r="AI117" s="661"/>
      <c r="AJ117" s="661"/>
      <c r="AK117" s="661"/>
      <c r="AL117" s="661"/>
      <c r="AM117" s="661"/>
      <c r="AN117" s="661"/>
      <c r="AR117" s="16"/>
      <c r="AS117" s="323"/>
      <c r="AT117" s="86"/>
      <c r="AU117" s="480"/>
      <c r="AV117" s="484" t="s">
        <v>46</v>
      </c>
      <c r="AW117" s="480" t="s">
        <v>44</v>
      </c>
      <c r="AX117" s="223">
        <f>+'Basic rates'!D79</f>
        <v>1750</v>
      </c>
      <c r="AY117" s="480" t="s">
        <v>45</v>
      </c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327"/>
      <c r="BK117" s="16"/>
      <c r="BL117" s="16"/>
      <c r="BM117" s="17"/>
    </row>
    <row r="118" spans="2:74" ht="12.75" x14ac:dyDescent="0.2">
      <c r="AG118" s="661"/>
      <c r="AH118" s="661"/>
      <c r="AI118" s="661"/>
      <c r="AJ118" s="661"/>
      <c r="AK118" s="661"/>
      <c r="AL118" s="661"/>
      <c r="AM118" s="661"/>
      <c r="AR118" s="16"/>
      <c r="AS118" s="323"/>
      <c r="AT118" s="86"/>
      <c r="AU118" s="324"/>
      <c r="AV118" s="324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327"/>
      <c r="BK118" s="16"/>
      <c r="BL118" s="16"/>
      <c r="BM118" s="17"/>
    </row>
    <row r="119" spans="2:74" ht="12.75" x14ac:dyDescent="0.2">
      <c r="AR119" s="16"/>
      <c r="AS119" s="323"/>
      <c r="AT119" s="8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240"/>
      <c r="BK119" s="197"/>
      <c r="BL119" s="197"/>
      <c r="BM119" s="332"/>
    </row>
    <row r="120" spans="2:74" ht="12.75" x14ac:dyDescent="0.2">
      <c r="AR120" s="16"/>
      <c r="AS120" s="323"/>
      <c r="AT120" s="86" t="s">
        <v>281</v>
      </c>
      <c r="AU120" s="293" t="s">
        <v>48</v>
      </c>
      <c r="AV120" s="223" t="s">
        <v>74</v>
      </c>
      <c r="AW120" s="223"/>
      <c r="AX120" s="223"/>
      <c r="AY120" s="223"/>
      <c r="AZ120" s="223"/>
      <c r="BA120" s="16"/>
      <c r="BB120" s="16"/>
      <c r="BC120" s="16"/>
      <c r="BD120" s="16"/>
      <c r="BE120" s="16"/>
      <c r="BF120" s="16"/>
      <c r="BG120" s="16"/>
      <c r="BH120" s="16"/>
      <c r="BI120" s="16"/>
      <c r="BJ120" s="327"/>
      <c r="BK120" s="16"/>
      <c r="BL120" s="16"/>
      <c r="BM120" s="17"/>
    </row>
    <row r="121" spans="2:74" ht="12.75" x14ac:dyDescent="0.2">
      <c r="AR121" s="16"/>
      <c r="AS121" s="323"/>
      <c r="AT121" s="86"/>
      <c r="AU121" s="480"/>
      <c r="AV121" s="223">
        <v>12</v>
      </c>
      <c r="AW121" s="223" t="s">
        <v>44</v>
      </c>
      <c r="AX121" s="223">
        <f>+'Basic rates'!D82</f>
        <v>550</v>
      </c>
      <c r="AY121" s="223" t="s">
        <v>47</v>
      </c>
      <c r="AZ121" s="223"/>
      <c r="BA121" s="16"/>
      <c r="BB121" s="16"/>
      <c r="BC121" s="31"/>
      <c r="BD121" s="31"/>
      <c r="BE121" s="31"/>
      <c r="BF121" s="16"/>
      <c r="BG121" s="16"/>
      <c r="BH121" s="16"/>
      <c r="BI121" s="324"/>
      <c r="BJ121" s="327"/>
      <c r="BK121" s="16"/>
      <c r="BL121" s="16"/>
      <c r="BM121" s="17"/>
    </row>
    <row r="122" spans="2:74" ht="12.75" x14ac:dyDescent="0.2">
      <c r="AR122" s="16"/>
      <c r="AS122" s="323"/>
      <c r="AT122" s="86"/>
      <c r="AU122" s="480"/>
      <c r="AV122" s="223">
        <v>24</v>
      </c>
      <c r="AW122" s="223" t="s">
        <v>44</v>
      </c>
      <c r="AX122" s="223">
        <f>+'Basic rates'!D83</f>
        <v>450</v>
      </c>
      <c r="AY122" s="223" t="s">
        <v>47</v>
      </c>
      <c r="AZ122" s="223"/>
      <c r="BA122" s="16"/>
      <c r="BB122" s="16"/>
      <c r="BC122" s="31"/>
      <c r="BD122" s="31"/>
      <c r="BE122" s="31"/>
      <c r="BF122" s="16"/>
      <c r="BG122" s="16"/>
      <c r="BH122" s="16"/>
      <c r="BI122" s="324"/>
      <c r="BJ122" s="327"/>
      <c r="BK122" s="16"/>
      <c r="BL122" s="16"/>
      <c r="BM122" s="17"/>
    </row>
    <row r="123" spans="2:74" ht="12.75" x14ac:dyDescent="0.2">
      <c r="AR123" s="16"/>
      <c r="AS123" s="323"/>
      <c r="AT123" s="86"/>
      <c r="AU123" s="223"/>
      <c r="AV123" s="223">
        <v>36</v>
      </c>
      <c r="AW123" s="223" t="s">
        <v>44</v>
      </c>
      <c r="AX123" s="223">
        <f>+'Basic rates'!D84</f>
        <v>350</v>
      </c>
      <c r="AY123" s="223" t="s">
        <v>47</v>
      </c>
      <c r="AZ123" s="223"/>
      <c r="BA123" s="16"/>
      <c r="BB123" s="16"/>
      <c r="BC123" s="31"/>
      <c r="BD123" s="31"/>
      <c r="BE123" s="31"/>
      <c r="BF123" s="16"/>
      <c r="BG123" s="16"/>
      <c r="BH123" s="16"/>
      <c r="BI123" s="16"/>
      <c r="BJ123" s="327"/>
      <c r="BK123" s="16"/>
      <c r="BL123" s="16"/>
      <c r="BM123" s="17"/>
    </row>
    <row r="124" spans="2:74" ht="12.75" x14ac:dyDescent="0.2">
      <c r="AR124" s="16"/>
      <c r="AS124" s="323"/>
      <c r="AT124" s="86"/>
      <c r="AU124" s="223"/>
      <c r="AV124" s="484" t="s">
        <v>46</v>
      </c>
      <c r="AW124" s="223" t="s">
        <v>44</v>
      </c>
      <c r="AX124" s="223">
        <f>+'Basic rates'!D85</f>
        <v>330</v>
      </c>
      <c r="AY124" s="223" t="s">
        <v>47</v>
      </c>
      <c r="AZ124" s="223"/>
      <c r="BA124" s="16"/>
      <c r="BB124" s="16"/>
      <c r="BC124" s="117"/>
      <c r="BD124" s="117"/>
      <c r="BE124" s="117"/>
      <c r="BF124" s="16"/>
      <c r="BG124" s="16"/>
      <c r="BH124" s="16"/>
      <c r="BI124" s="333" t="s">
        <v>12</v>
      </c>
      <c r="BJ124" s="327"/>
      <c r="BK124" s="16"/>
      <c r="BL124" s="16"/>
      <c r="BM124" s="17"/>
    </row>
    <row r="125" spans="2:74" ht="12.75" x14ac:dyDescent="0.2">
      <c r="AR125" s="16"/>
      <c r="AS125" s="323"/>
      <c r="AT125" s="86"/>
      <c r="AU125" s="480"/>
      <c r="AV125" s="479" t="s">
        <v>101</v>
      </c>
      <c r="AW125" s="480" t="s">
        <v>44</v>
      </c>
      <c r="AX125" s="223">
        <f>+'Basic rates'!D86</f>
        <v>400</v>
      </c>
      <c r="AY125" s="223" t="s">
        <v>47</v>
      </c>
      <c r="AZ125" s="223"/>
      <c r="BA125" s="16"/>
      <c r="BB125" s="16"/>
      <c r="BC125" s="16"/>
      <c r="BD125" s="16"/>
      <c r="BE125" s="16"/>
      <c r="BF125" s="16"/>
      <c r="BG125" s="16"/>
      <c r="BH125" s="16"/>
      <c r="BI125" s="333" t="s">
        <v>13</v>
      </c>
      <c r="BJ125" s="327"/>
      <c r="BK125" s="16"/>
      <c r="BL125" s="16"/>
      <c r="BM125" s="17"/>
    </row>
    <row r="126" spans="2:74" ht="12.75" x14ac:dyDescent="0.2">
      <c r="AR126" s="16"/>
      <c r="AS126" s="323"/>
      <c r="AT126" s="86"/>
      <c r="AU126" s="86"/>
      <c r="AV126" s="86"/>
      <c r="AW126" s="86"/>
      <c r="AX126" s="86"/>
      <c r="AY126" s="86"/>
      <c r="AZ126" s="86"/>
      <c r="BA126" s="16"/>
      <c r="BB126" s="16"/>
      <c r="BC126" s="16"/>
      <c r="BD126" s="16"/>
      <c r="BE126" s="16"/>
      <c r="BF126" s="16"/>
      <c r="BG126" s="16"/>
      <c r="BH126" s="16"/>
      <c r="BI126" s="333"/>
      <c r="BJ126" s="327"/>
      <c r="BK126" s="16"/>
      <c r="BL126" s="16"/>
      <c r="BM126" s="17"/>
    </row>
    <row r="127" spans="2:74" ht="12.75" x14ac:dyDescent="0.2">
      <c r="AR127" s="16"/>
      <c r="AS127" s="323"/>
      <c r="AT127" s="86"/>
      <c r="AU127" s="86"/>
      <c r="AV127" s="86"/>
      <c r="AW127" s="86"/>
      <c r="AX127" s="86"/>
      <c r="AY127" s="86"/>
      <c r="AZ127" s="86"/>
      <c r="BA127" s="16"/>
      <c r="BB127" s="16"/>
      <c r="BC127" s="16"/>
      <c r="BD127" s="16"/>
      <c r="BE127" s="16"/>
      <c r="BF127" s="16"/>
      <c r="BG127" s="16"/>
      <c r="BH127" s="16"/>
      <c r="BI127" s="333"/>
      <c r="BJ127" s="327"/>
      <c r="BK127" s="16"/>
      <c r="BL127" s="16"/>
      <c r="BM127" s="17"/>
    </row>
    <row r="128" spans="2:74" ht="12.75" x14ac:dyDescent="0.2">
      <c r="AR128" s="16"/>
      <c r="AS128" s="323"/>
      <c r="AT128" s="86"/>
      <c r="AU128" s="86"/>
      <c r="AV128" s="86"/>
      <c r="AW128" s="86"/>
      <c r="AX128" s="86"/>
      <c r="AY128" s="86"/>
      <c r="AZ128" s="86"/>
      <c r="BA128" s="16"/>
      <c r="BB128" s="16"/>
      <c r="BC128" s="16"/>
      <c r="BD128" s="16"/>
      <c r="BE128" s="16"/>
      <c r="BF128" s="16"/>
      <c r="BG128" s="16"/>
      <c r="BH128" s="16"/>
      <c r="BI128" s="333"/>
      <c r="BJ128" s="327"/>
      <c r="BK128" s="16"/>
      <c r="BL128" s="16"/>
      <c r="BM128" s="17"/>
    </row>
    <row r="129" spans="44:65" ht="12.75" x14ac:dyDescent="0.2">
      <c r="AR129" s="16"/>
      <c r="AS129" s="323"/>
      <c r="AT129" s="86"/>
      <c r="AU129" s="86"/>
      <c r="AV129" s="86"/>
      <c r="AW129" s="86"/>
      <c r="AX129" s="86"/>
      <c r="AY129" s="86"/>
      <c r="AZ129" s="86"/>
      <c r="BA129" s="16"/>
      <c r="BB129" s="16"/>
      <c r="BC129" s="16"/>
      <c r="BD129" s="16"/>
      <c r="BE129" s="16"/>
      <c r="BF129" s="16"/>
      <c r="BG129" s="16"/>
      <c r="BH129" s="16"/>
      <c r="BI129" s="333"/>
      <c r="BJ129" s="327"/>
      <c r="BK129" s="16"/>
      <c r="BL129" s="16"/>
      <c r="BM129" s="17"/>
    </row>
    <row r="130" spans="44:65" ht="12.75" x14ac:dyDescent="0.2">
      <c r="AR130" s="16"/>
      <c r="AS130" s="323"/>
      <c r="AT130" s="86"/>
      <c r="AU130" s="86"/>
      <c r="AV130" s="86"/>
      <c r="AW130" s="86"/>
      <c r="AX130" s="86"/>
      <c r="AY130" s="86"/>
      <c r="AZ130" s="86"/>
      <c r="BA130" s="16"/>
      <c r="BB130" s="16"/>
      <c r="BC130" s="16"/>
      <c r="BD130" s="16"/>
      <c r="BE130" s="16"/>
      <c r="BF130" s="16"/>
      <c r="BG130" s="16"/>
      <c r="BH130" s="16"/>
      <c r="BI130" s="333"/>
      <c r="BJ130" s="327"/>
      <c r="BK130" s="16"/>
      <c r="BL130" s="16"/>
      <c r="BM130" s="17"/>
    </row>
    <row r="131" spans="44:65" ht="12.75" x14ac:dyDescent="0.2">
      <c r="AR131" s="16"/>
      <c r="AS131" s="323"/>
      <c r="AT131" s="8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333"/>
      <c r="BJ131" s="327"/>
      <c r="BK131" s="16"/>
      <c r="BL131" s="16"/>
      <c r="BM131" s="17"/>
    </row>
    <row r="132" spans="44:65" ht="13.5" thickBot="1" x14ac:dyDescent="0.25">
      <c r="AR132" s="16"/>
      <c r="AS132" s="21"/>
      <c r="AT132" s="334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335"/>
      <c r="BJ132" s="336"/>
      <c r="BK132" s="18"/>
      <c r="BL132" s="18"/>
      <c r="BM132" s="34"/>
    </row>
    <row r="133" spans="44:65" ht="12.75" x14ac:dyDescent="0.2">
      <c r="AR133" s="16"/>
      <c r="AS133" s="16"/>
      <c r="AT133" s="86"/>
      <c r="BI133" s="9"/>
    </row>
    <row r="134" spans="44:65" ht="12.75" x14ac:dyDescent="0.2">
      <c r="AR134" s="287"/>
      <c r="AS134" s="562" t="s">
        <v>283</v>
      </c>
      <c r="AT134" s="562"/>
      <c r="AU134" s="562"/>
      <c r="AV134" s="562"/>
      <c r="AW134" s="562"/>
      <c r="AX134" s="562"/>
      <c r="AY134" s="562"/>
      <c r="AZ134" s="562"/>
      <c r="BA134" s="562"/>
      <c r="BB134" s="562"/>
      <c r="BC134" s="562"/>
      <c r="BD134" s="562"/>
      <c r="BE134" s="562"/>
      <c r="BF134" s="562"/>
      <c r="BG134" s="562"/>
      <c r="BH134" s="562"/>
      <c r="BI134" s="562"/>
      <c r="BJ134" s="562"/>
      <c r="BK134" s="562"/>
      <c r="BL134" s="562"/>
      <c r="BM134" s="562"/>
    </row>
    <row r="135" spans="44:65" ht="12.75" x14ac:dyDescent="0.2">
      <c r="AR135" s="16"/>
      <c r="AS135" s="338"/>
      <c r="AT135" s="339"/>
      <c r="AU135" s="340"/>
      <c r="AV135" s="340"/>
      <c r="AW135" s="340"/>
      <c r="AX135" s="340"/>
      <c r="AY135" s="340"/>
      <c r="AZ135" s="340"/>
      <c r="BA135" s="340"/>
      <c r="BB135" s="340"/>
      <c r="BC135" s="340"/>
      <c r="BD135" s="340"/>
      <c r="BE135" s="340"/>
      <c r="BF135" s="340"/>
      <c r="BG135" s="340"/>
      <c r="BH135" s="340"/>
      <c r="BI135" s="341"/>
      <c r="BJ135" s="342"/>
      <c r="BK135" s="340"/>
      <c r="BL135" s="340"/>
      <c r="BM135" s="343"/>
    </row>
    <row r="136" spans="44:65" ht="12.75" x14ac:dyDescent="0.2">
      <c r="AR136" s="16"/>
      <c r="AS136" s="344"/>
      <c r="AT136" s="86" t="s">
        <v>216</v>
      </c>
      <c r="AU136" s="293" t="s">
        <v>289</v>
      </c>
      <c r="AV136" s="197"/>
      <c r="AW136" s="197"/>
      <c r="AX136" s="39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333"/>
      <c r="BJ136" s="327"/>
      <c r="BK136" s="16"/>
      <c r="BL136" s="16"/>
      <c r="BM136" s="287"/>
    </row>
    <row r="137" spans="44:65" ht="14.25" x14ac:dyDescent="0.2">
      <c r="AR137" s="16"/>
      <c r="AS137" s="344"/>
      <c r="AT137" s="86"/>
      <c r="AU137" s="221" t="s">
        <v>59</v>
      </c>
      <c r="AV137" s="16"/>
      <c r="AW137" s="320"/>
      <c r="AX137" s="16"/>
      <c r="AY137" s="16"/>
      <c r="AZ137" s="16"/>
      <c r="BA137" s="16"/>
      <c r="BB137" s="563" t="s">
        <v>185</v>
      </c>
      <c r="BC137" s="564"/>
      <c r="BD137" s="16"/>
      <c r="BE137" s="16"/>
      <c r="BF137" s="16"/>
      <c r="BG137" s="16"/>
      <c r="BH137" s="16"/>
      <c r="BI137" s="333"/>
      <c r="BJ137" s="327"/>
      <c r="BK137" s="16"/>
      <c r="BL137" s="16"/>
      <c r="BM137" s="287"/>
    </row>
    <row r="138" spans="44:65" ht="12.75" x14ac:dyDescent="0.2">
      <c r="AR138" s="16"/>
      <c r="AS138" s="344"/>
      <c r="AT138" s="86"/>
      <c r="AU138" s="221" t="s">
        <v>60</v>
      </c>
      <c r="AV138" s="16"/>
      <c r="AW138" s="197"/>
      <c r="AX138" s="16"/>
      <c r="AY138" s="16"/>
      <c r="AZ138" s="16"/>
      <c r="BA138" s="16"/>
      <c r="BB138" s="568" t="s">
        <v>187</v>
      </c>
      <c r="BC138" s="568">
        <v>0.05</v>
      </c>
      <c r="BD138" s="16"/>
      <c r="BE138" s="16"/>
      <c r="BF138" s="16"/>
      <c r="BG138" s="16"/>
      <c r="BH138" s="16"/>
      <c r="BI138" s="333"/>
      <c r="BJ138" s="327"/>
      <c r="BK138" s="16"/>
      <c r="BL138" s="16"/>
      <c r="BM138" s="287"/>
    </row>
    <row r="139" spans="44:65" ht="12.75" x14ac:dyDescent="0.2">
      <c r="AR139" s="16"/>
      <c r="AS139" s="344"/>
      <c r="AT139" s="86"/>
      <c r="AU139" s="221" t="s">
        <v>23</v>
      </c>
      <c r="AV139" s="16"/>
      <c r="AW139" s="16"/>
      <c r="AX139" s="16"/>
      <c r="AY139" s="16"/>
      <c r="AZ139" s="16"/>
      <c r="BA139" s="16"/>
      <c r="BB139" s="568" t="s">
        <v>188</v>
      </c>
      <c r="BC139" s="568">
        <v>0.1</v>
      </c>
      <c r="BD139" s="16"/>
      <c r="BE139" s="16"/>
      <c r="BF139" s="16"/>
      <c r="BG139" s="16"/>
      <c r="BH139" s="16"/>
      <c r="BI139" s="333"/>
      <c r="BJ139" s="327"/>
      <c r="BK139" s="16"/>
      <c r="BL139" s="16"/>
      <c r="BM139" s="287"/>
    </row>
    <row r="140" spans="44:65" ht="12.75" x14ac:dyDescent="0.2">
      <c r="AR140" s="16"/>
      <c r="AS140" s="344"/>
      <c r="AT140" s="86"/>
      <c r="AU140" s="16"/>
      <c r="AV140" s="16"/>
      <c r="AW140" s="16"/>
      <c r="AX140" s="16"/>
      <c r="AY140" s="16"/>
      <c r="AZ140" s="16"/>
      <c r="BA140" s="16"/>
      <c r="BB140" s="568" t="s">
        <v>189</v>
      </c>
      <c r="BC140" s="568">
        <v>0.15</v>
      </c>
      <c r="BD140" s="16"/>
      <c r="BE140" s="16"/>
      <c r="BF140" s="16"/>
      <c r="BG140" s="16"/>
      <c r="BH140" s="16"/>
      <c r="BI140" s="333"/>
      <c r="BJ140" s="327"/>
      <c r="BK140" s="16"/>
      <c r="BL140" s="16"/>
      <c r="BM140" s="287"/>
    </row>
    <row r="141" spans="44:65" ht="12.75" x14ac:dyDescent="0.2">
      <c r="AR141" s="16"/>
      <c r="AS141" s="344"/>
      <c r="AT141" s="86" t="s">
        <v>217</v>
      </c>
      <c r="AU141" s="293" t="s">
        <v>287</v>
      </c>
      <c r="AV141" s="293" t="s">
        <v>286</v>
      </c>
      <c r="AW141" s="293" t="s">
        <v>288</v>
      </c>
      <c r="AX141" s="16"/>
      <c r="AY141" s="16"/>
      <c r="AZ141" s="16"/>
      <c r="BA141" s="16"/>
      <c r="BB141" s="568" t="s">
        <v>190</v>
      </c>
      <c r="BC141" s="568">
        <v>0.2</v>
      </c>
      <c r="BD141" s="16"/>
      <c r="BE141" s="16"/>
      <c r="BF141" s="324"/>
      <c r="BG141" s="324"/>
      <c r="BH141" s="324"/>
      <c r="BI141" s="324"/>
      <c r="BJ141" s="327"/>
      <c r="BK141" s="16"/>
      <c r="BL141" s="16"/>
      <c r="BM141" s="287"/>
    </row>
    <row r="142" spans="44:65" ht="12.75" x14ac:dyDescent="0.2">
      <c r="AR142" s="16"/>
      <c r="AS142" s="344"/>
      <c r="AT142" s="86"/>
      <c r="AU142" s="591" t="s">
        <v>284</v>
      </c>
      <c r="AV142" s="632">
        <f>+'Basic rates'!X16</f>
        <v>1800</v>
      </c>
      <c r="AW142" s="221" t="s">
        <v>61</v>
      </c>
      <c r="AX142" s="16"/>
      <c r="AY142" s="16"/>
      <c r="AZ142" s="16"/>
      <c r="BA142" s="16"/>
      <c r="BB142" s="244" t="s">
        <v>23</v>
      </c>
      <c r="BC142" s="568">
        <v>0</v>
      </c>
      <c r="BD142" s="16"/>
      <c r="BE142" s="16"/>
      <c r="BF142" s="324"/>
      <c r="BG142" s="324"/>
      <c r="BH142" s="324"/>
      <c r="BI142" s="324"/>
      <c r="BJ142" s="327"/>
      <c r="BK142" s="16"/>
      <c r="BL142" s="16"/>
      <c r="BM142" s="287"/>
    </row>
    <row r="143" spans="44:65" ht="12.75" x14ac:dyDescent="0.2">
      <c r="AR143" s="16"/>
      <c r="AS143" s="344"/>
      <c r="AT143" s="86"/>
      <c r="AU143" s="591" t="s">
        <v>285</v>
      </c>
      <c r="AV143" s="632">
        <f>+'Basic rates'!X17</f>
        <v>600</v>
      </c>
      <c r="AW143" s="221" t="s">
        <v>62</v>
      </c>
      <c r="AX143" s="16"/>
      <c r="AY143" s="16"/>
      <c r="AZ143" s="16"/>
      <c r="BA143" s="16"/>
      <c r="BB143" s="16"/>
      <c r="BC143" s="16"/>
      <c r="BD143" s="16"/>
      <c r="BE143" s="16"/>
      <c r="BF143" s="324"/>
      <c r="BG143" s="324"/>
      <c r="BH143" s="324"/>
      <c r="BI143" s="324"/>
      <c r="BJ143" s="327"/>
      <c r="BK143" s="16"/>
      <c r="BL143" s="16"/>
      <c r="BM143" s="287"/>
    </row>
    <row r="144" spans="44:65" ht="12.75" x14ac:dyDescent="0.2">
      <c r="AR144" s="16"/>
      <c r="AS144" s="344"/>
      <c r="AT144" s="86"/>
      <c r="AU144" s="591" t="s">
        <v>290</v>
      </c>
      <c r="AV144" s="632">
        <f>+'Basic rates'!X18</f>
        <v>600</v>
      </c>
      <c r="AW144" s="221" t="s">
        <v>23</v>
      </c>
      <c r="AX144" s="16"/>
      <c r="AY144" s="16"/>
      <c r="AZ144" s="16"/>
      <c r="BA144" s="16"/>
      <c r="BB144" s="16"/>
      <c r="BC144" s="16"/>
      <c r="BD144" s="16"/>
      <c r="BE144" s="16"/>
      <c r="BF144" s="324"/>
      <c r="BG144" s="324"/>
      <c r="BH144" s="324"/>
      <c r="BI144" s="324"/>
      <c r="BJ144" s="327"/>
      <c r="BK144" s="16"/>
      <c r="BL144" s="16"/>
      <c r="BM144" s="287"/>
    </row>
    <row r="145" spans="44:65" ht="12.75" x14ac:dyDescent="0.2">
      <c r="AR145" s="16"/>
      <c r="AS145" s="344"/>
      <c r="AT145" s="86"/>
      <c r="AU145" s="16"/>
      <c r="AV145" s="16"/>
      <c r="AW145" s="16"/>
      <c r="AX145" s="16"/>
      <c r="AY145" s="16"/>
      <c r="AZ145" s="16"/>
      <c r="BA145" s="111"/>
      <c r="BB145" s="111"/>
      <c r="BC145" s="111"/>
      <c r="BD145" s="111"/>
      <c r="BE145" s="111"/>
      <c r="BF145" s="324"/>
      <c r="BG145" s="324"/>
      <c r="BH145" s="324"/>
      <c r="BI145" s="324"/>
      <c r="BJ145" s="327"/>
      <c r="BK145" s="16"/>
      <c r="BL145" s="16"/>
      <c r="BM145" s="287"/>
    </row>
    <row r="146" spans="44:65" ht="12.75" x14ac:dyDescent="0.2">
      <c r="AR146" s="16"/>
      <c r="AS146" s="344"/>
      <c r="AT146" s="16" t="s">
        <v>254</v>
      </c>
      <c r="AU146" s="293" t="s">
        <v>291</v>
      </c>
      <c r="AV146" s="293" t="s">
        <v>286</v>
      </c>
      <c r="AW146" s="16"/>
      <c r="AX146" s="16"/>
      <c r="AY146" s="16"/>
      <c r="AZ146" s="111"/>
      <c r="BA146" s="111"/>
      <c r="BB146" s="111"/>
      <c r="BC146" s="111"/>
      <c r="BD146" s="111"/>
      <c r="BE146" s="111"/>
      <c r="BF146" s="324"/>
      <c r="BG146" s="324"/>
      <c r="BH146" s="324"/>
      <c r="BI146" s="324"/>
      <c r="BJ146" s="327"/>
      <c r="BK146" s="16"/>
      <c r="BL146" s="16"/>
      <c r="BM146" s="287"/>
    </row>
    <row r="147" spans="44:65" ht="12.75" x14ac:dyDescent="0.2">
      <c r="AR147" s="16"/>
      <c r="AS147" s="344"/>
      <c r="AT147" s="16"/>
      <c r="AU147" s="221" t="s">
        <v>292</v>
      </c>
      <c r="AV147" s="319">
        <f>+'Basic rates'!D89</f>
        <v>500</v>
      </c>
      <c r="AW147" s="16"/>
      <c r="AX147" s="16"/>
      <c r="AY147" s="16"/>
      <c r="AZ147" s="111"/>
      <c r="BA147" s="111"/>
      <c r="BB147" s="111"/>
      <c r="BC147" s="111"/>
      <c r="BD147" s="111"/>
      <c r="BE147" s="111"/>
      <c r="BF147" s="324"/>
      <c r="BG147" s="324"/>
      <c r="BH147" s="324"/>
      <c r="BI147" s="324"/>
      <c r="BJ147" s="327"/>
      <c r="BK147" s="16"/>
      <c r="BL147" s="16"/>
      <c r="BM147" s="287"/>
    </row>
    <row r="148" spans="44:65" ht="12.75" x14ac:dyDescent="0.2">
      <c r="AR148" s="16"/>
      <c r="AS148" s="344"/>
      <c r="AT148" s="16"/>
      <c r="AU148" s="221" t="s">
        <v>293</v>
      </c>
      <c r="AV148" s="319">
        <f>+'Basic rates'!D90</f>
        <v>700</v>
      </c>
      <c r="AW148" s="16"/>
      <c r="AX148" s="16" t="b">
        <f>AI41=AU150</f>
        <v>0</v>
      </c>
      <c r="AY148" s="16"/>
      <c r="AZ148" s="117"/>
      <c r="BA148" s="117"/>
      <c r="BB148" s="117"/>
      <c r="BC148" s="117"/>
      <c r="BD148" s="117"/>
      <c r="BE148" s="117"/>
      <c r="BF148" s="324"/>
      <c r="BG148" s="324"/>
      <c r="BH148" s="324"/>
      <c r="BI148" s="324"/>
      <c r="BJ148" s="327"/>
      <c r="BK148" s="16"/>
      <c r="BL148" s="16"/>
      <c r="BM148" s="287"/>
    </row>
    <row r="149" spans="44:65" ht="12.75" x14ac:dyDescent="0.2">
      <c r="AR149" s="16"/>
      <c r="AS149" s="344"/>
      <c r="AT149" s="16"/>
      <c r="AU149" s="221" t="s">
        <v>294</v>
      </c>
      <c r="AV149" s="319">
        <f>+'Basic rates'!D91</f>
        <v>650</v>
      </c>
      <c r="AW149" s="16"/>
      <c r="AX149" s="16"/>
      <c r="AY149" s="16"/>
      <c r="AZ149" s="117"/>
      <c r="BA149" s="117"/>
      <c r="BB149" s="117"/>
      <c r="BC149" s="117"/>
      <c r="BD149" s="117"/>
      <c r="BE149" s="117"/>
      <c r="BF149" s="324"/>
      <c r="BG149" s="324"/>
      <c r="BH149" s="324"/>
      <c r="BI149" s="324"/>
      <c r="BJ149" s="327"/>
      <c r="BK149" s="16"/>
      <c r="BL149" s="16"/>
      <c r="BM149" s="287"/>
    </row>
    <row r="150" spans="44:65" ht="12.75" x14ac:dyDescent="0.2">
      <c r="AR150" s="16"/>
      <c r="AS150" s="344"/>
      <c r="AT150" s="16"/>
      <c r="AU150" s="221" t="s">
        <v>295</v>
      </c>
      <c r="AV150" s="319">
        <f>+'Basic rates'!D92</f>
        <v>500</v>
      </c>
      <c r="AW150" s="16"/>
      <c r="AX150" s="16"/>
      <c r="AY150" s="16"/>
      <c r="AZ150" s="16"/>
      <c r="BA150" s="324"/>
      <c r="BB150" s="324"/>
      <c r="BC150" s="324"/>
      <c r="BD150" s="324"/>
      <c r="BE150" s="324"/>
      <c r="BF150" s="324"/>
      <c r="BG150" s="324"/>
      <c r="BH150" s="324"/>
      <c r="BI150" s="324"/>
      <c r="BJ150" s="16"/>
      <c r="BK150" s="16"/>
      <c r="BL150" s="16"/>
      <c r="BM150" s="287"/>
    </row>
    <row r="151" spans="44:65" ht="12.75" x14ac:dyDescent="0.2">
      <c r="AR151" s="16"/>
      <c r="AS151" s="344"/>
      <c r="AT151" s="16"/>
      <c r="AU151" s="591" t="s">
        <v>23</v>
      </c>
      <c r="AV151" s="591">
        <v>0</v>
      </c>
      <c r="AW151" s="16"/>
      <c r="AX151" s="16"/>
      <c r="AY151" s="16"/>
      <c r="AZ151" s="16"/>
      <c r="BA151" s="324"/>
      <c r="BB151" s="324"/>
      <c r="BC151" s="324"/>
      <c r="BD151" s="324"/>
      <c r="BE151" s="324"/>
      <c r="BF151" s="324"/>
      <c r="BG151" s="111"/>
      <c r="BH151" s="111"/>
      <c r="BI151" s="324"/>
      <c r="BJ151" s="16"/>
      <c r="BK151" s="16"/>
      <c r="BL151" s="16"/>
      <c r="BM151" s="287"/>
    </row>
    <row r="152" spans="44:65" ht="12.75" x14ac:dyDescent="0.2">
      <c r="AR152" s="16"/>
      <c r="AS152" s="344"/>
      <c r="AT152" s="16"/>
      <c r="AU152" s="16"/>
      <c r="AV152" s="16"/>
      <c r="AW152" s="16"/>
      <c r="AX152" s="16"/>
      <c r="AY152" s="16"/>
      <c r="AZ152" s="16"/>
      <c r="BA152" s="324"/>
      <c r="BB152" s="324"/>
      <c r="BC152" s="324"/>
      <c r="BD152" s="324"/>
      <c r="BE152" s="324"/>
      <c r="BF152" s="324"/>
      <c r="BG152" s="111"/>
      <c r="BH152" s="111"/>
      <c r="BI152" s="324"/>
      <c r="BJ152" s="16"/>
      <c r="BK152" s="16"/>
      <c r="BL152" s="16"/>
      <c r="BM152" s="287"/>
    </row>
    <row r="153" spans="44:65" ht="12.75" x14ac:dyDescent="0.2">
      <c r="AR153" s="16"/>
      <c r="AS153" s="344"/>
      <c r="AT153" s="16"/>
      <c r="AU153" s="16"/>
      <c r="AV153" s="16"/>
      <c r="AW153" s="16"/>
      <c r="AX153" s="16"/>
      <c r="AY153" s="16"/>
      <c r="AZ153" s="16"/>
      <c r="BA153" s="324"/>
      <c r="BB153" s="324"/>
      <c r="BC153" s="324"/>
      <c r="BD153" s="324"/>
      <c r="BE153" s="324"/>
      <c r="BF153" s="324"/>
      <c r="BG153" s="111"/>
      <c r="BH153" s="111"/>
      <c r="BI153" s="324"/>
      <c r="BJ153" s="16"/>
      <c r="BK153" s="16"/>
      <c r="BL153" s="16"/>
      <c r="BM153" s="287"/>
    </row>
    <row r="154" spans="44:65" ht="12.75" x14ac:dyDescent="0.2">
      <c r="AR154" s="16"/>
      <c r="AS154" s="344"/>
      <c r="AT154" s="16" t="s">
        <v>255</v>
      </c>
      <c r="AU154" s="723" t="s">
        <v>178</v>
      </c>
      <c r="AV154" s="724"/>
      <c r="AW154" s="16"/>
      <c r="AX154" s="16"/>
      <c r="AY154" s="16"/>
      <c r="AZ154" s="16"/>
      <c r="BA154" s="324"/>
      <c r="BB154" s="324"/>
      <c r="BC154" s="324"/>
      <c r="BD154" s="324"/>
      <c r="BE154" s="324"/>
      <c r="BF154" s="324"/>
      <c r="BG154" s="111"/>
      <c r="BH154" s="111"/>
      <c r="BI154" s="324"/>
      <c r="BJ154" s="16"/>
      <c r="BK154" s="16"/>
      <c r="BL154" s="16"/>
      <c r="BM154" s="287"/>
    </row>
    <row r="155" spans="44:65" ht="12.75" x14ac:dyDescent="0.2">
      <c r="AR155" s="16"/>
      <c r="AS155" s="344"/>
      <c r="AT155" s="16"/>
      <c r="AU155" s="244" t="s">
        <v>66</v>
      </c>
      <c r="AV155" s="244">
        <f>+'Basic rates'!D96</f>
        <v>17500</v>
      </c>
      <c r="AW155" s="244" t="s">
        <v>31</v>
      </c>
      <c r="AX155" s="16"/>
      <c r="AY155" s="16"/>
      <c r="AZ155" s="16"/>
      <c r="BA155" s="324"/>
      <c r="BB155" s="324"/>
      <c r="BC155" s="324"/>
      <c r="BD155" s="324"/>
      <c r="BE155" s="324"/>
      <c r="BF155" s="324"/>
      <c r="BG155" s="111"/>
      <c r="BH155" s="111"/>
      <c r="BI155" s="324"/>
      <c r="BJ155" s="327"/>
      <c r="BK155" s="16"/>
      <c r="BL155" s="16"/>
      <c r="BM155" s="287"/>
    </row>
    <row r="156" spans="44:65" ht="12.75" x14ac:dyDescent="0.2">
      <c r="AR156" s="16"/>
      <c r="AS156" s="344"/>
      <c r="AT156" s="16"/>
      <c r="AU156" s="244" t="s">
        <v>68</v>
      </c>
      <c r="AV156" s="244">
        <f>+'Basic rates'!D97</f>
        <v>18700</v>
      </c>
      <c r="AW156" s="244" t="s">
        <v>23</v>
      </c>
      <c r="AX156" s="16"/>
      <c r="AY156" s="16"/>
      <c r="AZ156" s="16"/>
      <c r="BA156" s="324"/>
      <c r="BB156" s="324"/>
      <c r="BC156" s="324"/>
      <c r="BD156" s="324"/>
      <c r="BE156" s="324"/>
      <c r="BF156" s="324"/>
      <c r="BG156" s="111"/>
      <c r="BH156" s="111"/>
      <c r="BI156" s="324"/>
      <c r="BJ156" s="327"/>
      <c r="BK156" s="16"/>
      <c r="BL156" s="16"/>
      <c r="BM156" s="287"/>
    </row>
    <row r="157" spans="44:65" ht="12.75" x14ac:dyDescent="0.2">
      <c r="AR157" s="16"/>
      <c r="AS157" s="344"/>
      <c r="AT157" s="16"/>
      <c r="AU157" s="221" t="s">
        <v>432</v>
      </c>
      <c r="AV157" s="244">
        <f>+'Basic rates'!D98</f>
        <v>20500</v>
      </c>
      <c r="AW157" s="16"/>
      <c r="AX157" s="16"/>
      <c r="AY157" s="16"/>
      <c r="AZ157" s="16"/>
      <c r="BA157" s="324"/>
      <c r="BB157" s="324"/>
      <c r="BC157" s="324"/>
      <c r="BD157" s="324"/>
      <c r="BE157" s="324"/>
      <c r="BF157" s="324"/>
      <c r="BG157" s="111"/>
      <c r="BH157" s="111"/>
      <c r="BI157" s="324"/>
      <c r="BJ157" s="327"/>
      <c r="BK157" s="16"/>
      <c r="BL157" s="16"/>
      <c r="BM157" s="287"/>
    </row>
    <row r="158" spans="44:65" ht="12.75" x14ac:dyDescent="0.2">
      <c r="AR158" s="16"/>
      <c r="AS158" s="344"/>
      <c r="AT158" s="16"/>
      <c r="AU158" s="16"/>
      <c r="AV158" s="16"/>
      <c r="AW158" s="16"/>
      <c r="AX158" s="16"/>
      <c r="AY158" s="16"/>
      <c r="AZ158" s="16"/>
      <c r="BA158" s="324"/>
      <c r="BB158" s="324"/>
      <c r="BC158" s="324"/>
      <c r="BD158" s="324"/>
      <c r="BE158" s="324"/>
      <c r="BF158" s="324"/>
      <c r="BG158" s="111"/>
      <c r="BH158" s="111"/>
      <c r="BI158" s="324"/>
      <c r="BJ158" s="327"/>
      <c r="BK158" s="16"/>
      <c r="BL158" s="16"/>
      <c r="BM158" s="287"/>
    </row>
    <row r="159" spans="44:65" ht="12.75" x14ac:dyDescent="0.2">
      <c r="AR159" s="16"/>
      <c r="AS159" s="344"/>
      <c r="AT159" s="16" t="s">
        <v>256</v>
      </c>
      <c r="AU159" s="731" t="s">
        <v>161</v>
      </c>
      <c r="AV159" s="731"/>
      <c r="AW159" s="731"/>
      <c r="AX159" s="16"/>
      <c r="AY159" s="16"/>
      <c r="AZ159" s="16"/>
      <c r="BA159" s="324"/>
      <c r="BB159" s="324"/>
      <c r="BC159" s="324"/>
      <c r="BD159" s="324"/>
      <c r="BE159" s="324"/>
      <c r="BF159" s="324"/>
      <c r="BG159" s="193"/>
      <c r="BH159" s="193"/>
      <c r="BI159" s="324"/>
      <c r="BJ159" s="327"/>
      <c r="BK159" s="16"/>
      <c r="BL159" s="16"/>
      <c r="BM159" s="287"/>
    </row>
    <row r="160" spans="44:65" ht="30" x14ac:dyDescent="0.2">
      <c r="AR160" s="16"/>
      <c r="AS160" s="344"/>
      <c r="AT160" s="16"/>
      <c r="AU160" s="192" t="s">
        <v>159</v>
      </c>
      <c r="AV160" s="192"/>
      <c r="AW160" s="189" t="s">
        <v>160</v>
      </c>
      <c r="AX160" s="16"/>
      <c r="AY160" s="16"/>
      <c r="AZ160" s="16"/>
      <c r="BA160" s="324"/>
      <c r="BB160" s="324"/>
      <c r="BC160" s="324"/>
      <c r="BD160" s="324"/>
      <c r="BE160" s="324"/>
      <c r="BF160" s="324"/>
      <c r="BG160" s="193"/>
      <c r="BH160" s="193"/>
      <c r="BI160" s="324"/>
      <c r="BJ160" s="327"/>
      <c r="BK160" s="16"/>
      <c r="BL160" s="16"/>
      <c r="BM160" s="287"/>
    </row>
    <row r="161" spans="44:65" ht="12.75" x14ac:dyDescent="0.2">
      <c r="AR161" s="16"/>
      <c r="AS161" s="344"/>
      <c r="AT161" s="16"/>
      <c r="AU161" s="568">
        <v>2.0099999999999998</v>
      </c>
      <c r="AV161" s="190">
        <v>3.01</v>
      </c>
      <c r="AW161" s="191">
        <v>9</v>
      </c>
      <c r="AX161" s="16"/>
      <c r="AY161" s="16"/>
      <c r="AZ161" s="16"/>
      <c r="BA161" s="324"/>
      <c r="BB161" s="324"/>
      <c r="BC161" s="324"/>
      <c r="BD161" s="324"/>
      <c r="BE161" s="324"/>
      <c r="BF161" s="324"/>
      <c r="BG161" s="193"/>
      <c r="BH161" s="193"/>
      <c r="BI161" s="324"/>
      <c r="BJ161" s="327"/>
      <c r="BK161" s="16"/>
      <c r="BL161" s="16"/>
      <c r="BM161" s="287"/>
    </row>
    <row r="162" spans="44:65" ht="12.75" x14ac:dyDescent="0.2">
      <c r="AR162" s="16"/>
      <c r="AS162" s="344"/>
      <c r="AT162" s="16"/>
      <c r="AU162" s="568">
        <v>3.01</v>
      </c>
      <c r="AV162" s="190">
        <v>4.01</v>
      </c>
      <c r="AW162" s="191">
        <v>14</v>
      </c>
      <c r="AX162" s="16"/>
      <c r="AY162" s="16"/>
      <c r="AZ162" s="16"/>
      <c r="BA162" s="324"/>
      <c r="BB162" s="324"/>
      <c r="BC162" s="324"/>
      <c r="BD162" s="324"/>
      <c r="BE162" s="324"/>
      <c r="BF162" s="324"/>
      <c r="BG162" s="193"/>
      <c r="BH162" s="193"/>
      <c r="BI162" s="324"/>
      <c r="BJ162" s="327"/>
      <c r="BK162" s="16"/>
      <c r="BL162" s="16"/>
      <c r="BM162" s="287"/>
    </row>
    <row r="163" spans="44:65" ht="12.75" x14ac:dyDescent="0.2">
      <c r="AS163" s="344"/>
      <c r="AT163" s="16"/>
      <c r="AU163" s="568">
        <v>4.01</v>
      </c>
      <c r="AV163" s="190">
        <v>5.01</v>
      </c>
      <c r="AW163" s="191">
        <v>18</v>
      </c>
      <c r="AX163" s="16"/>
      <c r="AY163" s="16"/>
      <c r="AZ163" s="16"/>
      <c r="BA163" s="324"/>
      <c r="BB163" s="324"/>
      <c r="BC163" s="324"/>
      <c r="BD163" s="324"/>
      <c r="BE163" s="324"/>
      <c r="BF163" s="324"/>
      <c r="BG163" s="193"/>
      <c r="BH163" s="193"/>
      <c r="BI163" s="324"/>
      <c r="BJ163" s="327"/>
      <c r="BK163" s="16"/>
      <c r="BL163" s="16"/>
      <c r="BM163" s="287"/>
    </row>
    <row r="164" spans="44:65" ht="12.75" x14ac:dyDescent="0.2">
      <c r="AS164" s="344"/>
      <c r="AT164" s="16"/>
      <c r="AU164" s="568">
        <v>5.01</v>
      </c>
      <c r="AV164" s="190">
        <v>6.01</v>
      </c>
      <c r="AW164" s="191">
        <v>23</v>
      </c>
      <c r="AX164" s="16"/>
      <c r="AY164" s="16"/>
      <c r="AZ164" s="16"/>
      <c r="BA164" s="324"/>
      <c r="BB164" s="324"/>
      <c r="BC164" s="324"/>
      <c r="BD164" s="324"/>
      <c r="BE164" s="324"/>
      <c r="BF164" s="324"/>
      <c r="BG164" s="193"/>
      <c r="BH164" s="193"/>
      <c r="BI164" s="324"/>
      <c r="BJ164" s="327"/>
      <c r="BK164" s="16"/>
      <c r="BL164" s="16"/>
      <c r="BM164" s="287"/>
    </row>
    <row r="165" spans="44:65" ht="12.75" x14ac:dyDescent="0.2">
      <c r="AS165" s="344"/>
      <c r="AT165" s="16"/>
      <c r="AU165" s="568">
        <v>6.01</v>
      </c>
      <c r="AV165" s="190">
        <v>7.01</v>
      </c>
      <c r="AW165" s="191">
        <v>28</v>
      </c>
      <c r="AX165" s="16"/>
      <c r="AY165" s="16"/>
      <c r="AZ165" s="16"/>
      <c r="BA165" s="324"/>
      <c r="BB165" s="324"/>
      <c r="BC165" s="324"/>
      <c r="BD165" s="324"/>
      <c r="BE165" s="324"/>
      <c r="BF165" s="324"/>
      <c r="BG165" s="193"/>
      <c r="BH165" s="193"/>
      <c r="BI165" s="324"/>
      <c r="BJ165" s="327"/>
      <c r="BK165" s="16"/>
      <c r="BL165" s="16"/>
      <c r="BM165" s="287"/>
    </row>
    <row r="166" spans="44:65" ht="12.75" x14ac:dyDescent="0.2">
      <c r="AS166" s="344"/>
      <c r="AT166" s="16"/>
      <c r="AU166" s="568">
        <v>7.01</v>
      </c>
      <c r="AV166" s="190">
        <v>8.01</v>
      </c>
      <c r="AW166" s="191">
        <v>32</v>
      </c>
      <c r="AX166" s="16"/>
      <c r="AY166" s="16"/>
      <c r="AZ166" s="16"/>
      <c r="BA166" s="324"/>
      <c r="BB166" s="324"/>
      <c r="BC166" s="324"/>
      <c r="BD166" s="324"/>
      <c r="BE166" s="324"/>
      <c r="BF166" s="324"/>
      <c r="BG166" s="193"/>
      <c r="BH166" s="193"/>
      <c r="BI166" s="324"/>
      <c r="BJ166" s="327"/>
      <c r="BK166" s="16"/>
      <c r="BL166" s="16"/>
      <c r="BM166" s="287"/>
    </row>
    <row r="167" spans="44:65" ht="12.75" x14ac:dyDescent="0.2">
      <c r="AS167" s="344"/>
      <c r="AT167" s="16"/>
      <c r="AU167" s="568">
        <v>8.01</v>
      </c>
      <c r="AV167" s="190">
        <v>9.01</v>
      </c>
      <c r="AW167" s="191">
        <v>37</v>
      </c>
      <c r="AX167" s="16"/>
      <c r="AY167" s="16"/>
      <c r="AZ167" s="16"/>
      <c r="BA167" s="324"/>
      <c r="BB167" s="324"/>
      <c r="BC167" s="324"/>
      <c r="BD167" s="324"/>
      <c r="BE167" s="324"/>
      <c r="BF167" s="324"/>
      <c r="BG167" s="193"/>
      <c r="BH167" s="193"/>
      <c r="BI167" s="324"/>
      <c r="BJ167" s="327"/>
      <c r="BK167" s="16"/>
      <c r="BL167" s="16"/>
      <c r="BM167" s="287"/>
    </row>
    <row r="168" spans="44:65" ht="12.75" x14ac:dyDescent="0.2">
      <c r="AS168" s="344"/>
      <c r="AT168" s="16"/>
      <c r="AU168" s="568">
        <v>9.01</v>
      </c>
      <c r="AV168" s="190">
        <v>10.01</v>
      </c>
      <c r="AW168" s="191">
        <v>42</v>
      </c>
      <c r="AX168" s="16"/>
      <c r="AY168" s="16"/>
      <c r="AZ168" s="16"/>
      <c r="BA168" s="324"/>
      <c r="BB168" s="324"/>
      <c r="BC168" s="324"/>
      <c r="BD168" s="324"/>
      <c r="BE168" s="324"/>
      <c r="BF168" s="324"/>
      <c r="BG168" s="193"/>
      <c r="BH168" s="193"/>
      <c r="BI168" s="324"/>
      <c r="BJ168" s="327"/>
      <c r="BK168" s="16"/>
      <c r="BL168" s="16"/>
      <c r="BM168" s="287"/>
    </row>
    <row r="169" spans="44:65" ht="12.75" x14ac:dyDescent="0.2">
      <c r="AS169" s="344"/>
      <c r="AT169" s="16"/>
      <c r="AU169" s="568">
        <v>10.01</v>
      </c>
      <c r="AV169" s="190">
        <v>11.01</v>
      </c>
      <c r="AW169" s="191">
        <v>46</v>
      </c>
      <c r="AX169" s="16"/>
      <c r="AY169" s="16"/>
      <c r="AZ169" s="16"/>
      <c r="BA169" s="324"/>
      <c r="BB169" s="324"/>
      <c r="BC169" s="324"/>
      <c r="BD169" s="324"/>
      <c r="BE169" s="324"/>
      <c r="BF169" s="324"/>
      <c r="BG169" s="16"/>
      <c r="BH169" s="16"/>
      <c r="BI169" s="324"/>
      <c r="BJ169" s="327"/>
      <c r="BK169" s="16"/>
      <c r="BL169" s="16"/>
      <c r="BM169" s="287"/>
    </row>
    <row r="170" spans="44:65" ht="12.75" x14ac:dyDescent="0.2">
      <c r="AS170" s="344"/>
      <c r="AT170" s="16"/>
      <c r="AU170" s="568">
        <v>11.01</v>
      </c>
      <c r="AV170" s="190">
        <v>12.01</v>
      </c>
      <c r="AW170" s="191">
        <v>51</v>
      </c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324"/>
      <c r="BJ170" s="327"/>
      <c r="BK170" s="16"/>
      <c r="BL170" s="16"/>
      <c r="BM170" s="287"/>
    </row>
    <row r="171" spans="44:65" ht="12.75" x14ac:dyDescent="0.2">
      <c r="AS171" s="344"/>
      <c r="AT171" s="16"/>
      <c r="AU171" s="568">
        <v>12.01</v>
      </c>
      <c r="AV171" s="190">
        <v>13.01</v>
      </c>
      <c r="AW171" s="191">
        <v>56</v>
      </c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324"/>
      <c r="BJ171" s="327"/>
      <c r="BK171" s="16"/>
      <c r="BL171" s="16"/>
      <c r="BM171" s="287"/>
    </row>
    <row r="172" spans="44:65" ht="12.75" x14ac:dyDescent="0.2">
      <c r="AS172" s="344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324"/>
      <c r="BJ172" s="327"/>
      <c r="BK172" s="16"/>
      <c r="BL172" s="16"/>
      <c r="BM172" s="287"/>
    </row>
    <row r="173" spans="44:65" ht="12.75" x14ac:dyDescent="0.2">
      <c r="AS173" s="344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324"/>
      <c r="BJ173" s="327"/>
      <c r="BK173" s="16"/>
      <c r="BL173" s="16"/>
      <c r="BM173" s="287"/>
    </row>
    <row r="174" spans="44:65" ht="12.75" x14ac:dyDescent="0.2">
      <c r="AS174" s="344"/>
      <c r="AT174" s="16" t="s">
        <v>257</v>
      </c>
      <c r="AU174" s="731" t="s">
        <v>209</v>
      </c>
      <c r="AV174" s="731"/>
      <c r="AW174" s="731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324"/>
      <c r="BJ174" s="327"/>
      <c r="BK174" s="16"/>
      <c r="BL174" s="16"/>
      <c r="BM174" s="287"/>
    </row>
    <row r="175" spans="44:65" ht="12.75" x14ac:dyDescent="0.2">
      <c r="AS175" s="344"/>
      <c r="AT175" s="16"/>
      <c r="AU175" s="244" t="s">
        <v>296</v>
      </c>
      <c r="AV175" s="244" t="s">
        <v>297</v>
      </c>
      <c r="AW175" s="244" t="s">
        <v>298</v>
      </c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324"/>
      <c r="BJ175" s="327"/>
      <c r="BK175" s="16"/>
      <c r="BL175" s="16"/>
      <c r="BM175" s="287"/>
    </row>
    <row r="176" spans="44:65" ht="12.75" x14ac:dyDescent="0.2">
      <c r="AS176" s="344"/>
      <c r="AT176" s="16"/>
      <c r="AU176" s="244">
        <v>8</v>
      </c>
      <c r="AV176" s="244">
        <v>8</v>
      </c>
      <c r="AW176" s="244">
        <v>55000</v>
      </c>
      <c r="AX176" s="244" t="s">
        <v>31</v>
      </c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324"/>
      <c r="BJ176" s="327"/>
      <c r="BK176" s="16"/>
      <c r="BL176" s="16"/>
      <c r="BM176" s="287"/>
    </row>
    <row r="177" spans="45:65" ht="12.75" x14ac:dyDescent="0.2">
      <c r="AS177" s="344"/>
      <c r="AT177" s="16"/>
      <c r="AU177" s="221">
        <v>10</v>
      </c>
      <c r="AV177" s="244">
        <v>10</v>
      </c>
      <c r="AW177" s="244">
        <v>95000</v>
      </c>
      <c r="AX177" s="244" t="s">
        <v>23</v>
      </c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324"/>
      <c r="BJ177" s="327"/>
      <c r="BK177" s="16"/>
      <c r="BL177" s="16"/>
      <c r="BM177" s="287"/>
    </row>
    <row r="178" spans="45:65" ht="12.75" x14ac:dyDescent="0.2">
      <c r="AS178" s="345"/>
      <c r="AT178" s="346"/>
      <c r="AU178" s="346"/>
      <c r="AV178" s="346"/>
      <c r="AW178" s="346"/>
      <c r="AX178" s="346"/>
      <c r="AY178" s="346"/>
      <c r="AZ178" s="346"/>
      <c r="BA178" s="346"/>
      <c r="BB178" s="346"/>
      <c r="BC178" s="346"/>
      <c r="BD178" s="346"/>
      <c r="BE178" s="346"/>
      <c r="BF178" s="346"/>
      <c r="BG178" s="346"/>
      <c r="BH178" s="346"/>
      <c r="BI178" s="347"/>
      <c r="BJ178" s="348"/>
      <c r="BK178" s="346"/>
      <c r="BL178" s="346"/>
      <c r="BM178" s="349"/>
    </row>
    <row r="179" spans="45:65" ht="12.75" x14ac:dyDescent="0.2">
      <c r="AS179" s="562" t="s">
        <v>299</v>
      </c>
      <c r="AT179" s="562"/>
      <c r="AU179" s="562"/>
      <c r="AV179" s="562"/>
      <c r="AW179" s="562"/>
      <c r="AX179" s="562"/>
      <c r="AY179" s="562"/>
      <c r="AZ179" s="562"/>
      <c r="BA179" s="562"/>
      <c r="BB179" s="562"/>
      <c r="BC179" s="562"/>
      <c r="BD179" s="562"/>
      <c r="BE179" s="562"/>
      <c r="BF179" s="562"/>
      <c r="BG179" s="562"/>
      <c r="BH179" s="562"/>
      <c r="BI179" s="562"/>
      <c r="BJ179" s="562"/>
      <c r="BK179" s="562"/>
      <c r="BL179" s="562"/>
      <c r="BM179" s="562"/>
    </row>
    <row r="180" spans="45:65" ht="12.75" x14ac:dyDescent="0.2">
      <c r="AS180" s="344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324"/>
      <c r="BJ180" s="327"/>
      <c r="BK180" s="16"/>
      <c r="BL180" s="16"/>
      <c r="BM180" s="287"/>
    </row>
    <row r="181" spans="45:65" ht="12.75" x14ac:dyDescent="0.2">
      <c r="AS181" s="344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324"/>
      <c r="BJ181" s="327"/>
      <c r="BK181" s="16"/>
      <c r="BL181" s="16"/>
      <c r="BM181" s="287"/>
    </row>
    <row r="182" spans="45:65" ht="12.75" x14ac:dyDescent="0.2">
      <c r="AS182" s="344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324"/>
      <c r="BJ182" s="327"/>
      <c r="BK182" s="16"/>
      <c r="BL182" s="16"/>
      <c r="BM182" s="287"/>
    </row>
    <row r="183" spans="45:65" ht="12.75" x14ac:dyDescent="0.2">
      <c r="AS183" s="344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324"/>
      <c r="BJ183" s="327"/>
      <c r="BK183" s="16"/>
      <c r="BL183" s="16"/>
      <c r="BM183" s="287"/>
    </row>
    <row r="184" spans="45:65" ht="12.75" x14ac:dyDescent="0.2">
      <c r="AS184" s="344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324"/>
      <c r="BJ184" s="327"/>
      <c r="BK184" s="16"/>
      <c r="BL184" s="16"/>
      <c r="BM184" s="287"/>
    </row>
    <row r="185" spans="45:65" ht="12.75" x14ac:dyDescent="0.2">
      <c r="AS185" s="344"/>
      <c r="AT185" s="16"/>
      <c r="AU185" s="16"/>
      <c r="AV185" s="16"/>
      <c r="AW185" s="16"/>
      <c r="AX185" s="16"/>
      <c r="AY185" s="16">
        <f>(AW190+AX190)*26%</f>
        <v>1885</v>
      </c>
      <c r="AZ185" s="16"/>
      <c r="BA185" s="16"/>
      <c r="BB185" s="16"/>
      <c r="BC185" s="16"/>
      <c r="BD185" s="16"/>
      <c r="BE185" s="16"/>
      <c r="BF185" s="16"/>
      <c r="BG185" s="16"/>
      <c r="BH185" s="16"/>
      <c r="BI185" s="324"/>
      <c r="BJ185" s="327"/>
      <c r="BK185" s="16"/>
      <c r="BL185" s="16"/>
      <c r="BM185" s="287"/>
    </row>
    <row r="186" spans="45:65" ht="12.75" x14ac:dyDescent="0.2">
      <c r="AS186" s="344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324"/>
      <c r="BJ186" s="327"/>
      <c r="BK186" s="16"/>
      <c r="BL186" s="16"/>
      <c r="BM186" s="287"/>
    </row>
    <row r="187" spans="45:65" ht="12.75" x14ac:dyDescent="0.2">
      <c r="AS187" s="344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324"/>
      <c r="BJ187" s="327"/>
      <c r="BK187" s="16"/>
      <c r="BL187" s="16"/>
      <c r="BM187" s="287"/>
    </row>
    <row r="188" spans="45:65" ht="12.75" x14ac:dyDescent="0.2">
      <c r="AS188" s="344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324"/>
      <c r="BJ188" s="327"/>
      <c r="BK188" s="16"/>
      <c r="BL188" s="16"/>
      <c r="BM188" s="287"/>
    </row>
    <row r="189" spans="45:65" ht="12.75" x14ac:dyDescent="0.2">
      <c r="AS189" s="350"/>
      <c r="AT189" s="308" t="s">
        <v>207</v>
      </c>
      <c r="AU189" s="351" t="s">
        <v>111</v>
      </c>
      <c r="AV189" s="358"/>
      <c r="AW189" s="351" t="s">
        <v>116</v>
      </c>
      <c r="AX189" s="351" t="s">
        <v>33</v>
      </c>
      <c r="AY189" s="351" t="s">
        <v>117</v>
      </c>
      <c r="AZ189" s="351" t="s">
        <v>118</v>
      </c>
      <c r="BA189" s="351" t="s">
        <v>0</v>
      </c>
      <c r="BB189" s="16"/>
      <c r="BC189" s="16"/>
      <c r="BD189" s="16"/>
      <c r="BE189" s="16"/>
      <c r="BF189" s="16"/>
      <c r="BG189" s="16"/>
      <c r="BH189" s="196"/>
      <c r="BI189" s="196"/>
      <c r="BJ189" s="327"/>
      <c r="BK189" s="16"/>
      <c r="BL189" s="16"/>
      <c r="BM189" s="287"/>
    </row>
    <row r="190" spans="45:65" ht="12.75" x14ac:dyDescent="0.2">
      <c r="AS190" s="350"/>
      <c r="AT190" s="349">
        <v>600</v>
      </c>
      <c r="AU190" s="362" t="s">
        <v>112</v>
      </c>
      <c r="AV190" s="363">
        <v>100</v>
      </c>
      <c r="AW190" s="363">
        <f t="shared" ref="AW190:AW195" si="6">AV190*AH$19</f>
        <v>6500</v>
      </c>
      <c r="AX190" s="363">
        <v>750</v>
      </c>
      <c r="AY190" s="363">
        <v>1522.5</v>
      </c>
      <c r="AZ190" s="363">
        <f>+'Basic rates'!J102</f>
        <v>11431.533093749998</v>
      </c>
      <c r="BA190" s="363">
        <v>0.4</v>
      </c>
      <c r="BB190" s="568">
        <v>0</v>
      </c>
      <c r="BC190" s="568">
        <v>550</v>
      </c>
      <c r="BD190" s="16"/>
      <c r="BE190" s="16" t="s">
        <v>199</v>
      </c>
      <c r="BF190" s="16"/>
      <c r="BG190" s="16"/>
      <c r="BH190" s="179"/>
      <c r="BI190" s="179"/>
      <c r="BJ190" s="327"/>
      <c r="BK190" s="16"/>
      <c r="BL190" s="16"/>
      <c r="BM190" s="287"/>
    </row>
    <row r="191" spans="45:65" ht="12.75" x14ac:dyDescent="0.2">
      <c r="AS191" s="350"/>
      <c r="AT191" s="285">
        <v>800</v>
      </c>
      <c r="AU191" s="362" t="s">
        <v>113</v>
      </c>
      <c r="AV191" s="363">
        <v>140</v>
      </c>
      <c r="AW191" s="363">
        <f>AV191*AH$19</f>
        <v>9100</v>
      </c>
      <c r="AX191" s="363">
        <v>1000</v>
      </c>
      <c r="AY191" s="363">
        <v>2117</v>
      </c>
      <c r="AZ191" s="363">
        <f>+'Basic rates'!J103</f>
        <v>16079.397468749998</v>
      </c>
      <c r="BA191" s="363">
        <v>0.4</v>
      </c>
      <c r="BB191" s="568">
        <v>550.01</v>
      </c>
      <c r="BC191" s="568">
        <v>750</v>
      </c>
      <c r="BD191" s="16"/>
      <c r="BE191" s="16" t="s">
        <v>127</v>
      </c>
      <c r="BF191" s="16"/>
      <c r="BG191" s="16"/>
      <c r="BH191" s="179"/>
      <c r="BI191" s="179"/>
      <c r="BJ191" s="327"/>
      <c r="BK191" s="16"/>
      <c r="BL191" s="16"/>
      <c r="BM191" s="287"/>
    </row>
    <row r="192" spans="45:65" ht="12.75" x14ac:dyDescent="0.2">
      <c r="AS192" s="350"/>
      <c r="AT192" s="285">
        <v>1000</v>
      </c>
      <c r="AU192" s="362" t="s">
        <v>114</v>
      </c>
      <c r="AV192" s="363">
        <v>160</v>
      </c>
      <c r="AW192" s="363">
        <f t="shared" si="6"/>
        <v>10400</v>
      </c>
      <c r="AX192" s="363">
        <v>1000</v>
      </c>
      <c r="AY192" s="363">
        <v>2378</v>
      </c>
      <c r="AZ192" s="363">
        <f>+'Basic rates'!J104</f>
        <v>18204.135468749999</v>
      </c>
      <c r="BA192" s="363">
        <v>0.4</v>
      </c>
      <c r="BB192" s="568">
        <v>750.01</v>
      </c>
      <c r="BC192" s="568">
        <v>950</v>
      </c>
      <c r="BD192" s="16"/>
      <c r="BE192" s="16"/>
      <c r="BF192" s="16"/>
      <c r="BG192" s="16"/>
      <c r="BH192" s="179"/>
      <c r="BI192" s="179"/>
      <c r="BJ192" s="327"/>
      <c r="BK192" s="16"/>
      <c r="BL192" s="16"/>
      <c r="BM192" s="287"/>
    </row>
    <row r="193" spans="45:65" ht="12.75" x14ac:dyDescent="0.2">
      <c r="AS193" s="350"/>
      <c r="AT193" s="285">
        <v>1300</v>
      </c>
      <c r="AU193" s="362" t="s">
        <v>115</v>
      </c>
      <c r="AV193" s="363">
        <v>227.5</v>
      </c>
      <c r="AW193" s="363">
        <f>AV193*AH$19</f>
        <v>14787.5</v>
      </c>
      <c r="AX193" s="363">
        <v>1200</v>
      </c>
      <c r="AY193" s="363">
        <v>3316.8749999999995</v>
      </c>
      <c r="AZ193" s="363">
        <f>+'Basic rates'!J105</f>
        <v>23383.184343749999</v>
      </c>
      <c r="BA193" s="363">
        <v>0.4</v>
      </c>
      <c r="BB193" s="363">
        <v>950.01</v>
      </c>
      <c r="BC193" s="363">
        <v>1250</v>
      </c>
      <c r="BD193" s="179"/>
      <c r="BE193" s="16" t="s">
        <v>203</v>
      </c>
      <c r="BF193" s="179"/>
      <c r="BG193" s="16"/>
      <c r="BH193" s="179"/>
      <c r="BI193" s="179"/>
      <c r="BJ193" s="327"/>
      <c r="BK193" s="16"/>
      <c r="BL193" s="16"/>
      <c r="BM193" s="287"/>
    </row>
    <row r="194" spans="45:65" ht="12.75" x14ac:dyDescent="0.2">
      <c r="AS194" s="350"/>
      <c r="AT194" s="285">
        <v>1500</v>
      </c>
      <c r="AU194" s="362" t="s">
        <v>119</v>
      </c>
      <c r="AV194" s="363">
        <v>277.5</v>
      </c>
      <c r="AW194" s="363">
        <f t="shared" si="6"/>
        <v>18037.5</v>
      </c>
      <c r="AX194" s="363">
        <v>1500</v>
      </c>
      <c r="AY194" s="363">
        <v>4056.3749999999995</v>
      </c>
      <c r="AZ194" s="363">
        <f>+'Basic rates'!J106</f>
        <v>28827.825468750001</v>
      </c>
      <c r="BA194" s="363">
        <v>0.4</v>
      </c>
      <c r="BB194" s="363">
        <v>1250.0999999999999</v>
      </c>
      <c r="BC194" s="363">
        <v>1450</v>
      </c>
      <c r="BD194" s="179"/>
      <c r="BE194" s="16" t="s">
        <v>204</v>
      </c>
      <c r="BF194" s="179"/>
      <c r="BG194" s="16"/>
      <c r="BH194" s="179"/>
      <c r="BI194" s="179"/>
      <c r="BJ194" s="327"/>
      <c r="BK194" s="16"/>
      <c r="BL194" s="16"/>
      <c r="BM194" s="287"/>
    </row>
    <row r="195" spans="45:65" ht="12.75" x14ac:dyDescent="0.2">
      <c r="AS195" s="350"/>
      <c r="AT195" s="285">
        <v>2000</v>
      </c>
      <c r="AU195" s="362" t="s">
        <v>153</v>
      </c>
      <c r="AV195" s="363">
        <v>1114</v>
      </c>
      <c r="AW195" s="363">
        <f t="shared" si="6"/>
        <v>72410</v>
      </c>
      <c r="AX195" s="363">
        <v>4000</v>
      </c>
      <c r="AY195" s="363">
        <v>15697.699999999999</v>
      </c>
      <c r="AZ195" s="363">
        <f>+'Basic rates'!J107</f>
        <v>49411.224843749995</v>
      </c>
      <c r="BA195" s="363">
        <v>0.8</v>
      </c>
      <c r="BB195" s="363">
        <v>1450.1</v>
      </c>
      <c r="BC195" s="363">
        <v>2000</v>
      </c>
      <c r="BD195" s="179"/>
      <c r="BE195" s="16" t="s">
        <v>202</v>
      </c>
      <c r="BF195" s="179"/>
      <c r="BG195" s="16"/>
      <c r="BH195" s="179"/>
      <c r="BI195" s="179"/>
      <c r="BJ195" s="327"/>
      <c r="BK195" s="16"/>
      <c r="BL195" s="16"/>
      <c r="BM195" s="287"/>
    </row>
    <row r="196" spans="45:65" ht="12.75" x14ac:dyDescent="0.2">
      <c r="AS196" s="350"/>
      <c r="AT196" s="285">
        <v>3000</v>
      </c>
      <c r="AU196" s="362" t="s">
        <v>206</v>
      </c>
      <c r="AV196" s="363"/>
      <c r="AW196" s="363"/>
      <c r="AX196" s="363"/>
      <c r="AY196" s="363"/>
      <c r="AZ196" s="363">
        <f>+'Basic rates'!J108</f>
        <v>133402.5</v>
      </c>
      <c r="BA196" s="363">
        <v>0.8</v>
      </c>
      <c r="BB196" s="363">
        <v>2000.01</v>
      </c>
      <c r="BC196" s="363">
        <v>3000</v>
      </c>
      <c r="BD196" s="179"/>
      <c r="BE196" s="16" t="s">
        <v>23</v>
      </c>
      <c r="BF196" s="179"/>
      <c r="BG196" s="16"/>
      <c r="BH196" s="179"/>
      <c r="BI196" s="179"/>
      <c r="BJ196" s="327"/>
      <c r="BK196" s="16"/>
      <c r="BL196" s="16"/>
      <c r="BM196" s="287"/>
    </row>
    <row r="197" spans="45:65" ht="12.75" x14ac:dyDescent="0.2">
      <c r="AS197" s="350"/>
      <c r="AT197" s="285">
        <v>170</v>
      </c>
      <c r="AU197" s="362" t="s">
        <v>104</v>
      </c>
      <c r="AV197" s="363">
        <f>23047+4904</f>
        <v>27951</v>
      </c>
      <c r="AW197" s="363"/>
      <c r="AX197" s="363">
        <v>1868.65</v>
      </c>
      <c r="AY197" s="363"/>
      <c r="AZ197" s="363">
        <f>+'Basic rates'!J109</f>
        <v>50341.252500000002</v>
      </c>
      <c r="BA197" s="363">
        <v>0.8</v>
      </c>
      <c r="BB197" s="363">
        <v>0</v>
      </c>
      <c r="BC197" s="363">
        <v>150</v>
      </c>
      <c r="BD197" s="174"/>
      <c r="BE197" s="174"/>
      <c r="BF197" s="174"/>
      <c r="BG197" s="16"/>
      <c r="BH197" s="179"/>
      <c r="BI197" s="179"/>
      <c r="BJ197" s="327"/>
      <c r="BK197" s="16"/>
      <c r="BL197" s="16"/>
      <c r="BM197" s="287"/>
    </row>
    <row r="198" spans="45:65" ht="12.75" x14ac:dyDescent="0.2">
      <c r="AS198" s="350"/>
      <c r="AT198" s="285">
        <v>250</v>
      </c>
      <c r="AU198" s="362" t="s">
        <v>105</v>
      </c>
      <c r="AV198" s="363">
        <f>24280+4904</f>
        <v>29184</v>
      </c>
      <c r="AW198" s="363"/>
      <c r="AX198" s="363">
        <v>1951.0400000000002</v>
      </c>
      <c r="AY198" s="362"/>
      <c r="AZ198" s="363">
        <f>+'Basic rates'!J110</f>
        <v>50341.252500000002</v>
      </c>
      <c r="BA198" s="363">
        <v>0.8</v>
      </c>
      <c r="BB198" s="362">
        <v>150.01</v>
      </c>
      <c r="BC198" s="362">
        <v>230</v>
      </c>
      <c r="BD198" s="174"/>
      <c r="BE198" s="174"/>
      <c r="BF198" s="174"/>
      <c r="BG198" s="16"/>
      <c r="BH198" s="179"/>
      <c r="BI198" s="179"/>
      <c r="BJ198" s="327"/>
      <c r="BK198" s="16"/>
      <c r="BL198" s="16"/>
      <c r="BM198" s="287"/>
    </row>
    <row r="199" spans="45:65" ht="12.75" x14ac:dyDescent="0.2">
      <c r="AS199" s="350"/>
      <c r="AT199" s="285">
        <v>350</v>
      </c>
      <c r="AU199" s="362" t="s">
        <v>106</v>
      </c>
      <c r="AV199" s="363">
        <f>28694+4904</f>
        <v>33598</v>
      </c>
      <c r="AW199" s="363"/>
      <c r="AX199" s="363">
        <v>2246.1600000000003</v>
      </c>
      <c r="AY199" s="362"/>
      <c r="AZ199" s="363">
        <f>+'Basic rates'!J111</f>
        <v>62409.217499999999</v>
      </c>
      <c r="BA199" s="363">
        <v>0.8</v>
      </c>
      <c r="BB199" s="362">
        <v>230.01</v>
      </c>
      <c r="BC199" s="362">
        <v>325</v>
      </c>
      <c r="BD199" s="174"/>
      <c r="BE199" s="174"/>
      <c r="BF199" s="174"/>
      <c r="BG199" s="16"/>
      <c r="BH199" s="179"/>
      <c r="BI199" s="179"/>
      <c r="BJ199" s="327"/>
      <c r="BK199" s="16"/>
      <c r="BL199" s="16"/>
      <c r="BM199" s="287"/>
    </row>
    <row r="200" spans="45:65" ht="12.75" x14ac:dyDescent="0.2">
      <c r="AS200" s="350"/>
      <c r="AT200" s="285">
        <v>500</v>
      </c>
      <c r="AU200" s="362" t="s">
        <v>109</v>
      </c>
      <c r="AV200" s="363">
        <f>37523+4904</f>
        <v>42427</v>
      </c>
      <c r="AW200" s="363"/>
      <c r="AX200" s="363">
        <v>2836.4</v>
      </c>
      <c r="AY200" s="362"/>
      <c r="AZ200" s="363">
        <f>+'Basic rates'!J112</f>
        <v>70767.26999999999</v>
      </c>
      <c r="BA200" s="363">
        <v>0.8</v>
      </c>
      <c r="BB200" s="362">
        <v>325.01</v>
      </c>
      <c r="BC200" s="362">
        <v>475</v>
      </c>
      <c r="BD200" s="174"/>
      <c r="BE200" s="174"/>
      <c r="BF200" s="174"/>
      <c r="BG200" s="16"/>
      <c r="BH200" s="179"/>
      <c r="BI200" s="179"/>
      <c r="BJ200" s="327"/>
      <c r="BK200" s="16"/>
      <c r="BL200" s="16"/>
      <c r="BM200" s="287"/>
    </row>
    <row r="201" spans="45:65" ht="12.75" x14ac:dyDescent="0.2">
      <c r="AS201" s="350"/>
      <c r="AT201" s="285">
        <v>750</v>
      </c>
      <c r="AU201" s="362" t="s">
        <v>110</v>
      </c>
      <c r="AV201" s="363">
        <f>40221+4904</f>
        <v>45125</v>
      </c>
      <c r="AW201" s="363"/>
      <c r="AX201" s="363">
        <v>3016.7900000000004</v>
      </c>
      <c r="AY201" s="362"/>
      <c r="AZ201" s="363">
        <f>+'Basic rates'!J113</f>
        <v>88215.434999999998</v>
      </c>
      <c r="BA201" s="363">
        <v>0.8</v>
      </c>
      <c r="BB201" s="362">
        <v>475.01</v>
      </c>
      <c r="BC201" s="362">
        <v>725</v>
      </c>
      <c r="BD201" s="16"/>
      <c r="BE201" s="327"/>
      <c r="BF201" s="16"/>
      <c r="BG201" s="16"/>
      <c r="BH201" s="16"/>
      <c r="BI201" s="16"/>
      <c r="BJ201" s="327"/>
      <c r="BK201" s="16"/>
      <c r="BL201" s="16"/>
      <c r="BM201" s="287"/>
    </row>
    <row r="202" spans="45:65" ht="12.75" x14ac:dyDescent="0.2">
      <c r="AS202" s="350"/>
      <c r="AT202" s="285">
        <v>15001</v>
      </c>
      <c r="AU202" s="362" t="s">
        <v>151</v>
      </c>
      <c r="AV202" s="362"/>
      <c r="AW202" s="362"/>
      <c r="AX202" s="362"/>
      <c r="AY202" s="362"/>
      <c r="AZ202" s="363">
        <f>+'Basic rates'!J114</f>
        <v>148379</v>
      </c>
      <c r="BA202" s="362">
        <v>0.8</v>
      </c>
      <c r="BB202" s="362">
        <v>725.01</v>
      </c>
      <c r="BC202" s="362">
        <v>1400</v>
      </c>
      <c r="BD202" s="16"/>
      <c r="BE202" s="327"/>
      <c r="BF202" s="16"/>
      <c r="BG202" s="16"/>
      <c r="BH202" s="16"/>
      <c r="BI202" s="16"/>
      <c r="BJ202" s="327"/>
      <c r="BK202" s="16"/>
      <c r="BL202" s="16"/>
      <c r="BM202" s="287"/>
    </row>
    <row r="203" spans="45:65" ht="12.75" x14ac:dyDescent="0.2">
      <c r="AS203" s="350"/>
      <c r="AT203" s="285">
        <v>22001</v>
      </c>
      <c r="AU203" s="362" t="s">
        <v>152</v>
      </c>
      <c r="AV203" s="362"/>
      <c r="AW203" s="362"/>
      <c r="AX203" s="362"/>
      <c r="AY203" s="362"/>
      <c r="AZ203" s="363">
        <f>+'Basic rates'!J115</f>
        <v>158379</v>
      </c>
      <c r="BA203" s="362">
        <v>0.8</v>
      </c>
      <c r="BB203" s="362">
        <v>1401</v>
      </c>
      <c r="BC203" s="362">
        <v>2200</v>
      </c>
      <c r="BD203" s="16"/>
      <c r="BE203" s="327"/>
      <c r="BF203" s="16"/>
      <c r="BG203" s="16"/>
      <c r="BH203" s="16"/>
      <c r="BI203" s="16"/>
      <c r="BJ203" s="327"/>
      <c r="BK203" s="16"/>
      <c r="BL203" s="16"/>
      <c r="BM203" s="287"/>
    </row>
    <row r="204" spans="45:65" ht="12.75" x14ac:dyDescent="0.2">
      <c r="AS204" s="350"/>
      <c r="AT204" s="285"/>
      <c r="AU204" s="362" t="s">
        <v>108</v>
      </c>
      <c r="AV204" s="363">
        <v>8500</v>
      </c>
      <c r="AW204" s="362"/>
      <c r="AX204" s="362"/>
      <c r="AY204" s="362"/>
      <c r="AZ204" s="362"/>
      <c r="BA204" s="174"/>
      <c r="BB204" s="174"/>
      <c r="BC204" s="174"/>
      <c r="BD204" s="16"/>
      <c r="BE204" s="327"/>
      <c r="BF204" s="16"/>
      <c r="BG204" s="16"/>
      <c r="BH204" s="16"/>
      <c r="BI204" s="16"/>
      <c r="BJ204" s="327"/>
      <c r="BK204" s="16"/>
      <c r="BL204" s="16"/>
      <c r="BM204" s="287"/>
    </row>
    <row r="205" spans="45:65" ht="12.75" x14ac:dyDescent="0.2">
      <c r="AS205" s="350"/>
      <c r="AT205" s="285"/>
      <c r="AU205" s="362" t="s">
        <v>107</v>
      </c>
      <c r="AV205" s="363">
        <v>6500</v>
      </c>
      <c r="AW205" s="362"/>
      <c r="AX205" s="362"/>
      <c r="AY205" s="362"/>
      <c r="AZ205" s="362"/>
      <c r="BA205" s="174"/>
      <c r="BB205" s="174"/>
      <c r="BC205" s="174"/>
      <c r="BD205" s="16"/>
      <c r="BE205" s="327"/>
      <c r="BF205" s="16"/>
      <c r="BG205" s="16"/>
      <c r="BH205" s="16"/>
      <c r="BI205" s="16"/>
      <c r="BJ205" s="327"/>
      <c r="BK205" s="16"/>
      <c r="BL205" s="16"/>
      <c r="BM205" s="287"/>
    </row>
    <row r="206" spans="45:65" ht="12.75" x14ac:dyDescent="0.2">
      <c r="AS206" s="350"/>
      <c r="AT206" s="285"/>
      <c r="AU206" s="362" t="s">
        <v>23</v>
      </c>
      <c r="AV206" s="362"/>
      <c r="AW206" s="362"/>
      <c r="AX206" s="362"/>
      <c r="AY206" s="362"/>
      <c r="AZ206" s="362"/>
      <c r="BA206" s="174"/>
      <c r="BB206" s="174"/>
      <c r="BC206" s="174"/>
      <c r="BD206" s="16"/>
      <c r="BE206" s="327"/>
      <c r="BF206" s="16"/>
      <c r="BG206" s="16"/>
      <c r="BH206" s="16"/>
      <c r="BI206" s="16"/>
      <c r="BJ206" s="327"/>
      <c r="BK206" s="16"/>
      <c r="BL206" s="16"/>
      <c r="BM206" s="287"/>
    </row>
    <row r="207" spans="45:65" ht="12.75" x14ac:dyDescent="0.2">
      <c r="AS207" s="350"/>
      <c r="AT207" s="285"/>
      <c r="AU207" s="362" t="s">
        <v>154</v>
      </c>
      <c r="AV207" s="362">
        <f>35125+4370</f>
        <v>39495</v>
      </c>
      <c r="AW207" s="362"/>
      <c r="AX207" s="362"/>
      <c r="AY207" s="362"/>
      <c r="AZ207" s="362"/>
      <c r="BA207" s="174"/>
      <c r="BB207" s="174"/>
      <c r="BC207" s="174"/>
      <c r="BD207" s="16"/>
      <c r="BE207" s="327"/>
      <c r="BF207" s="16"/>
      <c r="BG207" s="16"/>
      <c r="BH207" s="16"/>
      <c r="BI207" s="16"/>
      <c r="BJ207" s="327"/>
      <c r="BK207" s="16"/>
      <c r="BL207" s="16"/>
      <c r="BM207" s="287"/>
    </row>
    <row r="208" spans="45:65" ht="12.75" x14ac:dyDescent="0.2">
      <c r="AS208" s="350"/>
      <c r="AT208" s="285"/>
      <c r="AU208" s="362" t="s">
        <v>155</v>
      </c>
      <c r="AV208" s="362">
        <f>57874+4402</f>
        <v>62276</v>
      </c>
      <c r="AW208" s="362"/>
      <c r="AX208" s="362"/>
      <c r="AY208" s="362"/>
      <c r="AZ208" s="362"/>
      <c r="BA208" s="174"/>
      <c r="BB208" s="174"/>
      <c r="BC208" s="174"/>
      <c r="BD208" s="16"/>
      <c r="BE208" s="327"/>
      <c r="BF208" s="16"/>
      <c r="BG208" s="16"/>
      <c r="BH208" s="16"/>
      <c r="BI208" s="16"/>
      <c r="BJ208" s="327"/>
      <c r="BK208" s="16"/>
      <c r="BL208" s="16"/>
      <c r="BM208" s="287"/>
    </row>
    <row r="209" spans="45:65" ht="12.75" x14ac:dyDescent="0.2">
      <c r="AS209" s="350"/>
      <c r="AT209" s="285"/>
      <c r="AU209" s="362" t="s">
        <v>156</v>
      </c>
      <c r="AV209" s="362">
        <f>76475+9318</f>
        <v>85793</v>
      </c>
      <c r="AW209" s="362"/>
      <c r="AX209" s="362"/>
      <c r="AY209" s="362"/>
      <c r="AZ209" s="362"/>
      <c r="BA209" s="174"/>
      <c r="BB209" s="174"/>
      <c r="BC209" s="174"/>
      <c r="BD209" s="16"/>
      <c r="BE209" s="327"/>
      <c r="BF209" s="16"/>
      <c r="BG209" s="16"/>
      <c r="BH209" s="16"/>
      <c r="BI209" s="16"/>
      <c r="BJ209" s="327"/>
      <c r="BK209" s="16"/>
      <c r="BL209" s="16"/>
      <c r="BM209" s="287"/>
    </row>
    <row r="210" spans="45:65" ht="12.75" x14ac:dyDescent="0.2">
      <c r="AS210" s="350"/>
      <c r="AT210" s="285"/>
      <c r="AU210" s="362" t="s">
        <v>23</v>
      </c>
      <c r="AV210" s="362"/>
      <c r="AW210" s="362"/>
      <c r="AX210" s="362"/>
      <c r="AY210" s="362"/>
      <c r="AZ210" s="362"/>
      <c r="BA210" s="174"/>
      <c r="BB210" s="174"/>
      <c r="BC210" s="174"/>
      <c r="BD210" s="16"/>
      <c r="BE210" s="327"/>
      <c r="BF210" s="16"/>
      <c r="BG210" s="16"/>
      <c r="BH210" s="16"/>
      <c r="BI210" s="16"/>
      <c r="BJ210" s="327"/>
      <c r="BK210" s="16"/>
      <c r="BL210" s="16"/>
      <c r="BM210" s="287"/>
    </row>
    <row r="211" spans="45:65" ht="13.5" thickBot="1" x14ac:dyDescent="0.25">
      <c r="AS211" s="350"/>
      <c r="AT211" s="285"/>
      <c r="AU211" s="336" t="s">
        <v>157</v>
      </c>
      <c r="AV211" s="360">
        <v>22874</v>
      </c>
      <c r="AW211" s="181"/>
      <c r="AX211" s="360">
        <v>1601.18</v>
      </c>
      <c r="AY211" s="181"/>
      <c r="AZ211" s="361">
        <v>24475.18</v>
      </c>
      <c r="BA211" s="179"/>
      <c r="BB211" s="179"/>
      <c r="BC211" s="179"/>
      <c r="BD211" s="16"/>
      <c r="BE211" s="16"/>
      <c r="BF211" s="16"/>
      <c r="BG211" s="16"/>
      <c r="BH211" s="16"/>
      <c r="BI211" s="327"/>
      <c r="BJ211" s="327"/>
      <c r="BK211" s="16"/>
      <c r="BL211" s="16"/>
      <c r="BM211" s="287"/>
    </row>
    <row r="212" spans="45:65" ht="12.75" x14ac:dyDescent="0.2">
      <c r="AS212" s="344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327"/>
      <c r="BK212" s="16"/>
      <c r="BL212" s="16"/>
      <c r="BM212" s="287"/>
    </row>
    <row r="213" spans="45:65" ht="12.75" x14ac:dyDescent="0.2">
      <c r="AS213" s="345"/>
      <c r="AT213" s="346"/>
      <c r="AU213" s="346"/>
      <c r="AV213" s="346"/>
      <c r="AW213" s="346"/>
      <c r="AX213" s="346"/>
      <c r="AY213" s="346"/>
      <c r="AZ213" s="346"/>
      <c r="BA213" s="346"/>
      <c r="BB213" s="346"/>
      <c r="BC213" s="346"/>
      <c r="BD213" s="346"/>
      <c r="BE213" s="346"/>
      <c r="BF213" s="346"/>
      <c r="BG213" s="346"/>
      <c r="BH213" s="346"/>
      <c r="BI213" s="346"/>
      <c r="BJ213" s="348"/>
      <c r="BK213" s="346"/>
      <c r="BL213" s="346"/>
      <c r="BM213" s="349"/>
    </row>
    <row r="214" spans="45:65" ht="12.75" x14ac:dyDescent="0.2">
      <c r="AS214" s="16"/>
      <c r="BJ214" s="52"/>
      <c r="BK214" s="162"/>
    </row>
    <row r="215" spans="45:65" ht="12.75" x14ac:dyDescent="0.2">
      <c r="BJ215" s="52"/>
      <c r="BK215" s="162"/>
    </row>
    <row r="216" spans="45:65" ht="12.75" x14ac:dyDescent="0.2">
      <c r="BJ216" s="52"/>
      <c r="BK216" s="162"/>
    </row>
    <row r="217" spans="45:65" ht="12.75" x14ac:dyDescent="0.2">
      <c r="BJ217" s="52"/>
      <c r="BK217" s="162"/>
    </row>
    <row r="218" spans="45:65" ht="12.75" x14ac:dyDescent="0.2">
      <c r="BJ218" s="52"/>
      <c r="BK218" s="162"/>
    </row>
    <row r="219" spans="45:65" ht="12.75" x14ac:dyDescent="0.2">
      <c r="BJ219" s="1"/>
      <c r="BK219" s="162"/>
    </row>
    <row r="220" spans="45:65" ht="12.75" x14ac:dyDescent="0.2">
      <c r="BJ220" s="1"/>
      <c r="BK220" s="162"/>
    </row>
    <row r="221" spans="45:65" ht="12.75" x14ac:dyDescent="0.2">
      <c r="BJ221" s="1"/>
      <c r="BK221" s="162"/>
    </row>
    <row r="222" spans="45:65" ht="12.75" x14ac:dyDescent="0.2">
      <c r="BJ222" s="1"/>
      <c r="BK222" s="162"/>
    </row>
    <row r="223" spans="45:65" ht="12.75" x14ac:dyDescent="0.2">
      <c r="BJ223" s="1"/>
      <c r="BK223" s="162"/>
    </row>
    <row r="224" spans="45:65" ht="12.75" x14ac:dyDescent="0.2">
      <c r="BJ224" s="1"/>
      <c r="BK224" s="162"/>
    </row>
    <row r="225" spans="62:63" ht="12.75" x14ac:dyDescent="0.2">
      <c r="BJ225" s="1"/>
      <c r="BK225" s="162"/>
    </row>
    <row r="226" spans="62:63" ht="12.75" x14ac:dyDescent="0.2">
      <c r="BJ226" s="1"/>
    </row>
    <row r="227" spans="62:63" ht="12.75" x14ac:dyDescent="0.2">
      <c r="BJ227" s="1"/>
    </row>
    <row r="228" spans="62:63" ht="12.75" x14ac:dyDescent="0.2">
      <c r="BJ228" s="1"/>
    </row>
    <row r="229" spans="62:63" ht="12.75" x14ac:dyDescent="0.2">
      <c r="BJ229" s="1"/>
    </row>
    <row r="230" spans="62:63" ht="12.75" x14ac:dyDescent="0.2">
      <c r="BJ230" s="1"/>
    </row>
    <row r="231" spans="62:63" ht="12.75" x14ac:dyDescent="0.2">
      <c r="BJ231" s="1"/>
    </row>
    <row r="232" spans="62:63" ht="12.75" x14ac:dyDescent="0.2">
      <c r="BJ232" s="1"/>
    </row>
    <row r="233" spans="62:63" ht="12.75" x14ac:dyDescent="0.2">
      <c r="BJ233" s="1"/>
    </row>
    <row r="234" spans="62:63" ht="12.75" x14ac:dyDescent="0.2">
      <c r="BJ234" s="1"/>
    </row>
    <row r="235" spans="62:63" ht="12.75" x14ac:dyDescent="0.2">
      <c r="BJ235" s="1"/>
    </row>
    <row r="236" spans="62:63" ht="12.75" x14ac:dyDescent="0.2">
      <c r="BJ236" s="1"/>
    </row>
  </sheetData>
  <mergeCells count="41">
    <mergeCell ref="AG2:AH2"/>
    <mergeCell ref="AG3:AH3"/>
    <mergeCell ref="AS3:BM3"/>
    <mergeCell ref="AU6:AW6"/>
    <mergeCell ref="AW7:AY7"/>
    <mergeCell ref="AU28:AZ28"/>
    <mergeCell ref="AU35:AZ35"/>
    <mergeCell ref="AU42:AZ42"/>
    <mergeCell ref="AG21:AH21"/>
    <mergeCell ref="AG60:AI60"/>
    <mergeCell ref="AG46:AL46"/>
    <mergeCell ref="AG48:AL48"/>
    <mergeCell ref="AG50:AP50"/>
    <mergeCell ref="AG55:AL55"/>
    <mergeCell ref="AG57:AP57"/>
    <mergeCell ref="AG58:AI58"/>
    <mergeCell ref="AG59:AI59"/>
    <mergeCell ref="AV49:AX49"/>
    <mergeCell ref="AY49:BA49"/>
    <mergeCell ref="AU159:AW159"/>
    <mergeCell ref="AU174:AW174"/>
    <mergeCell ref="AG74:AI74"/>
    <mergeCell ref="AG76:AI76"/>
    <mergeCell ref="AG77:AL77"/>
    <mergeCell ref="AG82:AM82"/>
    <mergeCell ref="B51:H57"/>
    <mergeCell ref="AU154:AV154"/>
    <mergeCell ref="C116:R116"/>
    <mergeCell ref="AG73:AI73"/>
    <mergeCell ref="AG61:AI61"/>
    <mergeCell ref="AG62:AI62"/>
    <mergeCell ref="AG63:AI63"/>
    <mergeCell ref="AG64:AI64"/>
    <mergeCell ref="AG65:AI65"/>
    <mergeCell ref="AG67:AI67"/>
    <mergeCell ref="AG68:AI68"/>
    <mergeCell ref="AG70:AI70"/>
    <mergeCell ref="AG71:AI71"/>
    <mergeCell ref="AG72:AI72"/>
    <mergeCell ref="AH69:AI69"/>
    <mergeCell ref="AG103:AI103"/>
  </mergeCells>
  <conditionalFormatting sqref="AJ27">
    <cfRule type="expression" dxfId="0" priority="1" stopIfTrue="1">
      <formula>$AJ$27=0</formula>
    </cfRule>
  </conditionalFormatting>
  <dataValidations disablePrompts="1" count="28">
    <dataValidation type="list" allowBlank="1" showInputMessage="1" showErrorMessage="1" sqref="AH97">
      <formula1>$AH$100:$AH$101</formula1>
    </dataValidation>
    <dataValidation type="list" allowBlank="1" showInputMessage="1" showErrorMessage="1" sqref="AI52">
      <formula1>$BE$193:$BE$196</formula1>
    </dataValidation>
    <dataValidation type="list" allowBlank="1" showInputMessage="1" showErrorMessage="1" sqref="AK52">
      <formula1>$BE$190:$BE$191</formula1>
    </dataValidation>
    <dataValidation allowBlank="1" showErrorMessage="1" sqref="AI47:AJ47"/>
    <dataValidation allowBlank="1" showInputMessage="1" showErrorMessage="1" promptTitle="Enter Value" prompt="Enter Reason for increase in rates per No" sqref="AI45"/>
    <dataValidation type="list" allowBlank="1" showInputMessage="1" showErrorMessage="1" sqref="AI42:AI43">
      <formula1>$AW$155:$AW$156</formula1>
    </dataValidation>
    <dataValidation type="list" allowBlank="1" showInputMessage="1" showErrorMessage="1" sqref="AI41">
      <formula1>$AU$147:$AU$151</formula1>
    </dataValidation>
    <dataValidation type="list" allowBlank="1" showInputMessage="1" showErrorMessage="1" sqref="AI40">
      <formula1>$AW$142:$AW$144</formula1>
    </dataValidation>
    <dataValidation type="list" allowBlank="1" showInputMessage="1" showErrorMessage="1" sqref="AI39">
      <formula1>$AU$137:$AU$139</formula1>
    </dataValidation>
    <dataValidation type="list" allowBlank="1" showInputMessage="1" showErrorMessage="1" sqref="AG40:AH40">
      <formula1>$AU$142:$AU$144</formula1>
    </dataValidation>
    <dataValidation allowBlank="1" showInputMessage="1" showErrorMessage="1" promptTitle="Enter Rates per Sqm" prompt="Enter rates per Sqm_x000a_" sqref="AJ45"/>
    <dataValidation type="list" allowBlank="1" showInputMessage="1" showErrorMessage="1" sqref="AJ42">
      <formula1>$AU$155:$AU$157</formula1>
    </dataValidation>
    <dataValidation allowBlank="1" showInputMessage="1" showErrorMessage="1" promptTitle="Enter Value" prompt="Enter height_x000a_" sqref="AK40"/>
    <dataValidation allowBlank="1" showInputMessage="1" showErrorMessage="1" promptTitle="Enter Value" prompt="Enter The height" sqref="AK39"/>
    <dataValidation type="list" allowBlank="1" showInputMessage="1" showErrorMessage="1" sqref="AH16">
      <formula1>$AV$14:$AV$20</formula1>
    </dataValidation>
    <dataValidation allowBlank="1" showErrorMessage="1" errorTitle="Too Long" error="The length of the shutter is too long_x000a_" sqref="AH9"/>
    <dataValidation allowBlank="1" showErrorMessage="1" errorTitle="Too Long" error="The height of the shutter is too long_x000a_" sqref="AH10"/>
    <dataValidation type="list" allowBlank="1" showInputMessage="1" showErrorMessage="1" sqref="AH8">
      <formula1>$AU$9:$AU$11</formula1>
    </dataValidation>
    <dataValidation type="list" allowBlank="1" showErrorMessage="1" errorTitle="Too Long" error="The height of the shutter is too long_x000a_" sqref="AH14">
      <formula1>$AU$14:$AU$17</formula1>
    </dataValidation>
    <dataValidation allowBlank="1" showInputMessage="1" showErrorMessage="1" promptTitle="Unit" prompt="In MM_x000a_" sqref="AI23:AI25 AG24:AG25"/>
    <dataValidation type="list" allowBlank="1" showInputMessage="1" showErrorMessage="1" sqref="AG32:AH32">
      <formula1>$AX$104:$AX$105</formula1>
    </dataValidation>
    <dataValidation type="list" allowBlank="1" showInputMessage="1" showErrorMessage="1" sqref="AG23">
      <formula1>$AV$50:$AX$50</formula1>
    </dataValidation>
    <dataValidation allowBlank="1" showErrorMessage="1" promptTitle="Pipe Thickness" prompt="Pipe Thickness" sqref="AK27"/>
    <dataValidation allowBlank="1" showErrorMessage="1" promptTitle="Height" prompt="Enter the Height _x000a_" sqref="AL28:AL30 AL23:AL25"/>
    <dataValidation allowBlank="1" showInputMessage="1" showErrorMessage="1" promptTitle="Pipe Thickness" prompt="Pipe Thickness" sqref="AJ27"/>
    <dataValidation type="list" allowBlank="1" showErrorMessage="1" errorTitle="Too Long" error="The height of the shutter is too long_x000a_" sqref="AH15">
      <formula1>$AW$14:$AW$25</formula1>
    </dataValidation>
    <dataValidation type="list" allowBlank="1" showInputMessage="1" showErrorMessage="1" sqref="AH24:AH25">
      <formula1>$AX$176:$AX$177</formula1>
    </dataValidation>
    <dataValidation type="list" allowBlank="1" showInputMessage="1" showErrorMessage="1" sqref="AH69:AI69">
      <formula1>$AZ$70:$AZ$71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3"/>
  <sheetViews>
    <sheetView topLeftCell="A61" zoomScale="115" zoomScaleNormal="115" workbookViewId="0">
      <selection activeCell="D93" sqref="D93"/>
    </sheetView>
  </sheetViews>
  <sheetFormatPr defaultRowHeight="12.75" x14ac:dyDescent="0.2"/>
  <cols>
    <col min="3" max="3" width="29.85546875" customWidth="1"/>
    <col min="4" max="4" width="10.5703125" customWidth="1"/>
    <col min="5" max="5" width="19.7109375" customWidth="1"/>
    <col min="6" max="6" width="19" customWidth="1"/>
    <col min="7" max="7" width="14.42578125" customWidth="1"/>
    <col min="8" max="8" width="19" customWidth="1"/>
    <col min="9" max="9" width="13.85546875" customWidth="1"/>
    <col min="10" max="12" width="12.140625" customWidth="1"/>
    <col min="17" max="17" width="28.5703125" bestFit="1" customWidth="1"/>
    <col min="18" max="23" width="13.140625" customWidth="1"/>
  </cols>
  <sheetData>
    <row r="1" spans="2:26" x14ac:dyDescent="0.2">
      <c r="R1">
        <v>1</v>
      </c>
      <c r="S1" s="635"/>
      <c r="T1" s="635"/>
      <c r="U1" s="635">
        <v>0.03</v>
      </c>
      <c r="V1" s="635"/>
      <c r="W1" s="635"/>
    </row>
    <row r="2" spans="2:26" x14ac:dyDescent="0.2">
      <c r="B2" s="794" t="s">
        <v>240</v>
      </c>
      <c r="C2" s="795" t="s">
        <v>368</v>
      </c>
      <c r="D2" s="796" t="s">
        <v>370</v>
      </c>
      <c r="E2" s="796"/>
      <c r="F2" s="796" t="s">
        <v>371</v>
      </c>
      <c r="G2" s="796"/>
      <c r="H2" s="796" t="s">
        <v>372</v>
      </c>
      <c r="I2" s="796"/>
      <c r="J2" s="796" t="s">
        <v>373</v>
      </c>
      <c r="K2" s="796"/>
      <c r="R2" t="s">
        <v>406</v>
      </c>
      <c r="S2" t="s">
        <v>403</v>
      </c>
      <c r="T2" t="s">
        <v>404</v>
      </c>
      <c r="U2" t="s">
        <v>405</v>
      </c>
      <c r="V2" s="638" t="s">
        <v>407</v>
      </c>
      <c r="W2" s="638" t="s">
        <v>408</v>
      </c>
      <c r="X2" s="638" t="s">
        <v>409</v>
      </c>
    </row>
    <row r="3" spans="2:26" x14ac:dyDescent="0.2">
      <c r="B3" s="794"/>
      <c r="C3" s="795"/>
      <c r="D3" s="601" t="s">
        <v>369</v>
      </c>
      <c r="E3" s="601" t="s">
        <v>298</v>
      </c>
      <c r="F3" s="601" t="s">
        <v>369</v>
      </c>
      <c r="G3" s="601" t="s">
        <v>298</v>
      </c>
      <c r="H3" s="601" t="s">
        <v>369</v>
      </c>
      <c r="I3" s="601" t="s">
        <v>298</v>
      </c>
      <c r="J3" s="601" t="s">
        <v>369</v>
      </c>
      <c r="K3" s="601" t="s">
        <v>298</v>
      </c>
      <c r="Q3" s="459" t="s">
        <v>413</v>
      </c>
      <c r="R3" s="637">
        <f>52+R1</f>
        <v>53</v>
      </c>
      <c r="S3" s="636">
        <v>0.01</v>
      </c>
      <c r="T3" s="636">
        <v>0.02</v>
      </c>
      <c r="U3" s="636">
        <v>0.02</v>
      </c>
      <c r="V3" s="636">
        <v>0.02</v>
      </c>
      <c r="W3" s="636">
        <f>SUM(S3:V3)</f>
        <v>7.0000000000000007E-2</v>
      </c>
      <c r="X3" s="598">
        <f>+R3*(100%+W3)</f>
        <v>56.71</v>
      </c>
      <c r="Y3" s="640"/>
      <c r="Z3" s="640"/>
    </row>
    <row r="4" spans="2:26" x14ac:dyDescent="0.2">
      <c r="B4" s="794"/>
      <c r="C4" s="295" t="s">
        <v>220</v>
      </c>
      <c r="D4" s="594">
        <f>+(0.9*0.114*1*7.85)</f>
        <v>0.80541000000000007</v>
      </c>
      <c r="E4" s="595">
        <f>+D4*$X$3</f>
        <v>45.674801100000003</v>
      </c>
      <c r="F4" s="675">
        <f>+(0.9*0.133*1*7.85)</f>
        <v>0.93964500000000006</v>
      </c>
      <c r="G4" s="676">
        <f>+F4*$X$3</f>
        <v>53.287267950000007</v>
      </c>
      <c r="H4" s="596">
        <f>+(0.9*0.174*1*7.85)</f>
        <v>1.2293099999999999</v>
      </c>
      <c r="I4" s="595">
        <f>+H4*$X$3</f>
        <v>69.71417009999999</v>
      </c>
      <c r="J4" s="596">
        <f>+(0.9*0.114*1*7.85)</f>
        <v>0.80541000000000007</v>
      </c>
      <c r="K4" s="595">
        <f>+J4*$X$3</f>
        <v>45.674801100000003</v>
      </c>
      <c r="Q4" s="459" t="s">
        <v>414</v>
      </c>
      <c r="R4" s="637">
        <f>53+R1+1</f>
        <v>55</v>
      </c>
      <c r="S4" s="636">
        <v>0.01</v>
      </c>
      <c r="T4" s="636">
        <v>0.02</v>
      </c>
      <c r="U4" s="636">
        <v>0.02</v>
      </c>
      <c r="V4" s="636">
        <v>0.02</v>
      </c>
      <c r="W4" s="636">
        <f t="shared" ref="W4:W10" si="0">SUM(S4:V4)</f>
        <v>7.0000000000000007E-2</v>
      </c>
      <c r="X4" s="598">
        <f t="shared" ref="X4:X14" si="1">+R4*(100%+W4)</f>
        <v>58.85</v>
      </c>
      <c r="Y4" s="640"/>
      <c r="Z4" s="640"/>
    </row>
    <row r="5" spans="2:26" x14ac:dyDescent="0.2">
      <c r="B5" s="794"/>
      <c r="C5" s="295" t="s">
        <v>222</v>
      </c>
      <c r="D5" s="594">
        <f>+(1*0.114*1*7.85)</f>
        <v>0.89490000000000003</v>
      </c>
      <c r="E5" s="595">
        <f t="shared" ref="E5:E6" si="2">+D5*$X$3</f>
        <v>50.749779000000004</v>
      </c>
      <c r="F5" s="675">
        <f>+(1*0.133*1*7.85)</f>
        <v>1.0440499999999999</v>
      </c>
      <c r="G5" s="676">
        <f>+F5*$X$3</f>
        <v>59.2080755</v>
      </c>
      <c r="H5" s="596">
        <f>+(1*0.174*1*7.85)</f>
        <v>1.3658999999999999</v>
      </c>
      <c r="I5" s="595">
        <f>+H5*$X$3</f>
        <v>77.460189</v>
      </c>
      <c r="J5" s="596">
        <f>+(1*0.114*1*7.85)</f>
        <v>0.89490000000000003</v>
      </c>
      <c r="K5" s="595">
        <f>+J5*$X$3</f>
        <v>50.749779000000004</v>
      </c>
      <c r="Q5" s="459" t="s">
        <v>415</v>
      </c>
      <c r="R5" s="637">
        <f>58+R1+2</f>
        <v>61</v>
      </c>
      <c r="S5" s="636">
        <v>0.01</v>
      </c>
      <c r="T5" s="636">
        <v>0.02</v>
      </c>
      <c r="U5" s="636">
        <v>0.02</v>
      </c>
      <c r="V5" s="636">
        <v>0.02</v>
      </c>
      <c r="W5" s="636">
        <f t="shared" si="0"/>
        <v>7.0000000000000007E-2</v>
      </c>
      <c r="X5" s="598">
        <f t="shared" si="1"/>
        <v>65.27000000000001</v>
      </c>
      <c r="Y5" s="640"/>
      <c r="Z5" s="640"/>
    </row>
    <row r="6" spans="2:26" x14ac:dyDescent="0.2">
      <c r="B6" s="794"/>
      <c r="C6" s="295" t="s">
        <v>225</v>
      </c>
      <c r="D6" s="594">
        <f>+(1*0.114*1.2*7.85)</f>
        <v>1.0738799999999999</v>
      </c>
      <c r="E6" s="595">
        <f t="shared" si="2"/>
        <v>60.899734799999997</v>
      </c>
      <c r="F6" s="675">
        <f>+(1.2*0.133*1*7.85)</f>
        <v>1.2528599999999999</v>
      </c>
      <c r="G6" s="676">
        <f>+F6*$X$3</f>
        <v>71.049690599999991</v>
      </c>
      <c r="H6" s="596">
        <f>+(1.2*0.174*1*7.85)</f>
        <v>1.6390799999999999</v>
      </c>
      <c r="I6" s="595">
        <f>+H6*$X$3</f>
        <v>92.952226799999991</v>
      </c>
      <c r="J6" s="596">
        <f>+(1.2*0.114*1*7.85)</f>
        <v>1.0738799999999999</v>
      </c>
      <c r="K6" s="595">
        <f>+J6*$X$3</f>
        <v>60.899734799999997</v>
      </c>
      <c r="Q6" s="459" t="s">
        <v>416</v>
      </c>
      <c r="R6" s="637">
        <f>50+R1</f>
        <v>51</v>
      </c>
      <c r="S6" s="636">
        <v>0.01</v>
      </c>
      <c r="T6" s="636">
        <v>0.02</v>
      </c>
      <c r="U6" s="636">
        <v>0.02</v>
      </c>
      <c r="V6" s="636">
        <v>0.05</v>
      </c>
      <c r="W6" s="636">
        <f t="shared" si="0"/>
        <v>0.1</v>
      </c>
      <c r="X6" s="598">
        <f t="shared" si="1"/>
        <v>56.1</v>
      </c>
      <c r="Y6" s="640"/>
      <c r="Z6" s="640"/>
    </row>
    <row r="7" spans="2:26" x14ac:dyDescent="0.2">
      <c r="Q7" s="459" t="s">
        <v>417</v>
      </c>
      <c r="R7" s="637">
        <f>53+R1</f>
        <v>54</v>
      </c>
      <c r="S7" s="636">
        <v>0.01</v>
      </c>
      <c r="T7" s="636">
        <v>0.02</v>
      </c>
      <c r="U7" s="636">
        <v>0.02</v>
      </c>
      <c r="V7" s="636">
        <v>0.05</v>
      </c>
      <c r="W7" s="636">
        <f t="shared" si="0"/>
        <v>0.1</v>
      </c>
      <c r="X7" s="598">
        <f t="shared" si="1"/>
        <v>59.400000000000006</v>
      </c>
      <c r="Y7" s="640"/>
      <c r="Z7" s="640"/>
    </row>
    <row r="8" spans="2:26" x14ac:dyDescent="0.2">
      <c r="B8" s="794" t="s">
        <v>241</v>
      </c>
      <c r="C8" s="795" t="s">
        <v>368</v>
      </c>
      <c r="D8" s="796" t="s">
        <v>370</v>
      </c>
      <c r="E8" s="796"/>
      <c r="F8" s="797" t="s">
        <v>371</v>
      </c>
      <c r="G8" s="797"/>
      <c r="H8" s="796" t="s">
        <v>372</v>
      </c>
      <c r="I8" s="796"/>
      <c r="J8" s="796" t="s">
        <v>373</v>
      </c>
      <c r="K8" s="796"/>
      <c r="Q8" s="250" t="s">
        <v>365</v>
      </c>
      <c r="R8" s="637">
        <v>100</v>
      </c>
      <c r="S8" s="636">
        <v>0.02</v>
      </c>
      <c r="T8" s="636">
        <v>0.05</v>
      </c>
      <c r="U8" s="636">
        <v>0.02</v>
      </c>
      <c r="V8" s="636">
        <v>0</v>
      </c>
      <c r="W8" s="636">
        <f t="shared" si="0"/>
        <v>9.0000000000000011E-2</v>
      </c>
      <c r="X8" s="642">
        <f t="shared" si="1"/>
        <v>109.00000000000001</v>
      </c>
      <c r="Y8" s="640"/>
      <c r="Z8" s="640"/>
    </row>
    <row r="9" spans="2:26" x14ac:dyDescent="0.2">
      <c r="B9" s="794"/>
      <c r="C9" s="795"/>
      <c r="D9" s="601" t="s">
        <v>369</v>
      </c>
      <c r="E9" s="601" t="s">
        <v>298</v>
      </c>
      <c r="F9" s="677" t="s">
        <v>369</v>
      </c>
      <c r="G9" s="677" t="s">
        <v>298</v>
      </c>
      <c r="H9" s="601" t="s">
        <v>369</v>
      </c>
      <c r="I9" s="601" t="s">
        <v>298</v>
      </c>
      <c r="J9" s="601" t="s">
        <v>369</v>
      </c>
      <c r="K9" s="601" t="s">
        <v>298</v>
      </c>
      <c r="Q9" s="250" t="s">
        <v>366</v>
      </c>
      <c r="R9" s="674">
        <f>50+R1</f>
        <v>51</v>
      </c>
      <c r="S9" s="636">
        <v>0.01</v>
      </c>
      <c r="T9" s="636">
        <v>0.05</v>
      </c>
      <c r="U9" s="636">
        <v>0.02</v>
      </c>
      <c r="V9" s="636">
        <v>0.05</v>
      </c>
      <c r="W9" s="636">
        <f t="shared" si="0"/>
        <v>0.13</v>
      </c>
      <c r="X9" s="598">
        <f t="shared" si="1"/>
        <v>57.629999999999995</v>
      </c>
      <c r="Y9" s="640"/>
      <c r="Z9" s="640"/>
    </row>
    <row r="10" spans="2:26" x14ac:dyDescent="0.2">
      <c r="B10" s="794"/>
      <c r="C10" s="295" t="s">
        <v>220</v>
      </c>
      <c r="D10" s="594">
        <f>+(0.9*0.114*1*7.85)</f>
        <v>0.80541000000000007</v>
      </c>
      <c r="E10" s="595">
        <f>+D10*$X$4</f>
        <v>47.398378500000007</v>
      </c>
      <c r="F10" s="678">
        <f>+(0.9*0.133*1*7.85)</f>
        <v>0.93964500000000006</v>
      </c>
      <c r="G10" s="679">
        <f t="shared" ref="G10:G12" si="3">+F10*$X$4</f>
        <v>55.298108250000006</v>
      </c>
      <c r="H10" s="596">
        <f>+(0.9*0.174*1*7.85)</f>
        <v>1.2293099999999999</v>
      </c>
      <c r="I10" s="595">
        <f t="shared" ref="I10:I12" si="4">+H10*$X$4</f>
        <v>72.344893499999998</v>
      </c>
      <c r="J10" s="596">
        <f>+(0.9*0.114*1*7.85)</f>
        <v>0.80541000000000007</v>
      </c>
      <c r="K10" s="595">
        <f t="shared" ref="K10:K12" si="5">+J10*$X$4</f>
        <v>47.398378500000007</v>
      </c>
      <c r="Q10" s="250" t="s">
        <v>367</v>
      </c>
      <c r="R10" s="674">
        <f>53+R1</f>
        <v>54</v>
      </c>
      <c r="S10" s="636">
        <v>0.01</v>
      </c>
      <c r="T10" s="636">
        <v>0.05</v>
      </c>
      <c r="U10" s="636">
        <v>0.02</v>
      </c>
      <c r="V10" s="636">
        <v>0.05</v>
      </c>
      <c r="W10" s="636">
        <f t="shared" si="0"/>
        <v>0.13</v>
      </c>
      <c r="X10" s="598">
        <f t="shared" si="1"/>
        <v>61.019999999999996</v>
      </c>
      <c r="Y10" s="640"/>
      <c r="Z10" s="640"/>
    </row>
    <row r="11" spans="2:26" x14ac:dyDescent="0.2">
      <c r="B11" s="794"/>
      <c r="C11" s="295" t="s">
        <v>222</v>
      </c>
      <c r="D11" s="594">
        <f>+(1*0.114*1*7.85)</f>
        <v>0.89490000000000003</v>
      </c>
      <c r="E11" s="595">
        <f t="shared" ref="E11:E12" si="6">+D11*$X$4</f>
        <v>52.664865000000006</v>
      </c>
      <c r="F11" s="678">
        <f>+(1*0.133*1*7.85)</f>
        <v>1.0440499999999999</v>
      </c>
      <c r="G11" s="679">
        <f t="shared" si="3"/>
        <v>61.442342499999995</v>
      </c>
      <c r="H11" s="596">
        <f>+(1*0.174*1*7.85)</f>
        <v>1.3658999999999999</v>
      </c>
      <c r="I11" s="595">
        <f t="shared" si="4"/>
        <v>80.383214999999993</v>
      </c>
      <c r="J11" s="596">
        <f>+(1*0.114*1*7.85)</f>
        <v>0.89490000000000003</v>
      </c>
      <c r="K11" s="595">
        <f t="shared" si="5"/>
        <v>52.664865000000006</v>
      </c>
      <c r="Q11" s="250" t="s">
        <v>35</v>
      </c>
      <c r="R11" s="637">
        <f>52+R1</f>
        <v>53</v>
      </c>
      <c r="S11" s="636">
        <v>0.01</v>
      </c>
      <c r="T11" s="636">
        <v>0.05</v>
      </c>
      <c r="U11" s="636">
        <v>0.02</v>
      </c>
      <c r="V11" s="636">
        <v>0</v>
      </c>
      <c r="W11" s="636">
        <f t="shared" ref="W11:W14" si="7">SUM(S11:V11)</f>
        <v>0.08</v>
      </c>
      <c r="X11" s="598">
        <f t="shared" si="1"/>
        <v>57.24</v>
      </c>
      <c r="Y11" s="640"/>
      <c r="Z11" s="640"/>
    </row>
    <row r="12" spans="2:26" x14ac:dyDescent="0.2">
      <c r="B12" s="794"/>
      <c r="C12" s="295" t="s">
        <v>225</v>
      </c>
      <c r="D12" s="594">
        <f>+(1*0.114*1.2*7.85)</f>
        <v>1.0738799999999999</v>
      </c>
      <c r="E12" s="595">
        <f t="shared" si="6"/>
        <v>63.197837999999997</v>
      </c>
      <c r="F12" s="678">
        <f>+(1.2*0.133*1*7.85)</f>
        <v>1.2528599999999999</v>
      </c>
      <c r="G12" s="679">
        <f t="shared" si="3"/>
        <v>73.730810999999989</v>
      </c>
      <c r="H12" s="596">
        <f>+(1.2*0.174*1*7.85)</f>
        <v>1.6390799999999999</v>
      </c>
      <c r="I12" s="595">
        <f t="shared" si="4"/>
        <v>96.459857999999997</v>
      </c>
      <c r="J12" s="596">
        <f>+(1.2*0.114*1*7.85)</f>
        <v>1.0738799999999999</v>
      </c>
      <c r="K12" s="595">
        <f t="shared" si="5"/>
        <v>63.197837999999997</v>
      </c>
      <c r="Q12" s="250" t="s">
        <v>383</v>
      </c>
      <c r="R12" s="637">
        <f>50+R1</f>
        <v>51</v>
      </c>
      <c r="S12" s="636">
        <v>0.01</v>
      </c>
      <c r="T12" s="636">
        <v>0.03</v>
      </c>
      <c r="U12" s="636">
        <v>0.02</v>
      </c>
      <c r="V12" s="636">
        <v>0.03</v>
      </c>
      <c r="W12" s="636">
        <f t="shared" si="7"/>
        <v>0.09</v>
      </c>
      <c r="X12" s="598">
        <f t="shared" si="1"/>
        <v>55.59</v>
      </c>
      <c r="Y12" s="640"/>
      <c r="Z12" s="640"/>
    </row>
    <row r="13" spans="2:26" x14ac:dyDescent="0.2">
      <c r="Q13" s="250" t="s">
        <v>384</v>
      </c>
      <c r="R13" s="637">
        <f>53+R1</f>
        <v>54</v>
      </c>
      <c r="S13" s="636">
        <v>0.01</v>
      </c>
      <c r="T13" s="636">
        <v>0.03</v>
      </c>
      <c r="U13" s="636">
        <v>0.02</v>
      </c>
      <c r="V13" s="636">
        <v>0.03</v>
      </c>
      <c r="W13" s="636">
        <f t="shared" si="7"/>
        <v>0.09</v>
      </c>
      <c r="X13" s="598">
        <f t="shared" si="1"/>
        <v>58.860000000000007</v>
      </c>
      <c r="Y13" s="640"/>
      <c r="Z13" s="640"/>
    </row>
    <row r="14" spans="2:26" x14ac:dyDescent="0.2">
      <c r="B14" s="794" t="s">
        <v>374</v>
      </c>
      <c r="C14" s="795" t="s">
        <v>368</v>
      </c>
      <c r="D14" s="796" t="s">
        <v>370</v>
      </c>
      <c r="E14" s="796"/>
      <c r="F14" s="797" t="s">
        <v>371</v>
      </c>
      <c r="G14" s="797"/>
      <c r="H14" s="796" t="s">
        <v>372</v>
      </c>
      <c r="I14" s="796"/>
      <c r="J14" s="796" t="s">
        <v>373</v>
      </c>
      <c r="K14" s="796"/>
      <c r="Q14" s="250" t="s">
        <v>386</v>
      </c>
      <c r="R14" s="637">
        <f>53+R1</f>
        <v>54</v>
      </c>
      <c r="S14" s="636">
        <v>0.01</v>
      </c>
      <c r="T14" s="636">
        <v>0.01</v>
      </c>
      <c r="U14" s="636">
        <v>0.02</v>
      </c>
      <c r="V14" s="636">
        <v>0.05</v>
      </c>
      <c r="W14" s="636">
        <f t="shared" si="7"/>
        <v>0.09</v>
      </c>
      <c r="X14" s="598">
        <f t="shared" si="1"/>
        <v>58.860000000000007</v>
      </c>
      <c r="Y14" s="640"/>
      <c r="Z14" s="640"/>
    </row>
    <row r="15" spans="2:26" x14ac:dyDescent="0.2">
      <c r="B15" s="794"/>
      <c r="C15" s="795"/>
      <c r="D15" s="601" t="s">
        <v>369</v>
      </c>
      <c r="E15" s="601" t="s">
        <v>298</v>
      </c>
      <c r="F15" s="677" t="s">
        <v>369</v>
      </c>
      <c r="G15" s="677" t="s">
        <v>298</v>
      </c>
      <c r="H15" s="601" t="s">
        <v>369</v>
      </c>
      <c r="I15" s="601" t="s">
        <v>298</v>
      </c>
      <c r="J15" s="601" t="s">
        <v>369</v>
      </c>
      <c r="K15" s="601" t="s">
        <v>298</v>
      </c>
      <c r="Q15" s="250" t="s">
        <v>387</v>
      </c>
      <c r="R15" s="637"/>
      <c r="S15" s="250"/>
      <c r="T15" s="250"/>
      <c r="U15" s="250"/>
      <c r="V15" s="250"/>
      <c r="W15" s="250"/>
      <c r="X15" s="598">
        <v>200</v>
      </c>
      <c r="Y15" s="640"/>
      <c r="Z15" s="640"/>
    </row>
    <row r="16" spans="2:26" x14ac:dyDescent="0.2">
      <c r="B16" s="794"/>
      <c r="C16" s="295"/>
      <c r="D16" s="594"/>
      <c r="E16" s="595"/>
      <c r="F16" s="678"/>
      <c r="G16" s="679"/>
      <c r="H16" s="596"/>
      <c r="I16" s="595"/>
      <c r="J16" s="596"/>
      <c r="K16" s="595"/>
      <c r="P16" s="638" t="s">
        <v>410</v>
      </c>
      <c r="Q16" s="591" t="s">
        <v>284</v>
      </c>
      <c r="R16" s="637"/>
      <c r="S16" s="634"/>
      <c r="T16" s="634"/>
      <c r="U16" s="634"/>
      <c r="V16" s="634"/>
      <c r="W16" s="634"/>
      <c r="X16" s="598">
        <v>1800</v>
      </c>
      <c r="Y16" s="640"/>
      <c r="Z16" s="640"/>
    </row>
    <row r="17" spans="2:26" x14ac:dyDescent="0.2">
      <c r="B17" s="794"/>
      <c r="C17" s="295" t="s">
        <v>222</v>
      </c>
      <c r="D17" s="594">
        <f>+(1*0.114*1*7.85)</f>
        <v>0.89490000000000003</v>
      </c>
      <c r="E17" s="595">
        <f>+D17*$X$5</f>
        <v>58.410123000000013</v>
      </c>
      <c r="F17" s="678">
        <f>+(1*0.133*1*7.85)</f>
        <v>1.0440499999999999</v>
      </c>
      <c r="G17" s="679">
        <f>+F17*$X$5</f>
        <v>68.145143500000003</v>
      </c>
      <c r="H17" s="596">
        <f>+(1*0.174*1*7.85)</f>
        <v>1.3658999999999999</v>
      </c>
      <c r="I17" s="595">
        <f>+H17*$X$5</f>
        <v>89.152293</v>
      </c>
      <c r="J17" s="596">
        <f>+(1*0.114*1*7.85)</f>
        <v>0.89490000000000003</v>
      </c>
      <c r="K17" s="595">
        <f>+J17*$X$5</f>
        <v>58.410123000000013</v>
      </c>
      <c r="Q17" s="591" t="s">
        <v>285</v>
      </c>
      <c r="R17" s="637"/>
      <c r="S17" s="634"/>
      <c r="T17" s="634"/>
      <c r="U17" s="634"/>
      <c r="V17" s="634"/>
      <c r="W17" s="634"/>
      <c r="X17" s="598">
        <v>600</v>
      </c>
      <c r="Y17" s="640"/>
      <c r="Z17" s="640"/>
    </row>
    <row r="18" spans="2:26" x14ac:dyDescent="0.2">
      <c r="B18" s="794"/>
      <c r="C18" s="295"/>
      <c r="D18" s="594"/>
      <c r="E18" s="595"/>
      <c r="F18" s="678"/>
      <c r="G18" s="679"/>
      <c r="H18" s="596"/>
      <c r="I18" s="595"/>
      <c r="J18" s="596"/>
      <c r="K18" s="595"/>
      <c r="Q18" s="591" t="s">
        <v>290</v>
      </c>
      <c r="R18" s="637"/>
      <c r="S18" s="634"/>
      <c r="T18" s="634"/>
      <c r="U18" s="634"/>
      <c r="V18" s="634"/>
      <c r="W18" s="634"/>
      <c r="X18" s="598">
        <v>600</v>
      </c>
      <c r="Y18" s="640"/>
      <c r="Z18" s="640"/>
    </row>
    <row r="19" spans="2:26" x14ac:dyDescent="0.2">
      <c r="Q19" s="222"/>
      <c r="R19" s="222"/>
      <c r="S19" s="222"/>
      <c r="T19" s="222"/>
      <c r="U19" s="222"/>
      <c r="V19" s="222"/>
      <c r="W19" s="222"/>
      <c r="X19" s="222"/>
    </row>
    <row r="20" spans="2:26" x14ac:dyDescent="0.2">
      <c r="B20" s="222"/>
      <c r="C20" s="222"/>
      <c r="D20" s="222"/>
      <c r="E20" s="222"/>
      <c r="F20" s="222"/>
      <c r="G20" s="791" t="s">
        <v>247</v>
      </c>
      <c r="H20" s="791"/>
      <c r="I20" s="791"/>
      <c r="J20" s="791" t="s">
        <v>248</v>
      </c>
      <c r="K20" s="791"/>
      <c r="L20" s="791"/>
      <c r="Q20" s="222"/>
      <c r="R20" s="222"/>
      <c r="S20" s="222"/>
      <c r="T20" s="222"/>
      <c r="U20" s="222"/>
      <c r="V20" s="222"/>
      <c r="W20" s="222"/>
      <c r="X20" s="222"/>
    </row>
    <row r="21" spans="2:26" ht="51" x14ac:dyDescent="0.2">
      <c r="B21" s="782" t="s">
        <v>375</v>
      </c>
      <c r="C21" s="601"/>
      <c r="D21" s="602" t="s">
        <v>167</v>
      </c>
      <c r="E21" s="603" t="s">
        <v>251</v>
      </c>
      <c r="F21" s="603" t="s">
        <v>168</v>
      </c>
      <c r="G21" s="602" t="s">
        <v>376</v>
      </c>
      <c r="H21" s="603" t="s">
        <v>377</v>
      </c>
      <c r="I21" s="603" t="s">
        <v>378</v>
      </c>
      <c r="J21" s="602" t="s">
        <v>379</v>
      </c>
      <c r="K21" s="603" t="s">
        <v>380</v>
      </c>
      <c r="L21" s="603" t="s">
        <v>381</v>
      </c>
      <c r="Q21" s="222"/>
      <c r="R21" s="222"/>
      <c r="S21" s="222"/>
      <c r="T21" s="222"/>
      <c r="U21" s="222"/>
      <c r="V21" s="222"/>
      <c r="W21" s="222"/>
      <c r="X21" s="222"/>
    </row>
    <row r="22" spans="2:26" x14ac:dyDescent="0.2">
      <c r="B22" s="783"/>
      <c r="C22" s="654" t="s">
        <v>427</v>
      </c>
      <c r="D22" s="591">
        <v>4.2300000000000004</v>
      </c>
      <c r="E22" s="591">
        <v>4.2300000000000004</v>
      </c>
      <c r="F22" s="680">
        <f>0.38*1*2*7.86</f>
        <v>5.9736000000000002</v>
      </c>
      <c r="G22" s="595">
        <f>+D22*$X$6</f>
        <v>237.30300000000003</v>
      </c>
      <c r="H22" s="595">
        <f>(+E22*$X$6)+$X$8</f>
        <v>346.30300000000005</v>
      </c>
      <c r="I22" s="680">
        <f>(+F22*$X$6)</f>
        <v>335.11896000000002</v>
      </c>
      <c r="J22" s="595">
        <f>+D22*$X$7</f>
        <v>251.26200000000006</v>
      </c>
      <c r="K22" s="595">
        <f>+(E22*$X$7)+$X$8</f>
        <v>360.26200000000006</v>
      </c>
      <c r="L22" s="680">
        <f>+(F22*$X$7)</f>
        <v>354.83184000000006</v>
      </c>
    </row>
    <row r="23" spans="2:26" x14ac:dyDescent="0.2">
      <c r="B23" s="783"/>
      <c r="C23" s="654" t="s">
        <v>428</v>
      </c>
      <c r="D23" s="591">
        <v>5.41</v>
      </c>
      <c r="E23" s="591">
        <v>5.41</v>
      </c>
      <c r="F23" s="249">
        <f>0.3*1*2.5*7.86</f>
        <v>5.8950000000000005</v>
      </c>
      <c r="G23" s="595">
        <f t="shared" ref="G23:G24" si="8">+D23*$X$6</f>
        <v>303.50100000000003</v>
      </c>
      <c r="H23" s="595">
        <f t="shared" ref="H23:H24" si="9">(+E23*$X$6)+$X$8</f>
        <v>412.50100000000003</v>
      </c>
      <c r="I23" s="595">
        <f>(+F23*$X$6)</f>
        <v>330.70950000000005</v>
      </c>
      <c r="J23" s="595">
        <f t="shared" ref="J23:J24" si="10">+D23*$X$7</f>
        <v>321.35400000000004</v>
      </c>
      <c r="K23" s="595">
        <f t="shared" ref="K23:K24" si="11">+(E23*$X$7)+$X$8</f>
        <v>430.35400000000004</v>
      </c>
      <c r="L23" s="595">
        <f t="shared" ref="L23:L24" si="12">+(F23*$X$7)+$X$8</f>
        <v>459.16300000000007</v>
      </c>
    </row>
    <row r="24" spans="2:26" x14ac:dyDescent="0.2">
      <c r="B24" s="784"/>
      <c r="C24" s="654" t="s">
        <v>429</v>
      </c>
      <c r="D24" s="591">
        <v>7.77</v>
      </c>
      <c r="E24" s="591">
        <v>7.77</v>
      </c>
      <c r="F24" s="249">
        <f>0.3*1*3*7.86</f>
        <v>7.0739999999999998</v>
      </c>
      <c r="G24" s="595">
        <f t="shared" si="8"/>
        <v>435.89699999999999</v>
      </c>
      <c r="H24" s="595">
        <f t="shared" si="9"/>
        <v>544.89700000000005</v>
      </c>
      <c r="I24" s="595">
        <f>(+F24*$X$6)</f>
        <v>396.85140000000001</v>
      </c>
      <c r="J24" s="595">
        <f t="shared" si="10"/>
        <v>461.53800000000001</v>
      </c>
      <c r="K24" s="595">
        <f t="shared" si="11"/>
        <v>570.53800000000001</v>
      </c>
      <c r="L24" s="595">
        <f t="shared" si="12"/>
        <v>529.19560000000001</v>
      </c>
    </row>
    <row r="26" spans="2:26" ht="25.5" x14ac:dyDescent="0.2">
      <c r="B26" s="792" t="s">
        <v>169</v>
      </c>
      <c r="C26" s="643" t="s">
        <v>169</v>
      </c>
      <c r="D26" s="604" t="s">
        <v>306</v>
      </c>
      <c r="E26" s="602" t="s">
        <v>259</v>
      </c>
      <c r="F26" s="603" t="s">
        <v>260</v>
      </c>
      <c r="G26" s="246" t="s">
        <v>91</v>
      </c>
      <c r="H26" s="605" t="s">
        <v>212</v>
      </c>
    </row>
    <row r="27" spans="2:26" x14ac:dyDescent="0.2">
      <c r="B27" s="793"/>
      <c r="C27" s="634" t="s">
        <v>411</v>
      </c>
      <c r="D27" s="249">
        <f>+(0.12*1*3*7.86)+2.6</f>
        <v>5.4296000000000006</v>
      </c>
      <c r="E27" s="595">
        <f>+D27*$X$9</f>
        <v>312.907848</v>
      </c>
      <c r="F27" s="595">
        <f>+D27*$X$10</f>
        <v>331.31419199999999</v>
      </c>
      <c r="G27" s="591" t="s">
        <v>92</v>
      </c>
      <c r="H27" s="298" t="s">
        <v>213</v>
      </c>
    </row>
    <row r="28" spans="2:26" x14ac:dyDescent="0.2">
      <c r="B28" s="793"/>
      <c r="C28" s="649" t="s">
        <v>425</v>
      </c>
      <c r="D28" s="249">
        <f>+(0.12*1*3*7.86)+3</f>
        <v>5.8296000000000001</v>
      </c>
      <c r="E28" s="595">
        <f t="shared" ref="E28:E29" si="13">+D28*$X$9</f>
        <v>335.95984799999997</v>
      </c>
      <c r="F28" s="595">
        <f t="shared" ref="F28:F29" si="14">+D28*$X$10</f>
        <v>355.72219200000001</v>
      </c>
      <c r="G28" s="591" t="s">
        <v>92</v>
      </c>
      <c r="H28" s="298" t="s">
        <v>214</v>
      </c>
    </row>
    <row r="29" spans="2:26" x14ac:dyDescent="0.2">
      <c r="B29" s="793"/>
      <c r="C29" s="319" t="s">
        <v>426</v>
      </c>
      <c r="D29" s="249">
        <f>+(0.12*1*3*7.86)+4.47</f>
        <v>7.2995999999999999</v>
      </c>
      <c r="E29" s="595">
        <f t="shared" si="13"/>
        <v>420.67594799999995</v>
      </c>
      <c r="F29" s="595">
        <f t="shared" si="14"/>
        <v>445.42159199999998</v>
      </c>
      <c r="G29" s="319" t="s">
        <v>92</v>
      </c>
      <c r="H29" s="591" t="s">
        <v>215</v>
      </c>
    </row>
    <row r="31" spans="2:26" x14ac:dyDescent="0.2">
      <c r="G31" s="197"/>
    </row>
    <row r="32" spans="2:26" x14ac:dyDescent="0.2">
      <c r="B32" s="787" t="s">
        <v>35</v>
      </c>
      <c r="C32" s="593" t="s">
        <v>309</v>
      </c>
      <c r="D32" s="319" t="s">
        <v>307</v>
      </c>
      <c r="E32" s="319" t="s">
        <v>308</v>
      </c>
      <c r="F32" s="319"/>
      <c r="G32" s="607">
        <v>0</v>
      </c>
      <c r="H32" s="319" t="s">
        <v>382</v>
      </c>
      <c r="I32" s="319"/>
    </row>
    <row r="33" spans="1:9" x14ac:dyDescent="0.2">
      <c r="B33" s="787"/>
      <c r="C33" s="612">
        <v>4</v>
      </c>
      <c r="D33" s="608">
        <v>12.5</v>
      </c>
      <c r="E33" s="609">
        <f t="shared" ref="E33:E39" si="15">+$X$11</f>
        <v>57.24</v>
      </c>
      <c r="F33" s="459">
        <f t="shared" ref="F33:F39" si="16">D33*E33</f>
        <v>715.5</v>
      </c>
      <c r="G33" s="459">
        <f>+F33*$G$32</f>
        <v>0</v>
      </c>
      <c r="H33" s="370">
        <f>F33+G33</f>
        <v>715.5</v>
      </c>
      <c r="I33" s="459" t="s">
        <v>75</v>
      </c>
    </row>
    <row r="34" spans="1:9" x14ac:dyDescent="0.2">
      <c r="B34" s="787"/>
      <c r="C34" s="612">
        <v>5</v>
      </c>
      <c r="D34" s="608">
        <v>16.649999999999999</v>
      </c>
      <c r="E34" s="609">
        <f t="shared" si="15"/>
        <v>57.24</v>
      </c>
      <c r="F34" s="459">
        <f t="shared" si="16"/>
        <v>953.04599999999994</v>
      </c>
      <c r="G34" s="459">
        <f t="shared" ref="G34:G39" si="17">+F34*$G$32</f>
        <v>0</v>
      </c>
      <c r="H34" s="370">
        <f>F34+G34</f>
        <v>953.04599999999994</v>
      </c>
      <c r="I34" s="459" t="s">
        <v>75</v>
      </c>
    </row>
    <row r="35" spans="1:9" x14ac:dyDescent="0.2">
      <c r="B35" s="787"/>
      <c r="C35" s="612">
        <v>6</v>
      </c>
      <c r="D35" s="608">
        <v>19.37</v>
      </c>
      <c r="E35" s="609">
        <f t="shared" si="15"/>
        <v>57.24</v>
      </c>
      <c r="F35" s="459">
        <f t="shared" si="16"/>
        <v>1108.7388000000001</v>
      </c>
      <c r="G35" s="459">
        <f t="shared" si="17"/>
        <v>0</v>
      </c>
      <c r="H35" s="370">
        <f>F35+G35</f>
        <v>1108.7388000000001</v>
      </c>
      <c r="I35" s="459" t="s">
        <v>75</v>
      </c>
    </row>
    <row r="36" spans="1:9" x14ac:dyDescent="0.2">
      <c r="B36" s="787"/>
      <c r="C36" s="612">
        <v>8</v>
      </c>
      <c r="D36" s="608">
        <v>23.43</v>
      </c>
      <c r="E36" s="609">
        <f t="shared" si="15"/>
        <v>57.24</v>
      </c>
      <c r="F36" s="459">
        <f t="shared" si="16"/>
        <v>1341.1332</v>
      </c>
      <c r="G36" s="459">
        <f t="shared" si="17"/>
        <v>0</v>
      </c>
      <c r="H36" s="370">
        <f>F36+G36</f>
        <v>1341.1332</v>
      </c>
      <c r="I36" s="459" t="s">
        <v>75</v>
      </c>
    </row>
    <row r="37" spans="1:9" x14ac:dyDescent="0.2">
      <c r="B37" s="787"/>
      <c r="C37" s="613">
        <v>10</v>
      </c>
      <c r="D37" s="610">
        <v>26.51</v>
      </c>
      <c r="E37" s="609">
        <f t="shared" si="15"/>
        <v>57.24</v>
      </c>
      <c r="F37" s="459">
        <f t="shared" si="16"/>
        <v>1517.4324000000001</v>
      </c>
      <c r="G37" s="459">
        <f t="shared" si="17"/>
        <v>0</v>
      </c>
      <c r="H37" s="370">
        <f>F37+G37</f>
        <v>1517.4324000000001</v>
      </c>
      <c r="I37" s="591" t="s">
        <v>75</v>
      </c>
    </row>
    <row r="38" spans="1:9" x14ac:dyDescent="0.2">
      <c r="B38" s="787"/>
      <c r="C38" s="613">
        <v>12</v>
      </c>
      <c r="D38" s="610">
        <v>31.44</v>
      </c>
      <c r="E38" s="609">
        <f t="shared" si="15"/>
        <v>57.24</v>
      </c>
      <c r="F38" s="459">
        <f t="shared" si="16"/>
        <v>1799.6256000000001</v>
      </c>
      <c r="G38" s="459">
        <f t="shared" si="17"/>
        <v>0</v>
      </c>
      <c r="H38" s="370">
        <f>SUM(F38:G38)</f>
        <v>1799.6256000000001</v>
      </c>
      <c r="I38" s="591" t="s">
        <v>75</v>
      </c>
    </row>
    <row r="39" spans="1:9" x14ac:dyDescent="0.2">
      <c r="B39" s="787"/>
      <c r="C39" s="613">
        <v>14</v>
      </c>
      <c r="D39" s="610">
        <v>37.61</v>
      </c>
      <c r="E39" s="609">
        <f t="shared" si="15"/>
        <v>57.24</v>
      </c>
      <c r="F39" s="459">
        <f t="shared" si="16"/>
        <v>2152.7964000000002</v>
      </c>
      <c r="G39" s="459">
        <f t="shared" si="17"/>
        <v>0</v>
      </c>
      <c r="H39" s="370">
        <f>SUM(F39:G39)</f>
        <v>2152.7964000000002</v>
      </c>
      <c r="I39" s="591" t="s">
        <v>75</v>
      </c>
    </row>
    <row r="41" spans="1:9" x14ac:dyDescent="0.2">
      <c r="B41" s="787" t="s">
        <v>72</v>
      </c>
      <c r="C41" s="617" t="s">
        <v>302</v>
      </c>
      <c r="D41" s="222"/>
      <c r="E41" s="617"/>
      <c r="F41" s="617"/>
      <c r="G41" s="197"/>
      <c r="H41" s="197"/>
      <c r="I41" s="197"/>
    </row>
    <row r="42" spans="1:9" ht="12.75" customHeight="1" x14ac:dyDescent="0.2">
      <c r="B42" s="787"/>
      <c r="C42" s="608">
        <v>12</v>
      </c>
      <c r="D42" s="547" t="s">
        <v>44</v>
      </c>
      <c r="E42" s="644">
        <v>1400</v>
      </c>
      <c r="F42" s="459" t="s">
        <v>45</v>
      </c>
    </row>
    <row r="43" spans="1:9" x14ac:dyDescent="0.2">
      <c r="B43" s="787"/>
      <c r="C43" s="608">
        <v>24</v>
      </c>
      <c r="D43" s="547" t="s">
        <v>44</v>
      </c>
      <c r="E43" s="644">
        <v>1600</v>
      </c>
      <c r="F43" s="459" t="s">
        <v>45</v>
      </c>
    </row>
    <row r="44" spans="1:9" x14ac:dyDescent="0.2">
      <c r="B44" s="787"/>
      <c r="C44" s="618">
        <v>48</v>
      </c>
      <c r="D44" s="547" t="s">
        <v>44</v>
      </c>
      <c r="E44" s="644">
        <v>1800</v>
      </c>
      <c r="F44" s="459" t="s">
        <v>45</v>
      </c>
    </row>
    <row r="45" spans="1:9" x14ac:dyDescent="0.2">
      <c r="B45" s="787"/>
      <c r="C45" s="618">
        <v>64</v>
      </c>
      <c r="D45" s="547" t="s">
        <v>44</v>
      </c>
      <c r="E45" s="644">
        <v>2200</v>
      </c>
      <c r="F45" s="459" t="s">
        <v>45</v>
      </c>
    </row>
    <row r="46" spans="1:9" x14ac:dyDescent="0.2">
      <c r="A46" s="648" t="s">
        <v>423</v>
      </c>
      <c r="B46" s="787"/>
      <c r="C46" s="618">
        <v>90</v>
      </c>
      <c r="D46" s="555" t="s">
        <v>44</v>
      </c>
      <c r="E46" s="644">
        <v>2500</v>
      </c>
      <c r="F46" s="459" t="s">
        <v>45</v>
      </c>
    </row>
    <row r="47" spans="1:9" x14ac:dyDescent="0.2">
      <c r="B47" s="787"/>
      <c r="C47" s="618">
        <f>+C46+24</f>
        <v>114</v>
      </c>
      <c r="D47" s="555" t="s">
        <v>44</v>
      </c>
      <c r="E47" s="644">
        <v>3000</v>
      </c>
      <c r="F47" s="459" t="s">
        <v>45</v>
      </c>
    </row>
    <row r="48" spans="1:9" x14ac:dyDescent="0.2">
      <c r="B48" s="787"/>
      <c r="C48" s="618">
        <f t="shared" ref="C48" si="18">+C47+24</f>
        <v>138</v>
      </c>
      <c r="D48" s="555" t="s">
        <v>44</v>
      </c>
      <c r="E48" s="644">
        <v>3000</v>
      </c>
      <c r="F48" s="459" t="s">
        <v>45</v>
      </c>
    </row>
    <row r="49" spans="1:11" x14ac:dyDescent="0.2">
      <c r="B49" s="787"/>
      <c r="C49" s="618">
        <f>+C48+30.01</f>
        <v>168.01</v>
      </c>
      <c r="D49" s="555" t="s">
        <v>44</v>
      </c>
      <c r="E49" s="644">
        <v>3000</v>
      </c>
      <c r="F49" s="459" t="s">
        <v>45</v>
      </c>
    </row>
    <row r="51" spans="1:11" ht="12.75" customHeight="1" x14ac:dyDescent="0.2">
      <c r="B51" s="788" t="s">
        <v>171</v>
      </c>
      <c r="C51" s="191" t="s">
        <v>270</v>
      </c>
      <c r="D51" s="191" t="s">
        <v>76</v>
      </c>
      <c r="E51" s="191" t="s">
        <v>77</v>
      </c>
      <c r="F51" s="645" t="s">
        <v>71</v>
      </c>
      <c r="G51" s="645" t="s">
        <v>170</v>
      </c>
      <c r="H51" s="191" t="s">
        <v>49</v>
      </c>
    </row>
    <row r="52" spans="1:11" x14ac:dyDescent="0.2">
      <c r="B52" s="789"/>
      <c r="C52" s="624">
        <v>400</v>
      </c>
      <c r="D52" s="681">
        <v>4</v>
      </c>
      <c r="E52" s="683">
        <f>((0.4*0.4*4*7.86)*2)+((0.4*0.16*4*7.86)*2)+((0.05*0.3*5*7.86)*2)+(0.05*0.15*4*7.86)</f>
        <v>15.499920000000003</v>
      </c>
      <c r="F52" s="646">
        <f>+E52*$X$12</f>
        <v>861.64055280000025</v>
      </c>
      <c r="G52" s="646">
        <f>+E52*$X$13</f>
        <v>912.32529120000027</v>
      </c>
      <c r="H52" s="222" t="s">
        <v>79</v>
      </c>
      <c r="K52" s="623"/>
    </row>
    <row r="53" spans="1:11" x14ac:dyDescent="0.2">
      <c r="B53" s="789"/>
      <c r="C53" s="624">
        <v>450</v>
      </c>
      <c r="D53" s="681">
        <v>4</v>
      </c>
      <c r="E53" s="683">
        <f>((0.45*0.45*4*7.86)*2)+((0.45*0.16*4*7.86)*2)+((0.05*0.3*4*7.86)*2)+(0.05*0.15*4*7.86)</f>
        <v>18.439560000000004</v>
      </c>
      <c r="F53" s="646">
        <f t="shared" ref="F53:F57" si="19">+E53*$X$12</f>
        <v>1025.0551404000003</v>
      </c>
      <c r="G53" s="646">
        <f t="shared" ref="G53:G57" si="20">+E53*$X$13</f>
        <v>1085.3525016000003</v>
      </c>
      <c r="H53" s="222" t="s">
        <v>79</v>
      </c>
      <c r="K53" s="623"/>
    </row>
    <row r="54" spans="1:11" x14ac:dyDescent="0.2">
      <c r="A54" s="648" t="s">
        <v>423</v>
      </c>
      <c r="B54" s="789"/>
      <c r="C54" s="624">
        <v>525</v>
      </c>
      <c r="D54" s="681">
        <v>6</v>
      </c>
      <c r="E54" s="683">
        <f>((0.525*0.525*6*7.86)*2)+((0.525*0.16*6*7.86)*2)+((0.05*0.3*6*7.86)*2)+(0.05*0.15*6*7.86)</f>
        <v>35.688330000000008</v>
      </c>
      <c r="F54" s="646">
        <f t="shared" si="19"/>
        <v>1983.9142647000006</v>
      </c>
      <c r="G54" s="646">
        <f t="shared" si="20"/>
        <v>2100.6151038000007</v>
      </c>
      <c r="H54" s="222" t="s">
        <v>79</v>
      </c>
      <c r="K54" s="623"/>
    </row>
    <row r="55" spans="1:11" x14ac:dyDescent="0.2">
      <c r="A55" s="648" t="s">
        <v>424</v>
      </c>
      <c r="B55" s="789"/>
      <c r="C55" s="624">
        <v>600</v>
      </c>
      <c r="D55" s="681">
        <v>6</v>
      </c>
      <c r="E55" s="683">
        <f>((0.6*0.6*6*7.86)*2)+((0.6*0.16*6*7.86)*2)+((0.05*0.4*6*7.86)*2)+(0.05*0.2*6*7.86)</f>
        <v>45.367920000000012</v>
      </c>
      <c r="F55" s="646">
        <f t="shared" si="19"/>
        <v>2522.0026728000007</v>
      </c>
      <c r="G55" s="646">
        <f t="shared" si="20"/>
        <v>2670.3557712000011</v>
      </c>
      <c r="H55" s="222" t="s">
        <v>79</v>
      </c>
      <c r="K55" s="623"/>
    </row>
    <row r="56" spans="1:11" x14ac:dyDescent="0.2">
      <c r="B56" s="789"/>
      <c r="C56" s="624">
        <v>675</v>
      </c>
      <c r="D56" s="681">
        <v>6</v>
      </c>
      <c r="E56" s="683">
        <f>((0.675*0.675*6*7.86)*2)+((0.675*0.16*6*7.86)*2)+((0.05*0.4*6*7.86)*2)+(0.05*0.2*6*7.86)</f>
        <v>55.519110000000012</v>
      </c>
      <c r="F56" s="646">
        <f t="shared" si="19"/>
        <v>3086.3073249000008</v>
      </c>
      <c r="G56" s="646">
        <f t="shared" si="20"/>
        <v>3267.8548146000012</v>
      </c>
      <c r="H56" s="222" t="s">
        <v>79</v>
      </c>
      <c r="K56" s="623"/>
    </row>
    <row r="57" spans="1:11" x14ac:dyDescent="0.2">
      <c r="B57" s="790"/>
      <c r="C57" s="625">
        <v>750</v>
      </c>
      <c r="D57" s="682">
        <v>6</v>
      </c>
      <c r="E57" s="683">
        <f>((0.75*0.75*6*7.86)*2)+((0.75*0.16*6*7.86)*2)+((0.05*0.4*6*7.86)*2)+(0.05*0.2*6*7.86)</f>
        <v>66.731399999999994</v>
      </c>
      <c r="F57" s="646">
        <f t="shared" si="19"/>
        <v>3709.5985259999998</v>
      </c>
      <c r="G57" s="646">
        <f t="shared" si="20"/>
        <v>3927.8102039999999</v>
      </c>
      <c r="H57" s="222" t="s">
        <v>79</v>
      </c>
      <c r="K57" s="623"/>
    </row>
    <row r="59" spans="1:11" x14ac:dyDescent="0.2">
      <c r="B59" s="787" t="s">
        <v>37</v>
      </c>
      <c r="C59" s="547" t="s">
        <v>385</v>
      </c>
      <c r="D59" s="222"/>
      <c r="E59" s="222"/>
      <c r="F59" s="222"/>
    </row>
    <row r="60" spans="1:11" x14ac:dyDescent="0.2">
      <c r="B60" s="787"/>
      <c r="C60" s="624">
        <v>12</v>
      </c>
      <c r="D60" s="222" t="s">
        <v>44</v>
      </c>
      <c r="E60" s="644">
        <v>400</v>
      </c>
      <c r="F60" s="222" t="s">
        <v>45</v>
      </c>
      <c r="G60">
        <v>1200</v>
      </c>
    </row>
    <row r="61" spans="1:11" x14ac:dyDescent="0.2">
      <c r="A61" s="639"/>
      <c r="B61" s="787"/>
      <c r="C61" s="624">
        <v>24</v>
      </c>
      <c r="D61" s="222" t="s">
        <v>44</v>
      </c>
      <c r="E61" s="644">
        <v>600</v>
      </c>
      <c r="F61" s="222" t="s">
        <v>45</v>
      </c>
      <c r="G61">
        <v>1500</v>
      </c>
    </row>
    <row r="62" spans="1:11" x14ac:dyDescent="0.2">
      <c r="A62" s="648" t="s">
        <v>423</v>
      </c>
      <c r="B62" s="787"/>
      <c r="C62" s="624">
        <v>36</v>
      </c>
      <c r="D62" s="222" t="s">
        <v>44</v>
      </c>
      <c r="E62" s="644">
        <v>1000</v>
      </c>
      <c r="F62" s="222" t="s">
        <v>45</v>
      </c>
      <c r="G62">
        <v>1800</v>
      </c>
    </row>
    <row r="63" spans="1:11" x14ac:dyDescent="0.2">
      <c r="B63" s="787"/>
      <c r="C63" s="624" t="s">
        <v>46</v>
      </c>
      <c r="D63" s="222" t="s">
        <v>44</v>
      </c>
      <c r="E63" s="644">
        <v>1000</v>
      </c>
      <c r="F63" s="222" t="s">
        <v>45</v>
      </c>
      <c r="G63">
        <v>2500</v>
      </c>
    </row>
    <row r="64" spans="1:11" x14ac:dyDescent="0.2">
      <c r="B64" s="787"/>
      <c r="C64" s="626" t="s">
        <v>101</v>
      </c>
      <c r="D64" s="223" t="s">
        <v>44</v>
      </c>
      <c r="E64" s="644">
        <v>1000</v>
      </c>
      <c r="F64" s="480" t="s">
        <v>13</v>
      </c>
      <c r="G64">
        <v>3000</v>
      </c>
    </row>
    <row r="66" spans="1:9" x14ac:dyDescent="0.2">
      <c r="B66" s="782" t="s">
        <v>273</v>
      </c>
      <c r="C66" s="785" t="s">
        <v>276</v>
      </c>
      <c r="D66" s="781" t="s">
        <v>433</v>
      </c>
      <c r="E66" s="781"/>
      <c r="F66" s="781" t="s">
        <v>275</v>
      </c>
      <c r="G66" s="781"/>
      <c r="H66" s="16"/>
      <c r="I66" s="16"/>
    </row>
    <row r="67" spans="1:9" ht="12.75" customHeight="1" x14ac:dyDescent="0.2">
      <c r="A67" s="638"/>
      <c r="B67" s="783"/>
      <c r="C67" s="786"/>
      <c r="D67" s="319" t="s">
        <v>277</v>
      </c>
      <c r="E67" s="319"/>
      <c r="F67" s="319" t="s">
        <v>277</v>
      </c>
      <c r="G67" s="630" t="s">
        <v>275</v>
      </c>
    </row>
    <row r="68" spans="1:9" x14ac:dyDescent="0.2">
      <c r="B68" s="783"/>
      <c r="C68" s="222">
        <v>400</v>
      </c>
      <c r="D68" s="684">
        <f>+(0.4+0.4+0.3)*0.7*7.86</f>
        <v>6.0522</v>
      </c>
      <c r="E68" s="685">
        <f>+D68*$X$14</f>
        <v>356.23249200000004</v>
      </c>
      <c r="F68" s="684">
        <f>+(0.4+0.4+0.3)*0.8*7.86</f>
        <v>6.9168000000000012</v>
      </c>
      <c r="G68" s="686">
        <f>+F68*$X$14</f>
        <v>407.12284800000009</v>
      </c>
    </row>
    <row r="69" spans="1:9" x14ac:dyDescent="0.2">
      <c r="B69" s="783"/>
      <c r="C69" s="222">
        <v>450</v>
      </c>
      <c r="D69" s="684">
        <f>+(0.45+0.45+0.35)*0.7*7.86</f>
        <v>6.8775000000000004</v>
      </c>
      <c r="E69" s="685">
        <f t="shared" ref="E69:E73" si="21">+D69*$X$14</f>
        <v>404.80965000000009</v>
      </c>
      <c r="F69" s="684">
        <f>+(0.45+0.45+0.35)*0.8*7.86</f>
        <v>7.86</v>
      </c>
      <c r="G69" s="686">
        <f t="shared" ref="G69:G73" si="22">+F69*$X$14</f>
        <v>462.63960000000009</v>
      </c>
    </row>
    <row r="70" spans="1:9" x14ac:dyDescent="0.2">
      <c r="B70" s="783"/>
      <c r="C70" s="222">
        <v>525</v>
      </c>
      <c r="D70" s="684">
        <f>+(0.525+0.525+0.425)*0.7*7.86</f>
        <v>8.1154500000000009</v>
      </c>
      <c r="E70" s="685">
        <f t="shared" si="21"/>
        <v>477.67538700000011</v>
      </c>
      <c r="F70" s="684">
        <f>+(0.525+0.525+0.425)*0.8*7.86</f>
        <v>9.2748000000000008</v>
      </c>
      <c r="G70" s="686">
        <f t="shared" si="22"/>
        <v>545.91472800000008</v>
      </c>
    </row>
    <row r="71" spans="1:9" x14ac:dyDescent="0.2">
      <c r="B71" s="783"/>
      <c r="C71" s="222">
        <v>600</v>
      </c>
      <c r="D71" s="684">
        <f>+(0.6+0.6+0.5)*0.7*7.86</f>
        <v>9.3534000000000006</v>
      </c>
      <c r="E71" s="685">
        <f t="shared" si="21"/>
        <v>550.54112400000008</v>
      </c>
      <c r="F71" s="684">
        <f>+(0.6+0.6+0.5)*0.8*7.86</f>
        <v>10.6896</v>
      </c>
      <c r="G71" s="686">
        <f t="shared" si="22"/>
        <v>629.18985600000008</v>
      </c>
    </row>
    <row r="72" spans="1:9" x14ac:dyDescent="0.2">
      <c r="B72" s="783"/>
      <c r="C72" s="222">
        <v>675</v>
      </c>
      <c r="D72" s="684">
        <f>+(0.675+0.675+0.575)*0.7*7.86</f>
        <v>10.59135</v>
      </c>
      <c r="E72" s="685">
        <f t="shared" si="21"/>
        <v>623.40686100000005</v>
      </c>
      <c r="F72" s="684">
        <f>+(0.675+0.675+0.575)*0.8*7.86</f>
        <v>12.1044</v>
      </c>
      <c r="G72" s="686">
        <f t="shared" si="22"/>
        <v>712.46498400000007</v>
      </c>
    </row>
    <row r="73" spans="1:9" x14ac:dyDescent="0.2">
      <c r="B73" s="784"/>
      <c r="C73" s="459">
        <v>750</v>
      </c>
      <c r="D73" s="684">
        <f>+(0.75+0.75+0.65)*0.7*7.86</f>
        <v>11.8293</v>
      </c>
      <c r="E73" s="685">
        <f t="shared" si="21"/>
        <v>696.27259800000002</v>
      </c>
      <c r="F73" s="684">
        <f>+(0.75+0.75+0.65)*0.8*7.86</f>
        <v>13.5192</v>
      </c>
      <c r="G73" s="686">
        <f t="shared" si="22"/>
        <v>795.74011200000007</v>
      </c>
    </row>
    <row r="75" spans="1:9" x14ac:dyDescent="0.2">
      <c r="B75" s="787" t="s">
        <v>43</v>
      </c>
      <c r="C75" s="223" t="s">
        <v>44</v>
      </c>
      <c r="D75" s="223"/>
      <c r="E75" s="223"/>
    </row>
    <row r="76" spans="1:9" x14ac:dyDescent="0.2">
      <c r="B76" s="787"/>
      <c r="C76" s="223">
        <v>12</v>
      </c>
      <c r="D76" s="223">
        <v>500</v>
      </c>
      <c r="E76" s="223" t="s">
        <v>45</v>
      </c>
    </row>
    <row r="77" spans="1:9" x14ac:dyDescent="0.2">
      <c r="A77" s="638"/>
      <c r="B77" s="787"/>
      <c r="C77" s="223">
        <v>24</v>
      </c>
      <c r="D77" s="223">
        <v>1000</v>
      </c>
      <c r="E77" s="223" t="s">
        <v>45</v>
      </c>
    </row>
    <row r="78" spans="1:9" x14ac:dyDescent="0.2">
      <c r="B78" s="787"/>
      <c r="C78" s="223">
        <v>36</v>
      </c>
      <c r="D78" s="480">
        <v>1500</v>
      </c>
      <c r="E78" s="480" t="s">
        <v>45</v>
      </c>
    </row>
    <row r="79" spans="1:9" x14ac:dyDescent="0.2">
      <c r="B79" s="787"/>
      <c r="C79" s="484" t="s">
        <v>46</v>
      </c>
      <c r="D79" s="480">
        <v>1750</v>
      </c>
      <c r="E79" s="480" t="s">
        <v>45</v>
      </c>
    </row>
    <row r="81" spans="2:5" ht="12.75" customHeight="1" x14ac:dyDescent="0.2">
      <c r="B81" s="779" t="s">
        <v>48</v>
      </c>
      <c r="C81" s="223" t="s">
        <v>44</v>
      </c>
      <c r="D81" s="223"/>
      <c r="E81" s="223"/>
    </row>
    <row r="82" spans="2:5" x14ac:dyDescent="0.2">
      <c r="B82" s="779"/>
      <c r="C82" s="223">
        <v>12</v>
      </c>
      <c r="D82" s="223">
        <v>550</v>
      </c>
      <c r="E82" s="223" t="s">
        <v>47</v>
      </c>
    </row>
    <row r="83" spans="2:5" x14ac:dyDescent="0.2">
      <c r="B83" s="779"/>
      <c r="C83" s="223">
        <v>24</v>
      </c>
      <c r="D83" s="223">
        <v>450</v>
      </c>
      <c r="E83" s="223" t="s">
        <v>47</v>
      </c>
    </row>
    <row r="84" spans="2:5" x14ac:dyDescent="0.2">
      <c r="B84" s="779"/>
      <c r="C84" s="223">
        <v>36</v>
      </c>
      <c r="D84" s="223">
        <v>350</v>
      </c>
      <c r="E84" s="223" t="s">
        <v>47</v>
      </c>
    </row>
    <row r="85" spans="2:5" x14ac:dyDescent="0.2">
      <c r="B85" s="779"/>
      <c r="C85" s="484" t="s">
        <v>46</v>
      </c>
      <c r="D85" s="223">
        <v>330</v>
      </c>
      <c r="E85" s="223" t="s">
        <v>47</v>
      </c>
    </row>
    <row r="86" spans="2:5" x14ac:dyDescent="0.2">
      <c r="B86" s="779"/>
      <c r="C86" s="479" t="s">
        <v>101</v>
      </c>
      <c r="D86" s="480">
        <v>400</v>
      </c>
      <c r="E86" s="223" t="s">
        <v>47</v>
      </c>
    </row>
    <row r="88" spans="2:5" x14ac:dyDescent="0.2">
      <c r="B88" s="779" t="s">
        <v>388</v>
      </c>
      <c r="C88" s="593" t="s">
        <v>291</v>
      </c>
      <c r="D88" s="593" t="s">
        <v>286</v>
      </c>
    </row>
    <row r="89" spans="2:5" x14ac:dyDescent="0.2">
      <c r="B89" s="779"/>
      <c r="C89" s="244" t="s">
        <v>292</v>
      </c>
      <c r="D89" s="319">
        <v>500</v>
      </c>
    </row>
    <row r="90" spans="2:5" x14ac:dyDescent="0.2">
      <c r="B90" s="779"/>
      <c r="C90" s="221" t="s">
        <v>293</v>
      </c>
      <c r="D90" s="319">
        <v>700</v>
      </c>
    </row>
    <row r="91" spans="2:5" x14ac:dyDescent="0.2">
      <c r="B91" s="779"/>
      <c r="C91" s="221" t="s">
        <v>294</v>
      </c>
      <c r="D91" s="319">
        <v>650</v>
      </c>
    </row>
    <row r="92" spans="2:5" x14ac:dyDescent="0.2">
      <c r="B92" s="779"/>
      <c r="C92" s="221" t="s">
        <v>295</v>
      </c>
      <c r="D92" s="319">
        <v>500</v>
      </c>
    </row>
    <row r="93" spans="2:5" x14ac:dyDescent="0.2">
      <c r="B93" s="779"/>
      <c r="C93" s="591" t="s">
        <v>23</v>
      </c>
      <c r="D93" s="672">
        <v>0</v>
      </c>
    </row>
    <row r="95" spans="2:5" ht="12.75" customHeight="1" x14ac:dyDescent="0.2">
      <c r="B95" s="779" t="s">
        <v>64</v>
      </c>
      <c r="C95" s="780" t="s">
        <v>178</v>
      </c>
      <c r="D95" s="780"/>
    </row>
    <row r="96" spans="2:5" x14ac:dyDescent="0.2">
      <c r="B96" s="779"/>
      <c r="C96" s="244" t="s">
        <v>66</v>
      </c>
      <c r="D96" s="244">
        <v>17500</v>
      </c>
    </row>
    <row r="97" spans="2:23" x14ac:dyDescent="0.2">
      <c r="B97" s="779"/>
      <c r="C97" s="244" t="s">
        <v>68</v>
      </c>
      <c r="D97" s="244">
        <v>18700</v>
      </c>
    </row>
    <row r="98" spans="2:23" x14ac:dyDescent="0.2">
      <c r="B98" s="779"/>
      <c r="C98" s="221" t="s">
        <v>432</v>
      </c>
      <c r="D98" s="244">
        <v>20500</v>
      </c>
      <c r="L98" s="640">
        <f>J103*1.25</f>
        <v>20099.246835937498</v>
      </c>
      <c r="M98">
        <f>+L98/0.7</f>
        <v>28713.209765625001</v>
      </c>
      <c r="N98">
        <f>+M98*0.8</f>
        <v>22970.567812500001</v>
      </c>
    </row>
    <row r="99" spans="2:23" x14ac:dyDescent="0.2">
      <c r="L99">
        <f>800/34</f>
        <v>23.529411764705884</v>
      </c>
    </row>
    <row r="100" spans="2:23" x14ac:dyDescent="0.2">
      <c r="F100" s="633">
        <v>0.05</v>
      </c>
      <c r="G100" s="633">
        <v>0.1</v>
      </c>
      <c r="I100" s="633">
        <v>0.05</v>
      </c>
      <c r="P100" s="635">
        <v>0.25</v>
      </c>
    </row>
    <row r="101" spans="2:23" x14ac:dyDescent="0.2">
      <c r="B101" s="779" t="s">
        <v>394</v>
      </c>
      <c r="C101" s="244" t="s">
        <v>389</v>
      </c>
      <c r="D101" s="459" t="s">
        <v>390</v>
      </c>
      <c r="E101" s="459" t="s">
        <v>391</v>
      </c>
      <c r="F101" s="459" t="s">
        <v>392</v>
      </c>
      <c r="G101" s="459" t="s">
        <v>117</v>
      </c>
      <c r="H101" s="459" t="s">
        <v>63</v>
      </c>
      <c r="I101" s="459" t="s">
        <v>393</v>
      </c>
      <c r="J101" s="459" t="s">
        <v>395</v>
      </c>
      <c r="L101" s="222" t="s">
        <v>397</v>
      </c>
      <c r="M101" s="222" t="s">
        <v>402</v>
      </c>
      <c r="N101" s="222" t="s">
        <v>398</v>
      </c>
      <c r="O101" s="222" t="s">
        <v>401</v>
      </c>
      <c r="P101" s="459" t="s">
        <v>412</v>
      </c>
      <c r="Q101" s="222"/>
      <c r="R101" s="31"/>
      <c r="S101" s="31"/>
      <c r="T101" s="31"/>
      <c r="U101" s="31"/>
      <c r="V101" s="31"/>
      <c r="W101" s="31"/>
    </row>
    <row r="102" spans="2:23" x14ac:dyDescent="0.2">
      <c r="B102" s="779"/>
      <c r="C102" s="362" t="s">
        <v>112</v>
      </c>
      <c r="D102" s="362">
        <f>+Q102</f>
        <v>129.125</v>
      </c>
      <c r="E102" s="598">
        <f>+D102*celtsoft!$AH$19</f>
        <v>9426.125</v>
      </c>
      <c r="F102" s="598">
        <f>+E102*$F$100</f>
        <v>471.30625000000003</v>
      </c>
      <c r="G102" s="598">
        <f>+(E102+F102)*$G$100</f>
        <v>989.74312499999996</v>
      </c>
      <c r="H102" s="598">
        <f>SUM(E102:G102)</f>
        <v>10887.174374999999</v>
      </c>
      <c r="I102" s="598">
        <f>+H102*$I$100</f>
        <v>544.35871874999998</v>
      </c>
      <c r="J102" s="598">
        <f>+H102+I102</f>
        <v>11431.533093749998</v>
      </c>
      <c r="K102" s="647"/>
      <c r="L102" s="222">
        <f>74*1.2</f>
        <v>88.8</v>
      </c>
      <c r="M102" s="222">
        <f>0.5+3.5+3.5</f>
        <v>7.5</v>
      </c>
      <c r="N102" s="222">
        <v>7</v>
      </c>
      <c r="O102" s="222">
        <f>SUM(L102:N102)</f>
        <v>103.3</v>
      </c>
      <c r="P102" s="222">
        <f>+O102*$P$100</f>
        <v>25.824999999999999</v>
      </c>
      <c r="Q102" s="222">
        <f>+O102+P102</f>
        <v>129.125</v>
      </c>
      <c r="R102" s="31"/>
      <c r="S102" s="31"/>
      <c r="T102" s="31"/>
      <c r="U102" s="31"/>
      <c r="V102" s="31"/>
      <c r="W102" s="31"/>
    </row>
    <row r="103" spans="2:23" x14ac:dyDescent="0.2">
      <c r="B103" s="779"/>
      <c r="C103" s="362" t="s">
        <v>113</v>
      </c>
      <c r="D103" s="362">
        <f t="shared" ref="D103:D107" si="23">+Q103</f>
        <v>181.62499999999997</v>
      </c>
      <c r="E103" s="598">
        <f>+D103*celtsoft!$AH$19</f>
        <v>13258.624999999998</v>
      </c>
      <c r="F103" s="598">
        <f t="shared" ref="F103:F123" si="24">+E103*$F$100</f>
        <v>662.93124999999998</v>
      </c>
      <c r="G103" s="598">
        <f t="shared" ref="G103:G123" si="25">+(E103+F103)*$G$100</f>
        <v>1392.1556249999999</v>
      </c>
      <c r="H103" s="598">
        <f t="shared" ref="H103:H123" si="26">SUM(E103:G103)</f>
        <v>15313.711874999997</v>
      </c>
      <c r="I103" s="598">
        <f t="shared" ref="I103:I123" si="27">+H103*$I$100</f>
        <v>765.68559374999995</v>
      </c>
      <c r="J103" s="598">
        <f t="shared" ref="J103:J123" si="28">+H103+I103</f>
        <v>16079.397468749998</v>
      </c>
      <c r="L103" s="518">
        <f>109*1.2</f>
        <v>130.79999999999998</v>
      </c>
      <c r="M103" s="222">
        <f>0.5+3.5+3.5</f>
        <v>7.5</v>
      </c>
      <c r="N103" s="222">
        <v>7</v>
      </c>
      <c r="O103" s="222">
        <f t="shared" ref="O103:O104" si="29">SUM(L103:N103)</f>
        <v>145.29999999999998</v>
      </c>
      <c r="P103" s="222">
        <f t="shared" ref="P103:P108" si="30">+O103*$P$100</f>
        <v>36.324999999999996</v>
      </c>
      <c r="Q103" s="222">
        <f t="shared" ref="Q103:Q104" si="31">+O103+P103</f>
        <v>181.62499999999997</v>
      </c>
      <c r="R103" s="31"/>
      <c r="S103" s="31"/>
      <c r="T103" s="31"/>
      <c r="U103" s="31"/>
      <c r="V103" s="31"/>
      <c r="W103" s="31"/>
    </row>
    <row r="104" spans="2:23" x14ac:dyDescent="0.2">
      <c r="B104" s="779"/>
      <c r="C104" s="362" t="s">
        <v>114</v>
      </c>
      <c r="D104" s="362">
        <f t="shared" si="23"/>
        <v>205.625</v>
      </c>
      <c r="E104" s="598">
        <f>+D104*celtsoft!$AH$19</f>
        <v>15010.625</v>
      </c>
      <c r="F104" s="598">
        <f t="shared" si="24"/>
        <v>750.53125</v>
      </c>
      <c r="G104" s="598">
        <f t="shared" si="25"/>
        <v>1576.1156250000001</v>
      </c>
      <c r="H104" s="598">
        <f t="shared" si="26"/>
        <v>17337.271874999999</v>
      </c>
      <c r="I104" s="598">
        <f t="shared" si="27"/>
        <v>866.86359374999995</v>
      </c>
      <c r="J104" s="598">
        <f t="shared" si="28"/>
        <v>18204.135468749999</v>
      </c>
      <c r="L104" s="518">
        <f>125*1.2</f>
        <v>150</v>
      </c>
      <c r="M104" s="222">
        <f>0.5+3.5+3.5</f>
        <v>7.5</v>
      </c>
      <c r="N104" s="222">
        <v>7</v>
      </c>
      <c r="O104" s="222">
        <f t="shared" si="29"/>
        <v>164.5</v>
      </c>
      <c r="P104" s="222">
        <f t="shared" si="30"/>
        <v>41.125</v>
      </c>
      <c r="Q104" s="222">
        <f t="shared" si="31"/>
        <v>205.625</v>
      </c>
      <c r="R104" s="31"/>
      <c r="S104" s="31"/>
      <c r="T104" s="31"/>
      <c r="U104" s="31"/>
      <c r="V104" s="31"/>
      <c r="W104" s="31"/>
    </row>
    <row r="105" spans="2:23" x14ac:dyDescent="0.2">
      <c r="B105" s="779"/>
      <c r="C105" s="362" t="s">
        <v>115</v>
      </c>
      <c r="D105" s="362">
        <f t="shared" si="23"/>
        <v>264.125</v>
      </c>
      <c r="E105" s="598">
        <f>+D105*celtsoft!$AH$19</f>
        <v>19281.125</v>
      </c>
      <c r="F105" s="598">
        <f t="shared" si="24"/>
        <v>964.05625000000009</v>
      </c>
      <c r="G105" s="598">
        <f t="shared" si="25"/>
        <v>2024.5181250000003</v>
      </c>
      <c r="H105" s="598">
        <f t="shared" si="26"/>
        <v>22269.699375</v>
      </c>
      <c r="I105" s="598">
        <f t="shared" si="27"/>
        <v>1113.48496875</v>
      </c>
      <c r="J105" s="598">
        <f t="shared" si="28"/>
        <v>23383.184343749999</v>
      </c>
      <c r="L105" s="518">
        <f>164*1.2</f>
        <v>196.79999999999998</v>
      </c>
      <c r="M105" s="222">
        <f>0.5+3.5+3.5</f>
        <v>7.5</v>
      </c>
      <c r="N105" s="222">
        <v>7</v>
      </c>
      <c r="O105" s="222">
        <f t="shared" ref="O105:O108" si="32">SUM(L105:N105)</f>
        <v>211.29999999999998</v>
      </c>
      <c r="P105" s="222">
        <f t="shared" si="30"/>
        <v>52.824999999999996</v>
      </c>
      <c r="Q105" s="222">
        <f t="shared" ref="Q105:Q108" si="33">+O105+P105</f>
        <v>264.125</v>
      </c>
      <c r="R105" s="31"/>
      <c r="S105" s="31"/>
      <c r="T105" s="31"/>
      <c r="U105" s="31"/>
      <c r="V105" s="31"/>
      <c r="W105" s="31"/>
    </row>
    <row r="106" spans="2:23" x14ac:dyDescent="0.2">
      <c r="B106" s="779"/>
      <c r="C106" s="362" t="s">
        <v>119</v>
      </c>
      <c r="D106" s="362">
        <f t="shared" si="23"/>
        <v>325.625</v>
      </c>
      <c r="E106" s="598">
        <f>+D106*celtsoft!$AH$19</f>
        <v>23770.625</v>
      </c>
      <c r="F106" s="598">
        <f t="shared" si="24"/>
        <v>1188.53125</v>
      </c>
      <c r="G106" s="598">
        <f t="shared" si="25"/>
        <v>2495.9156250000001</v>
      </c>
      <c r="H106" s="598">
        <f t="shared" si="26"/>
        <v>27455.071875000001</v>
      </c>
      <c r="I106" s="598">
        <f t="shared" si="27"/>
        <v>1372.7535937500002</v>
      </c>
      <c r="J106" s="598">
        <f t="shared" si="28"/>
        <v>28827.825468750001</v>
      </c>
      <c r="L106" s="518">
        <f>205*1.2</f>
        <v>246</v>
      </c>
      <c r="M106" s="222">
        <f t="shared" ref="M106:M107" si="34">0.5+3.5+3.5</f>
        <v>7.5</v>
      </c>
      <c r="N106" s="222">
        <v>7</v>
      </c>
      <c r="O106" s="222">
        <f t="shared" si="32"/>
        <v>260.5</v>
      </c>
      <c r="P106" s="222">
        <f t="shared" si="30"/>
        <v>65.125</v>
      </c>
      <c r="Q106" s="222">
        <f t="shared" si="33"/>
        <v>325.625</v>
      </c>
      <c r="R106" s="31"/>
      <c r="S106" s="31"/>
      <c r="T106" s="31"/>
      <c r="U106" s="31"/>
      <c r="V106" s="31"/>
      <c r="W106" s="31"/>
    </row>
    <row r="107" spans="2:23" x14ac:dyDescent="0.2">
      <c r="B107" s="779"/>
      <c r="C107" s="362" t="s">
        <v>153</v>
      </c>
      <c r="D107" s="362">
        <f t="shared" si="23"/>
        <v>558.125</v>
      </c>
      <c r="E107" s="598">
        <f>+D107*celtsoft!$AH$19</f>
        <v>40743.125</v>
      </c>
      <c r="F107" s="598">
        <f t="shared" si="24"/>
        <v>2037.15625</v>
      </c>
      <c r="G107" s="598">
        <f t="shared" si="25"/>
        <v>4278.0281249999998</v>
      </c>
      <c r="H107" s="598">
        <f t="shared" si="26"/>
        <v>47058.309374999997</v>
      </c>
      <c r="I107" s="598">
        <f t="shared" si="27"/>
        <v>2352.9154687499999</v>
      </c>
      <c r="J107" s="598">
        <f t="shared" si="28"/>
        <v>49411.224843749995</v>
      </c>
      <c r="L107" s="518">
        <f>360*1.2</f>
        <v>432</v>
      </c>
      <c r="M107" s="222">
        <f t="shared" si="34"/>
        <v>7.5</v>
      </c>
      <c r="N107" s="222">
        <v>7</v>
      </c>
      <c r="O107" s="222">
        <f t="shared" si="32"/>
        <v>446.5</v>
      </c>
      <c r="P107" s="222">
        <f t="shared" si="30"/>
        <v>111.625</v>
      </c>
      <c r="Q107" s="222">
        <f t="shared" si="33"/>
        <v>558.125</v>
      </c>
      <c r="R107" s="31"/>
      <c r="S107" s="31"/>
      <c r="T107" s="31"/>
      <c r="U107" s="31"/>
      <c r="V107" s="31"/>
      <c r="W107" s="31"/>
    </row>
    <row r="108" spans="2:23" x14ac:dyDescent="0.2">
      <c r="B108" s="779"/>
      <c r="C108" s="362" t="s">
        <v>206</v>
      </c>
      <c r="D108" s="362"/>
      <c r="E108" s="598">
        <f>110000*1</f>
        <v>110000</v>
      </c>
      <c r="F108" s="598">
        <f t="shared" si="24"/>
        <v>5500</v>
      </c>
      <c r="G108" s="598">
        <f t="shared" si="25"/>
        <v>11550</v>
      </c>
      <c r="H108" s="598">
        <f t="shared" si="26"/>
        <v>127050</v>
      </c>
      <c r="I108" s="598">
        <f t="shared" si="27"/>
        <v>6352.5</v>
      </c>
      <c r="J108" s="598">
        <f t="shared" si="28"/>
        <v>133402.5</v>
      </c>
      <c r="L108" s="222">
        <v>0</v>
      </c>
      <c r="M108" s="222">
        <v>0</v>
      </c>
      <c r="N108" s="222">
        <v>0</v>
      </c>
      <c r="O108" s="222">
        <f t="shared" si="32"/>
        <v>0</v>
      </c>
      <c r="P108" s="222">
        <f t="shared" si="30"/>
        <v>0</v>
      </c>
      <c r="Q108" s="222">
        <f t="shared" si="33"/>
        <v>0</v>
      </c>
      <c r="R108" s="31"/>
      <c r="S108" s="31"/>
      <c r="T108" s="31"/>
      <c r="U108" s="31"/>
      <c r="V108" s="31"/>
      <c r="W108" s="31"/>
    </row>
    <row r="109" spans="2:23" x14ac:dyDescent="0.2">
      <c r="B109" s="779"/>
      <c r="C109" s="362" t="s">
        <v>104</v>
      </c>
      <c r="D109" s="362"/>
      <c r="E109" s="598">
        <f>35036+2781+7844</f>
        <v>45661</v>
      </c>
      <c r="F109" s="598">
        <f>+E109*$F$100</f>
        <v>2283.0500000000002</v>
      </c>
      <c r="G109" s="598">
        <v>0</v>
      </c>
      <c r="H109" s="598">
        <f t="shared" si="26"/>
        <v>47944.05</v>
      </c>
      <c r="I109" s="598">
        <f t="shared" si="27"/>
        <v>2397.2025000000003</v>
      </c>
      <c r="J109" s="598">
        <f t="shared" si="28"/>
        <v>50341.252500000002</v>
      </c>
    </row>
    <row r="110" spans="2:23" x14ac:dyDescent="0.2">
      <c r="B110" s="779"/>
      <c r="C110" s="362" t="s">
        <v>105</v>
      </c>
      <c r="D110" s="362"/>
      <c r="E110" s="598">
        <f>35036+2781+7844</f>
        <v>45661</v>
      </c>
      <c r="F110" s="598">
        <f t="shared" si="24"/>
        <v>2283.0500000000002</v>
      </c>
      <c r="G110" s="598">
        <v>0</v>
      </c>
      <c r="H110" s="598">
        <f t="shared" si="26"/>
        <v>47944.05</v>
      </c>
      <c r="I110" s="598">
        <f t="shared" si="27"/>
        <v>2397.2025000000003</v>
      </c>
      <c r="J110" s="598">
        <f t="shared" si="28"/>
        <v>50341.252500000002</v>
      </c>
    </row>
    <row r="111" spans="2:23" x14ac:dyDescent="0.2">
      <c r="B111" s="779"/>
      <c r="C111" s="358" t="s">
        <v>434</v>
      </c>
      <c r="D111" s="362"/>
      <c r="E111" s="598">
        <f>45982+7844+2781</f>
        <v>56607</v>
      </c>
      <c r="F111" s="598">
        <f t="shared" si="24"/>
        <v>2830.3500000000004</v>
      </c>
      <c r="G111" s="598">
        <v>0</v>
      </c>
      <c r="H111" s="598">
        <f t="shared" si="26"/>
        <v>59437.35</v>
      </c>
      <c r="I111" s="598">
        <f t="shared" si="27"/>
        <v>2971.8675000000003</v>
      </c>
      <c r="J111" s="598">
        <f t="shared" si="28"/>
        <v>62409.217499999999</v>
      </c>
    </row>
    <row r="112" spans="2:23" x14ac:dyDescent="0.2">
      <c r="B112" s="779"/>
      <c r="C112" s="358" t="s">
        <v>435</v>
      </c>
      <c r="D112" s="362"/>
      <c r="E112" s="598">
        <f>53563+7844+2781</f>
        <v>64188</v>
      </c>
      <c r="F112" s="598">
        <f t="shared" si="24"/>
        <v>3209.4</v>
      </c>
      <c r="G112" s="598">
        <v>0</v>
      </c>
      <c r="H112" s="598">
        <f t="shared" si="26"/>
        <v>67397.399999999994</v>
      </c>
      <c r="I112" s="598">
        <f t="shared" si="27"/>
        <v>3369.87</v>
      </c>
      <c r="J112" s="598">
        <f t="shared" si="28"/>
        <v>70767.26999999999</v>
      </c>
    </row>
    <row r="113" spans="2:10" x14ac:dyDescent="0.2">
      <c r="B113" s="779"/>
      <c r="C113" s="362" t="s">
        <v>110</v>
      </c>
      <c r="D113" s="362"/>
      <c r="E113" s="598">
        <f>61612+15121+3003+278</f>
        <v>80014</v>
      </c>
      <c r="F113" s="598">
        <f t="shared" si="24"/>
        <v>4000.7000000000003</v>
      </c>
      <c r="G113" s="598">
        <v>0</v>
      </c>
      <c r="H113" s="598">
        <f t="shared" si="26"/>
        <v>84014.7</v>
      </c>
      <c r="I113" s="598">
        <f t="shared" si="27"/>
        <v>4200.7349999999997</v>
      </c>
      <c r="J113" s="598">
        <f t="shared" si="28"/>
        <v>88215.434999999998</v>
      </c>
    </row>
    <row r="114" spans="2:10" x14ac:dyDescent="0.2">
      <c r="B114" s="779"/>
      <c r="C114" s="362" t="s">
        <v>436</v>
      </c>
      <c r="D114" s="362" t="s">
        <v>399</v>
      </c>
      <c r="E114" s="687">
        <f>130000+9547+3832</f>
        <v>143379</v>
      </c>
      <c r="F114" s="598">
        <v>5000</v>
      </c>
      <c r="G114" s="598">
        <v>0</v>
      </c>
      <c r="H114" s="598">
        <f t="shared" si="26"/>
        <v>148379</v>
      </c>
      <c r="I114" s="598">
        <v>0</v>
      </c>
      <c r="J114" s="598">
        <f t="shared" si="28"/>
        <v>148379</v>
      </c>
    </row>
    <row r="115" spans="2:10" x14ac:dyDescent="0.2">
      <c r="B115" s="779"/>
      <c r="C115" s="362" t="s">
        <v>437</v>
      </c>
      <c r="D115" s="362" t="s">
        <v>400</v>
      </c>
      <c r="E115" s="687">
        <f>140000+9547+3832</f>
        <v>153379</v>
      </c>
      <c r="F115" s="598">
        <v>5000</v>
      </c>
      <c r="G115" s="598">
        <v>0</v>
      </c>
      <c r="H115" s="598">
        <f t="shared" si="26"/>
        <v>158379</v>
      </c>
      <c r="I115" s="598">
        <v>0</v>
      </c>
      <c r="J115" s="598">
        <f t="shared" si="28"/>
        <v>158379</v>
      </c>
    </row>
    <row r="116" spans="2:10" x14ac:dyDescent="0.2">
      <c r="B116" s="779"/>
      <c r="C116" s="362" t="s">
        <v>108</v>
      </c>
      <c r="D116" s="362"/>
      <c r="E116" s="598">
        <f>+D116*celtsoft!$AH$19</f>
        <v>0</v>
      </c>
      <c r="F116" s="598">
        <f t="shared" si="24"/>
        <v>0</v>
      </c>
      <c r="G116" s="598">
        <f t="shared" si="25"/>
        <v>0</v>
      </c>
      <c r="H116" s="598">
        <f t="shared" si="26"/>
        <v>0</v>
      </c>
      <c r="I116" s="598">
        <f t="shared" si="27"/>
        <v>0</v>
      </c>
      <c r="J116" s="598">
        <f t="shared" si="28"/>
        <v>0</v>
      </c>
    </row>
    <row r="117" spans="2:10" x14ac:dyDescent="0.2">
      <c r="B117" s="779"/>
      <c r="C117" s="362" t="s">
        <v>107</v>
      </c>
      <c r="D117" s="362"/>
      <c r="E117" s="598">
        <f>+D117*celtsoft!$AH$19</f>
        <v>0</v>
      </c>
      <c r="F117" s="598">
        <f t="shared" si="24"/>
        <v>0</v>
      </c>
      <c r="G117" s="598">
        <f t="shared" si="25"/>
        <v>0</v>
      </c>
      <c r="H117" s="598">
        <f t="shared" si="26"/>
        <v>0</v>
      </c>
      <c r="I117" s="598">
        <f t="shared" si="27"/>
        <v>0</v>
      </c>
      <c r="J117" s="598">
        <f t="shared" si="28"/>
        <v>0</v>
      </c>
    </row>
    <row r="118" spans="2:10" x14ac:dyDescent="0.2">
      <c r="B118" s="779"/>
      <c r="C118" s="362" t="s">
        <v>23</v>
      </c>
      <c r="D118" s="362"/>
      <c r="E118" s="598">
        <f>+D118*celtsoft!$AH$19</f>
        <v>0</v>
      </c>
      <c r="F118" s="598">
        <f t="shared" si="24"/>
        <v>0</v>
      </c>
      <c r="G118" s="598">
        <f t="shared" si="25"/>
        <v>0</v>
      </c>
      <c r="H118" s="598">
        <f t="shared" si="26"/>
        <v>0</v>
      </c>
      <c r="I118" s="598">
        <f t="shared" si="27"/>
        <v>0</v>
      </c>
      <c r="J118" s="598">
        <f t="shared" si="28"/>
        <v>0</v>
      </c>
    </row>
    <row r="119" spans="2:10" x14ac:dyDescent="0.2">
      <c r="B119" s="779"/>
      <c r="C119" s="362" t="s">
        <v>154</v>
      </c>
      <c r="D119" s="362"/>
      <c r="E119" s="598">
        <f>+D119*celtsoft!$AH$19</f>
        <v>0</v>
      </c>
      <c r="F119" s="598">
        <f t="shared" si="24"/>
        <v>0</v>
      </c>
      <c r="G119" s="598">
        <f t="shared" si="25"/>
        <v>0</v>
      </c>
      <c r="H119" s="598">
        <f t="shared" si="26"/>
        <v>0</v>
      </c>
      <c r="I119" s="598">
        <f t="shared" si="27"/>
        <v>0</v>
      </c>
      <c r="J119" s="598">
        <f t="shared" si="28"/>
        <v>0</v>
      </c>
    </row>
    <row r="120" spans="2:10" x14ac:dyDescent="0.2">
      <c r="B120" s="779"/>
      <c r="C120" s="362" t="s">
        <v>155</v>
      </c>
      <c r="D120" s="362"/>
      <c r="E120" s="598">
        <f>+D120*celtsoft!$AH$19</f>
        <v>0</v>
      </c>
      <c r="F120" s="598">
        <f t="shared" si="24"/>
        <v>0</v>
      </c>
      <c r="G120" s="598">
        <f t="shared" si="25"/>
        <v>0</v>
      </c>
      <c r="H120" s="598">
        <f t="shared" si="26"/>
        <v>0</v>
      </c>
      <c r="I120" s="598">
        <f t="shared" si="27"/>
        <v>0</v>
      </c>
      <c r="J120" s="598">
        <f t="shared" si="28"/>
        <v>0</v>
      </c>
    </row>
    <row r="121" spans="2:10" x14ac:dyDescent="0.2">
      <c r="B121" s="779"/>
      <c r="C121" s="362" t="s">
        <v>156</v>
      </c>
      <c r="D121" s="362"/>
      <c r="E121" s="598">
        <f>+D121*celtsoft!$AH$19</f>
        <v>0</v>
      </c>
      <c r="F121" s="598">
        <f t="shared" si="24"/>
        <v>0</v>
      </c>
      <c r="G121" s="598">
        <f t="shared" si="25"/>
        <v>0</v>
      </c>
      <c r="H121" s="598">
        <f t="shared" si="26"/>
        <v>0</v>
      </c>
      <c r="I121" s="598">
        <f t="shared" si="27"/>
        <v>0</v>
      </c>
      <c r="J121" s="598">
        <f t="shared" si="28"/>
        <v>0</v>
      </c>
    </row>
    <row r="122" spans="2:10" x14ac:dyDescent="0.2">
      <c r="B122" s="779"/>
      <c r="C122" s="362" t="s">
        <v>23</v>
      </c>
      <c r="D122" s="362"/>
      <c r="E122" s="598">
        <f>+D122*celtsoft!$AH$19</f>
        <v>0</v>
      </c>
      <c r="F122" s="598">
        <f t="shared" si="24"/>
        <v>0</v>
      </c>
      <c r="G122" s="598">
        <f t="shared" si="25"/>
        <v>0</v>
      </c>
      <c r="H122" s="598">
        <f t="shared" si="26"/>
        <v>0</v>
      </c>
      <c r="I122" s="598">
        <f t="shared" si="27"/>
        <v>0</v>
      </c>
      <c r="J122" s="598">
        <f t="shared" si="28"/>
        <v>0</v>
      </c>
    </row>
    <row r="123" spans="2:10" x14ac:dyDescent="0.2">
      <c r="B123" s="779"/>
      <c r="C123" s="221" t="s">
        <v>157</v>
      </c>
      <c r="D123" s="221"/>
      <c r="E123" s="598">
        <f>+D123*celtsoft!$AH$19</f>
        <v>0</v>
      </c>
      <c r="F123" s="598">
        <f t="shared" si="24"/>
        <v>0</v>
      </c>
      <c r="G123" s="598">
        <f t="shared" si="25"/>
        <v>0</v>
      </c>
      <c r="H123" s="598">
        <f t="shared" si="26"/>
        <v>0</v>
      </c>
      <c r="I123" s="598">
        <f t="shared" si="27"/>
        <v>0</v>
      </c>
      <c r="J123" s="598">
        <f t="shared" si="28"/>
        <v>0</v>
      </c>
    </row>
  </sheetData>
  <mergeCells count="36">
    <mergeCell ref="B2:B6"/>
    <mergeCell ref="J8:K8"/>
    <mergeCell ref="D2:E2"/>
    <mergeCell ref="F2:G2"/>
    <mergeCell ref="C2:C3"/>
    <mergeCell ref="H2:I2"/>
    <mergeCell ref="J2:K2"/>
    <mergeCell ref="B8:B12"/>
    <mergeCell ref="C8:C9"/>
    <mergeCell ref="D8:E8"/>
    <mergeCell ref="F8:G8"/>
    <mergeCell ref="H8:I8"/>
    <mergeCell ref="J20:L20"/>
    <mergeCell ref="B26:B29"/>
    <mergeCell ref="B32:B39"/>
    <mergeCell ref="B14:B18"/>
    <mergeCell ref="C14:C15"/>
    <mergeCell ref="D14:E14"/>
    <mergeCell ref="F14:G14"/>
    <mergeCell ref="H14:I14"/>
    <mergeCell ref="J14:K14"/>
    <mergeCell ref="B41:B49"/>
    <mergeCell ref="B51:B57"/>
    <mergeCell ref="B59:B64"/>
    <mergeCell ref="B21:B24"/>
    <mergeCell ref="G20:I20"/>
    <mergeCell ref="F66:G66"/>
    <mergeCell ref="B66:B73"/>
    <mergeCell ref="C66:C67"/>
    <mergeCell ref="B75:B79"/>
    <mergeCell ref="B81:B86"/>
    <mergeCell ref="B88:B93"/>
    <mergeCell ref="C95:D95"/>
    <mergeCell ref="B95:B98"/>
    <mergeCell ref="B101:B123"/>
    <mergeCell ref="D66:E66"/>
  </mergeCells>
  <pageMargins left="0.7" right="0.7" top="0.75" bottom="0.75" header="0.3" footer="0.3"/>
  <pageSetup scale="16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workbookViewId="0"/>
  </sheetViews>
  <sheetFormatPr defaultRowHeight="12.75" x14ac:dyDescent="0.2"/>
  <cols>
    <col min="5" max="5" width="13.28515625" bestFit="1" customWidth="1"/>
  </cols>
  <sheetData>
    <row r="2" spans="2:11" x14ac:dyDescent="0.2">
      <c r="B2" s="787" t="s">
        <v>72</v>
      </c>
      <c r="C2" s="617" t="s">
        <v>302</v>
      </c>
      <c r="D2" s="222"/>
      <c r="E2" s="617"/>
      <c r="F2" s="617"/>
      <c r="G2" s="222"/>
    </row>
    <row r="3" spans="2:11" x14ac:dyDescent="0.2">
      <c r="B3" s="787"/>
      <c r="C3" s="608">
        <v>12</v>
      </c>
      <c r="D3" s="547" t="s">
        <v>44</v>
      </c>
      <c r="E3" s="641">
        <v>2000</v>
      </c>
      <c r="F3" s="459" t="s">
        <v>45</v>
      </c>
      <c r="G3" s="222">
        <v>1500</v>
      </c>
    </row>
    <row r="4" spans="2:11" x14ac:dyDescent="0.2">
      <c r="B4" s="787"/>
      <c r="C4" s="608">
        <v>24</v>
      </c>
      <c r="D4" s="547" t="s">
        <v>44</v>
      </c>
      <c r="E4" s="641">
        <v>2500</v>
      </c>
      <c r="F4" s="459" t="s">
        <v>45</v>
      </c>
      <c r="G4" s="222">
        <v>1800</v>
      </c>
    </row>
    <row r="5" spans="2:11" x14ac:dyDescent="0.2">
      <c r="B5" s="787"/>
      <c r="C5" s="618">
        <v>48</v>
      </c>
      <c r="D5" s="547" t="s">
        <v>44</v>
      </c>
      <c r="E5" s="641">
        <v>3000</v>
      </c>
      <c r="F5" s="459" t="s">
        <v>45</v>
      </c>
      <c r="G5" s="222">
        <v>2000</v>
      </c>
    </row>
    <row r="6" spans="2:11" x14ac:dyDescent="0.2">
      <c r="B6" s="787"/>
      <c r="C6" s="618">
        <v>64</v>
      </c>
      <c r="D6" s="547" t="s">
        <v>44</v>
      </c>
      <c r="E6" s="641">
        <v>4000</v>
      </c>
      <c r="F6" s="459" t="s">
        <v>45</v>
      </c>
      <c r="G6" s="222">
        <v>2500</v>
      </c>
    </row>
    <row r="7" spans="2:11" x14ac:dyDescent="0.2">
      <c r="B7" s="787"/>
      <c r="C7" s="618">
        <v>90</v>
      </c>
      <c r="D7" s="555" t="s">
        <v>44</v>
      </c>
      <c r="E7" s="641">
        <v>6000</v>
      </c>
      <c r="F7" s="459" t="s">
        <v>45</v>
      </c>
      <c r="G7" s="222">
        <v>2700</v>
      </c>
    </row>
    <row r="8" spans="2:11" x14ac:dyDescent="0.2">
      <c r="B8" s="787"/>
      <c r="C8" s="618">
        <f>+C7+24</f>
        <v>114</v>
      </c>
      <c r="D8" s="555" t="s">
        <v>44</v>
      </c>
      <c r="E8" s="641">
        <v>7000</v>
      </c>
      <c r="F8" s="459" t="s">
        <v>45</v>
      </c>
      <c r="G8" s="222">
        <v>3000</v>
      </c>
    </row>
    <row r="9" spans="2:11" x14ac:dyDescent="0.2">
      <c r="B9" s="787"/>
      <c r="C9" s="618">
        <f t="shared" ref="C9" si="0">+C8+24</f>
        <v>138</v>
      </c>
      <c r="D9" s="555" t="s">
        <v>44</v>
      </c>
      <c r="E9" s="641">
        <v>8000</v>
      </c>
      <c r="F9" s="459" t="s">
        <v>45</v>
      </c>
      <c r="G9" s="222">
        <v>3500</v>
      </c>
    </row>
    <row r="10" spans="2:11" x14ac:dyDescent="0.2">
      <c r="B10" s="787"/>
      <c r="C10" s="618">
        <f>+C9+30.01</f>
        <v>168.01</v>
      </c>
      <c r="D10" s="555" t="s">
        <v>44</v>
      </c>
      <c r="E10" s="641">
        <v>9000</v>
      </c>
      <c r="F10" s="459" t="s">
        <v>45</v>
      </c>
      <c r="G10" s="222">
        <v>4000</v>
      </c>
    </row>
    <row r="12" spans="2:11" x14ac:dyDescent="0.2">
      <c r="B12" s="787" t="s">
        <v>37</v>
      </c>
      <c r="C12" s="547" t="s">
        <v>385</v>
      </c>
      <c r="D12" s="222"/>
      <c r="E12" s="222"/>
      <c r="F12" s="222"/>
      <c r="G12" s="222"/>
    </row>
    <row r="13" spans="2:11" x14ac:dyDescent="0.2">
      <c r="B13" s="787"/>
      <c r="C13" s="624">
        <v>12</v>
      </c>
      <c r="D13" s="222" t="s">
        <v>44</v>
      </c>
      <c r="E13" s="641">
        <v>1500</v>
      </c>
      <c r="F13" s="222" t="s">
        <v>45</v>
      </c>
      <c r="G13" s="222">
        <v>1000</v>
      </c>
    </row>
    <row r="14" spans="2:11" x14ac:dyDescent="0.2">
      <c r="B14" s="787"/>
      <c r="C14" s="624">
        <v>24</v>
      </c>
      <c r="D14" s="222" t="s">
        <v>44</v>
      </c>
      <c r="E14" s="641">
        <v>2000</v>
      </c>
      <c r="F14" s="222" t="s">
        <v>45</v>
      </c>
      <c r="G14" s="222">
        <v>1100</v>
      </c>
    </row>
    <row r="15" spans="2:11" x14ac:dyDescent="0.2">
      <c r="B15" s="787"/>
      <c r="C15" s="624">
        <v>36</v>
      </c>
      <c r="D15" s="222" t="s">
        <v>44</v>
      </c>
      <c r="E15" s="641">
        <v>2500</v>
      </c>
      <c r="F15" s="222" t="s">
        <v>45</v>
      </c>
      <c r="G15" s="222">
        <v>1250</v>
      </c>
    </row>
    <row r="16" spans="2:11" x14ac:dyDescent="0.2">
      <c r="B16" s="787"/>
      <c r="C16" s="624" t="s">
        <v>46</v>
      </c>
      <c r="D16" s="222" t="s">
        <v>44</v>
      </c>
      <c r="E16" s="641">
        <v>3500</v>
      </c>
      <c r="F16" s="222" t="s">
        <v>45</v>
      </c>
      <c r="G16" s="222">
        <v>1500</v>
      </c>
      <c r="K16" s="638"/>
    </row>
    <row r="17" spans="2:7" x14ac:dyDescent="0.2">
      <c r="B17" s="787"/>
      <c r="C17" s="626" t="s">
        <v>101</v>
      </c>
      <c r="D17" s="223" t="s">
        <v>44</v>
      </c>
      <c r="E17" s="641">
        <v>6000</v>
      </c>
      <c r="F17" s="480" t="s">
        <v>13</v>
      </c>
      <c r="G17" s="222">
        <v>2000</v>
      </c>
    </row>
    <row r="19" spans="2:7" x14ac:dyDescent="0.2">
      <c r="B19" s="638" t="s">
        <v>418</v>
      </c>
    </row>
    <row r="20" spans="2:7" x14ac:dyDescent="0.2">
      <c r="B20" s="647">
        <v>1</v>
      </c>
      <c r="C20" s="638" t="s">
        <v>419</v>
      </c>
    </row>
    <row r="21" spans="2:7" x14ac:dyDescent="0.2">
      <c r="B21" s="647">
        <v>2</v>
      </c>
      <c r="C21" s="638" t="s">
        <v>420</v>
      </c>
    </row>
    <row r="22" spans="2:7" x14ac:dyDescent="0.2">
      <c r="B22" s="647">
        <v>3</v>
      </c>
      <c r="C22" s="638" t="s">
        <v>421</v>
      </c>
    </row>
    <row r="23" spans="2:7" x14ac:dyDescent="0.2">
      <c r="B23" s="647">
        <v>4</v>
      </c>
      <c r="C23" s="638" t="s">
        <v>422</v>
      </c>
    </row>
    <row r="24" spans="2:7" x14ac:dyDescent="0.2">
      <c r="B24" s="647">
        <v>5</v>
      </c>
    </row>
  </sheetData>
  <mergeCells count="2">
    <mergeCell ref="B2:B10"/>
    <mergeCell ref="B12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SWRS_NEW</vt:lpstr>
      <vt:lpstr>SWRS_NEW (2)</vt:lpstr>
      <vt:lpstr>Option I</vt:lpstr>
      <vt:lpstr>celtsoft</vt:lpstr>
      <vt:lpstr>Avians</vt:lpstr>
      <vt:lpstr>Basic rates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Karkal</dc:creator>
  <cp:lastModifiedBy>Rahul Kulkarni</cp:lastModifiedBy>
  <cp:lastPrinted>2017-10-09T08:29:45Z</cp:lastPrinted>
  <dcterms:created xsi:type="dcterms:W3CDTF">2017-10-05T05:54:18Z</dcterms:created>
  <dcterms:modified xsi:type="dcterms:W3CDTF">2020-02-29T04:58:25Z</dcterms:modified>
</cp:coreProperties>
</file>