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80" windowWidth="18195" windowHeight="17115"/>
  </bookViews>
  <sheets>
    <sheet name="Data" sheetId="1" r:id="rId1"/>
    <sheet name="Sim Data" sheetId="2" r:id="rId2"/>
    <sheet name="SGP and PVM" sheetId="3" r:id="rId3"/>
    <sheet name="MS" sheetId="5" r:id="rId4"/>
    <sheet name="Other Vals" sheetId="4" r:id="rId5"/>
    <sheet name="Position Tests" sheetId="6" r:id="rId6"/>
    <sheet name="Sheet1" sheetId="7" r:id="rId7"/>
  </sheets>
  <definedNames>
    <definedName name="simResults" localSheetId="0">Data!#REF!</definedName>
    <definedName name="simResults" localSheetId="1">'Sim Data'!$A$2:$A$141</definedName>
  </definedNames>
  <calcPr calcId="145621"/>
</workbook>
</file>

<file path=xl/calcChain.xml><?xml version="1.0" encoding="utf-8"?>
<calcChain xmlns="http://schemas.openxmlformats.org/spreadsheetml/2006/main">
  <c r="A183" i="1" l="1"/>
  <c r="A182" i="1"/>
  <c r="A181" i="1"/>
  <c r="A180" i="1"/>
  <c r="A179" i="1"/>
  <c r="A178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8" i="1"/>
  <c r="A107" i="1"/>
  <c r="A106" i="1"/>
  <c r="A105" i="1"/>
  <c r="A104" i="1"/>
  <c r="A103" i="1"/>
  <c r="A102" i="1"/>
  <c r="A101" i="1"/>
  <c r="A100" i="1"/>
  <c r="A99" i="1"/>
  <c r="A96" i="1"/>
  <c r="A95" i="1"/>
  <c r="A93" i="1"/>
  <c r="A92" i="1"/>
  <c r="A91" i="1"/>
  <c r="A90" i="1"/>
  <c r="A89" i="1"/>
  <c r="A88" i="1"/>
  <c r="A87" i="1"/>
  <c r="A86" i="1"/>
  <c r="A85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2" i="3" l="1"/>
  <c r="K2" i="3" s="1"/>
  <c r="H3" i="3"/>
  <c r="K3" i="3" s="1"/>
  <c r="H4" i="3"/>
  <c r="K4" i="3" s="1"/>
  <c r="H5" i="3"/>
  <c r="K5" i="3" s="1"/>
  <c r="H6" i="3"/>
  <c r="K6" i="3" s="1"/>
  <c r="H7" i="3"/>
  <c r="K7" i="3" s="1"/>
  <c r="H8" i="3"/>
  <c r="K8" i="3" s="1"/>
  <c r="H9" i="3"/>
  <c r="K9" i="3" s="1"/>
  <c r="H10" i="3"/>
  <c r="K10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K21" i="3" s="1"/>
  <c r="H22" i="3"/>
  <c r="K22" i="3" s="1"/>
  <c r="H23" i="3"/>
  <c r="K23" i="3" s="1"/>
  <c r="H24" i="3"/>
  <c r="K24" i="3" s="1"/>
  <c r="H25" i="3"/>
  <c r="K25" i="3" s="1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36" i="3"/>
  <c r="K36" i="3" s="1"/>
  <c r="H37" i="3"/>
  <c r="K37" i="3" s="1"/>
  <c r="H38" i="3"/>
  <c r="K38" i="3" s="1"/>
  <c r="H39" i="3"/>
  <c r="K39" i="3" s="1"/>
  <c r="H40" i="3"/>
  <c r="K40" i="3" s="1"/>
  <c r="H41" i="3"/>
  <c r="K41" i="3" s="1"/>
  <c r="H42" i="3"/>
  <c r="K42" i="3" s="1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53" i="3"/>
  <c r="K53" i="3" s="1"/>
  <c r="H54" i="3"/>
  <c r="K54" i="3" s="1"/>
  <c r="H55" i="3"/>
  <c r="K55" i="3" s="1"/>
  <c r="H56" i="3"/>
  <c r="K56" i="3" s="1"/>
  <c r="H57" i="3"/>
  <c r="K57" i="3" s="1"/>
  <c r="H58" i="3"/>
  <c r="K58" i="3" s="1"/>
  <c r="H59" i="3"/>
  <c r="K59" i="3" s="1"/>
  <c r="H60" i="3"/>
  <c r="K60" i="3" s="1"/>
  <c r="H61" i="3"/>
  <c r="K61" i="3" s="1"/>
  <c r="H62" i="3"/>
  <c r="K62" i="3" s="1"/>
  <c r="H63" i="3"/>
  <c r="K63" i="3" s="1"/>
  <c r="H64" i="3"/>
  <c r="K64" i="3" s="1"/>
  <c r="H65" i="3"/>
  <c r="K65" i="3" s="1"/>
  <c r="H66" i="3"/>
  <c r="K66" i="3" s="1"/>
  <c r="H67" i="3"/>
  <c r="K67" i="3" s="1"/>
  <c r="H68" i="3"/>
  <c r="K68" i="3" s="1"/>
  <c r="H69" i="3"/>
  <c r="K69" i="3" s="1"/>
  <c r="H70" i="3"/>
  <c r="K70" i="3" s="1"/>
  <c r="H71" i="3"/>
  <c r="K71" i="3" s="1"/>
  <c r="H72" i="3"/>
  <c r="K72" i="3" s="1"/>
  <c r="H73" i="3"/>
  <c r="K73" i="3" s="1"/>
  <c r="H74" i="3"/>
  <c r="K74" i="3" s="1"/>
  <c r="H75" i="3"/>
  <c r="K75" i="3" s="1"/>
  <c r="H76" i="3"/>
  <c r="K76" i="3" s="1"/>
  <c r="H77" i="3"/>
  <c r="K77" i="3" s="1"/>
  <c r="H78" i="3"/>
  <c r="K78" i="3" s="1"/>
  <c r="H79" i="3"/>
  <c r="K79" i="3" s="1"/>
  <c r="H80" i="3"/>
  <c r="K80" i="3" s="1"/>
  <c r="H81" i="3"/>
  <c r="K81" i="3" s="1"/>
  <c r="H82" i="3"/>
  <c r="K82" i="3" s="1"/>
  <c r="H83" i="3"/>
  <c r="K83" i="3" s="1"/>
  <c r="H84" i="3"/>
  <c r="K84" i="3" s="1"/>
  <c r="H85" i="3"/>
  <c r="K85" i="3" s="1"/>
  <c r="H86" i="3"/>
  <c r="K86" i="3" s="1"/>
  <c r="H87" i="3"/>
  <c r="K87" i="3" s="1"/>
  <c r="H88" i="3"/>
  <c r="K88" i="3" s="1"/>
  <c r="H89" i="3"/>
  <c r="K89" i="3" s="1"/>
  <c r="H90" i="3"/>
  <c r="K90" i="3" s="1"/>
  <c r="H91" i="3"/>
  <c r="K91" i="3" s="1"/>
  <c r="H92" i="3"/>
  <c r="K92" i="3" s="1"/>
  <c r="H93" i="3"/>
  <c r="K93" i="3" s="1"/>
  <c r="H94" i="3"/>
  <c r="K94" i="3" s="1"/>
  <c r="H95" i="3"/>
  <c r="K95" i="3" s="1"/>
  <c r="H96" i="3"/>
  <c r="K96" i="3" s="1"/>
  <c r="H97" i="3"/>
  <c r="K97" i="3" s="1"/>
  <c r="H98" i="3"/>
  <c r="K98" i="3" s="1"/>
  <c r="H99" i="3"/>
  <c r="K99" i="3" s="1"/>
  <c r="H100" i="3"/>
  <c r="K100" i="3" s="1"/>
  <c r="H101" i="3"/>
  <c r="K101" i="3" s="1"/>
  <c r="H102" i="3"/>
  <c r="K102" i="3" s="1"/>
  <c r="H103" i="3"/>
  <c r="K103" i="3" s="1"/>
  <c r="H104" i="3"/>
  <c r="K104" i="3" s="1"/>
  <c r="H105" i="3"/>
  <c r="K105" i="3" s="1"/>
  <c r="H106" i="3"/>
  <c r="K106" i="3" s="1"/>
  <c r="H107" i="3"/>
  <c r="K107" i="3" s="1"/>
  <c r="H108" i="3"/>
  <c r="K108" i="3" s="1"/>
  <c r="H109" i="3"/>
  <c r="K109" i="3" s="1"/>
  <c r="H110" i="3"/>
  <c r="K110" i="3" s="1"/>
  <c r="H111" i="3"/>
  <c r="K111" i="3" s="1"/>
  <c r="H112" i="3"/>
  <c r="K112" i="3" s="1"/>
  <c r="H113" i="3"/>
  <c r="K113" i="3" s="1"/>
  <c r="H114" i="3"/>
  <c r="K114" i="3" s="1"/>
  <c r="H115" i="3"/>
  <c r="K115" i="3" s="1"/>
  <c r="H116" i="3"/>
  <c r="K116" i="3" s="1"/>
  <c r="H117" i="3"/>
  <c r="K117" i="3" s="1"/>
  <c r="H118" i="3"/>
  <c r="K118" i="3" s="1"/>
  <c r="H119" i="3"/>
  <c r="K119" i="3" s="1"/>
  <c r="H120" i="3"/>
  <c r="K120" i="3" s="1"/>
  <c r="H121" i="3"/>
  <c r="K121" i="3" s="1"/>
  <c r="H122" i="3"/>
  <c r="K122" i="3" s="1"/>
  <c r="H123" i="3"/>
  <c r="K123" i="3" s="1"/>
  <c r="H124" i="3"/>
  <c r="K124" i="3" s="1"/>
  <c r="H125" i="3"/>
  <c r="K125" i="3" s="1"/>
  <c r="H126" i="3"/>
  <c r="K126" i="3" s="1"/>
  <c r="H127" i="3"/>
  <c r="K127" i="3" s="1"/>
  <c r="H128" i="3"/>
  <c r="K128" i="3" s="1"/>
  <c r="H129" i="3"/>
  <c r="K129" i="3" s="1"/>
  <c r="H130" i="3"/>
  <c r="K130" i="3" s="1"/>
  <c r="H131" i="3"/>
  <c r="K131" i="3" s="1"/>
  <c r="H132" i="3"/>
  <c r="K132" i="3" s="1"/>
  <c r="H133" i="3"/>
  <c r="K133" i="3" s="1"/>
  <c r="H134" i="3"/>
  <c r="K134" i="3" s="1"/>
  <c r="H135" i="3"/>
  <c r="K135" i="3" s="1"/>
  <c r="H136" i="3"/>
  <c r="K136" i="3" s="1"/>
  <c r="H137" i="3"/>
  <c r="K137" i="3" s="1"/>
  <c r="H138" i="3"/>
  <c r="K138" i="3" s="1"/>
  <c r="H139" i="3"/>
  <c r="K139" i="3" s="1"/>
  <c r="H140" i="3"/>
  <c r="K140" i="3" s="1"/>
  <c r="H141" i="3"/>
  <c r="K141" i="3" s="1"/>
  <c r="H142" i="3"/>
  <c r="K142" i="3" s="1"/>
  <c r="H143" i="3"/>
  <c r="K143" i="3" s="1"/>
  <c r="H144" i="3"/>
  <c r="K144" i="3" s="1"/>
  <c r="H145" i="3"/>
  <c r="K145" i="3" s="1"/>
  <c r="H146" i="3"/>
  <c r="K146" i="3" s="1"/>
  <c r="H147" i="3"/>
  <c r="K147" i="3" s="1"/>
  <c r="H148" i="3"/>
  <c r="K148" i="3" s="1"/>
  <c r="H149" i="3"/>
  <c r="K149" i="3" s="1"/>
  <c r="H150" i="3"/>
  <c r="K150" i="3" s="1"/>
  <c r="H151" i="3"/>
  <c r="K151" i="3" s="1"/>
  <c r="H152" i="3"/>
  <c r="K152" i="3" s="1"/>
  <c r="H153" i="3"/>
  <c r="K153" i="3" s="1"/>
  <c r="H154" i="3"/>
  <c r="K154" i="3" s="1"/>
  <c r="H155" i="3"/>
  <c r="K155" i="3" s="1"/>
  <c r="H156" i="3"/>
  <c r="K156" i="3" s="1"/>
  <c r="H157" i="3"/>
  <c r="K157" i="3" s="1"/>
  <c r="H158" i="3"/>
  <c r="K158" i="3" s="1"/>
  <c r="H159" i="3"/>
  <c r="K159" i="3" s="1"/>
  <c r="H160" i="3"/>
  <c r="K160" i="3" s="1"/>
  <c r="H161" i="3"/>
  <c r="K161" i="3" s="1"/>
  <c r="H162" i="3"/>
  <c r="K162" i="3" s="1"/>
  <c r="H163" i="3"/>
  <c r="K163" i="3" s="1"/>
  <c r="H164" i="3"/>
  <c r="K164" i="3" s="1"/>
  <c r="H165" i="3"/>
  <c r="K165" i="3" s="1"/>
  <c r="H166" i="3"/>
  <c r="K166" i="3" s="1"/>
  <c r="H167" i="3"/>
  <c r="K167" i="3" s="1"/>
  <c r="H168" i="3"/>
  <c r="K168" i="3" s="1"/>
  <c r="H169" i="3"/>
  <c r="K169" i="3" s="1"/>
  <c r="H170" i="3"/>
  <c r="K170" i="3" s="1"/>
  <c r="H171" i="3"/>
  <c r="K171" i="3" s="1"/>
  <c r="H172" i="3"/>
  <c r="K172" i="3" s="1"/>
  <c r="H173" i="3"/>
  <c r="K173" i="3" s="1"/>
  <c r="H174" i="3"/>
  <c r="K174" i="3" s="1"/>
  <c r="H175" i="3"/>
  <c r="K175" i="3" s="1"/>
  <c r="H176" i="3"/>
  <c r="K176" i="3" s="1"/>
  <c r="H177" i="3"/>
  <c r="K177" i="3" s="1"/>
  <c r="H178" i="3"/>
  <c r="K178" i="3" s="1"/>
  <c r="H179" i="3"/>
  <c r="K179" i="3" s="1"/>
  <c r="H180" i="3"/>
  <c r="K180" i="3" s="1"/>
  <c r="H181" i="3"/>
  <c r="K181" i="3" s="1"/>
  <c r="H182" i="3"/>
  <c r="K182" i="3" s="1"/>
  <c r="H183" i="3"/>
  <c r="K183" i="3" s="1"/>
  <c r="H185" i="1"/>
  <c r="I185" i="1"/>
  <c r="J185" i="1"/>
  <c r="K185" i="1"/>
  <c r="L185" i="1"/>
  <c r="M185" i="1"/>
  <c r="N185" i="1"/>
  <c r="O185" i="1"/>
  <c r="H186" i="1"/>
  <c r="I186" i="1"/>
  <c r="J186" i="1"/>
  <c r="K186" i="1"/>
  <c r="L186" i="1"/>
  <c r="M186" i="1"/>
  <c r="N186" i="1"/>
  <c r="O186" i="1"/>
  <c r="H187" i="1"/>
  <c r="I187" i="1"/>
  <c r="J187" i="1"/>
  <c r="K187" i="1"/>
  <c r="L187" i="1"/>
  <c r="M187" i="1"/>
  <c r="N187" i="1"/>
  <c r="O187" i="1"/>
  <c r="H188" i="1"/>
  <c r="I188" i="1"/>
  <c r="J188" i="1"/>
  <c r="K188" i="1"/>
  <c r="L188" i="1"/>
  <c r="M188" i="1"/>
  <c r="N188" i="1"/>
  <c r="O188" i="1"/>
  <c r="H189" i="1"/>
  <c r="I189" i="1"/>
  <c r="J189" i="1"/>
  <c r="K189" i="1"/>
  <c r="L189" i="1"/>
  <c r="M189" i="1"/>
  <c r="N189" i="1"/>
  <c r="O189" i="1"/>
  <c r="G189" i="1"/>
  <c r="G188" i="1"/>
  <c r="G187" i="1"/>
  <c r="G186" i="1"/>
  <c r="G185" i="1"/>
  <c r="A174" i="6"/>
  <c r="B174" i="6"/>
  <c r="C174" i="6"/>
  <c r="D174" i="6"/>
  <c r="E174" i="6"/>
  <c r="F174" i="6"/>
  <c r="A175" i="6"/>
  <c r="B175" i="6"/>
  <c r="C175" i="6"/>
  <c r="D175" i="6"/>
  <c r="E175" i="6"/>
  <c r="F175" i="6"/>
  <c r="A176" i="6"/>
  <c r="B176" i="6"/>
  <c r="C176" i="6"/>
  <c r="D176" i="6"/>
  <c r="E176" i="6"/>
  <c r="F176" i="6"/>
  <c r="A177" i="6"/>
  <c r="B177" i="6"/>
  <c r="C177" i="6"/>
  <c r="D177" i="6"/>
  <c r="E177" i="6"/>
  <c r="F177" i="6"/>
  <c r="A178" i="6"/>
  <c r="B178" i="6"/>
  <c r="C178" i="6"/>
  <c r="D178" i="6"/>
  <c r="E178" i="6"/>
  <c r="F178" i="6"/>
  <c r="A179" i="6"/>
  <c r="B179" i="6"/>
  <c r="C179" i="6"/>
  <c r="D179" i="6"/>
  <c r="E179" i="6"/>
  <c r="F179" i="6"/>
  <c r="A180" i="6"/>
  <c r="B180" i="6"/>
  <c r="C180" i="6"/>
  <c r="D180" i="6"/>
  <c r="E180" i="6"/>
  <c r="F180" i="6"/>
  <c r="A181" i="6"/>
  <c r="B181" i="6"/>
  <c r="C181" i="6"/>
  <c r="D181" i="6"/>
  <c r="E181" i="6"/>
  <c r="F181" i="6"/>
  <c r="A182" i="6"/>
  <c r="B182" i="6"/>
  <c r="C182" i="6"/>
  <c r="D182" i="6"/>
  <c r="E182" i="6"/>
  <c r="F182" i="6"/>
  <c r="A183" i="6"/>
  <c r="B183" i="6"/>
  <c r="C183" i="6"/>
  <c r="D183" i="6"/>
  <c r="E183" i="6"/>
  <c r="F183" i="6"/>
  <c r="A3" i="6"/>
  <c r="B3" i="6"/>
  <c r="C3" i="6"/>
  <c r="D3" i="6"/>
  <c r="E3" i="6"/>
  <c r="F3" i="6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117" i="6"/>
  <c r="B117" i="6"/>
  <c r="C117" i="6"/>
  <c r="D117" i="6"/>
  <c r="E117" i="6"/>
  <c r="F117" i="6"/>
  <c r="A118" i="6"/>
  <c r="B118" i="6"/>
  <c r="C118" i="6"/>
  <c r="D118" i="6"/>
  <c r="E118" i="6"/>
  <c r="F118" i="6"/>
  <c r="A119" i="6"/>
  <c r="B119" i="6"/>
  <c r="C119" i="6"/>
  <c r="D119" i="6"/>
  <c r="E119" i="6"/>
  <c r="F119" i="6"/>
  <c r="A120" i="6"/>
  <c r="B120" i="6"/>
  <c r="C120" i="6"/>
  <c r="D120" i="6"/>
  <c r="E120" i="6"/>
  <c r="F120" i="6"/>
  <c r="A121" i="6"/>
  <c r="B121" i="6"/>
  <c r="C121" i="6"/>
  <c r="D121" i="6"/>
  <c r="E121" i="6"/>
  <c r="F121" i="6"/>
  <c r="A122" i="6"/>
  <c r="B122" i="6"/>
  <c r="C122" i="6"/>
  <c r="D122" i="6"/>
  <c r="E122" i="6"/>
  <c r="F122" i="6"/>
  <c r="A123" i="6"/>
  <c r="B123" i="6"/>
  <c r="C123" i="6"/>
  <c r="D123" i="6"/>
  <c r="E123" i="6"/>
  <c r="F123" i="6"/>
  <c r="A124" i="6"/>
  <c r="B124" i="6"/>
  <c r="C124" i="6"/>
  <c r="D124" i="6"/>
  <c r="E124" i="6"/>
  <c r="F124" i="6"/>
  <c r="A125" i="6"/>
  <c r="B125" i="6"/>
  <c r="C125" i="6"/>
  <c r="D125" i="6"/>
  <c r="E125" i="6"/>
  <c r="F125" i="6"/>
  <c r="A126" i="6"/>
  <c r="B126" i="6"/>
  <c r="C126" i="6"/>
  <c r="D126" i="6"/>
  <c r="E126" i="6"/>
  <c r="F126" i="6"/>
  <c r="A127" i="6"/>
  <c r="B127" i="6"/>
  <c r="C127" i="6"/>
  <c r="D127" i="6"/>
  <c r="E127" i="6"/>
  <c r="F127" i="6"/>
  <c r="A128" i="6"/>
  <c r="B128" i="6"/>
  <c r="C128" i="6"/>
  <c r="D128" i="6"/>
  <c r="E128" i="6"/>
  <c r="F128" i="6"/>
  <c r="A129" i="6"/>
  <c r="B129" i="6"/>
  <c r="C129" i="6"/>
  <c r="D129" i="6"/>
  <c r="E129" i="6"/>
  <c r="F129" i="6"/>
  <c r="A130" i="6"/>
  <c r="B130" i="6"/>
  <c r="C130" i="6"/>
  <c r="D130" i="6"/>
  <c r="E130" i="6"/>
  <c r="F130" i="6"/>
  <c r="A131" i="6"/>
  <c r="B131" i="6"/>
  <c r="C131" i="6"/>
  <c r="D131" i="6"/>
  <c r="E131" i="6"/>
  <c r="F131" i="6"/>
  <c r="A132" i="6"/>
  <c r="B132" i="6"/>
  <c r="C132" i="6"/>
  <c r="D132" i="6"/>
  <c r="E132" i="6"/>
  <c r="F132" i="6"/>
  <c r="A133" i="6"/>
  <c r="B133" i="6"/>
  <c r="C133" i="6"/>
  <c r="D133" i="6"/>
  <c r="E133" i="6"/>
  <c r="F133" i="6"/>
  <c r="A134" i="6"/>
  <c r="B134" i="6"/>
  <c r="C134" i="6"/>
  <c r="D134" i="6"/>
  <c r="E134" i="6"/>
  <c r="F134" i="6"/>
  <c r="A135" i="6"/>
  <c r="B135" i="6"/>
  <c r="C135" i="6"/>
  <c r="D135" i="6"/>
  <c r="E135" i="6"/>
  <c r="F135" i="6"/>
  <c r="A136" i="6"/>
  <c r="B136" i="6"/>
  <c r="C136" i="6"/>
  <c r="D136" i="6"/>
  <c r="E136" i="6"/>
  <c r="F136" i="6"/>
  <c r="A137" i="6"/>
  <c r="B137" i="6"/>
  <c r="C137" i="6"/>
  <c r="D137" i="6"/>
  <c r="E137" i="6"/>
  <c r="F137" i="6"/>
  <c r="A138" i="6"/>
  <c r="B138" i="6"/>
  <c r="C138" i="6"/>
  <c r="D138" i="6"/>
  <c r="E138" i="6"/>
  <c r="F138" i="6"/>
  <c r="A139" i="6"/>
  <c r="B139" i="6"/>
  <c r="C139" i="6"/>
  <c r="D139" i="6"/>
  <c r="E139" i="6"/>
  <c r="F139" i="6"/>
  <c r="A140" i="6"/>
  <c r="B140" i="6"/>
  <c r="C140" i="6"/>
  <c r="D140" i="6"/>
  <c r="E140" i="6"/>
  <c r="F140" i="6"/>
  <c r="A141" i="6"/>
  <c r="B141" i="6"/>
  <c r="C141" i="6"/>
  <c r="D141" i="6"/>
  <c r="E141" i="6"/>
  <c r="F141" i="6"/>
  <c r="A142" i="6"/>
  <c r="B142" i="6"/>
  <c r="C142" i="6"/>
  <c r="D142" i="6"/>
  <c r="E142" i="6"/>
  <c r="F142" i="6"/>
  <c r="A143" i="6"/>
  <c r="B143" i="6"/>
  <c r="C143" i="6"/>
  <c r="D143" i="6"/>
  <c r="E143" i="6"/>
  <c r="F143" i="6"/>
  <c r="A144" i="6"/>
  <c r="B144" i="6"/>
  <c r="C144" i="6"/>
  <c r="D144" i="6"/>
  <c r="E144" i="6"/>
  <c r="F144" i="6"/>
  <c r="A145" i="6"/>
  <c r="B145" i="6"/>
  <c r="C145" i="6"/>
  <c r="D145" i="6"/>
  <c r="E145" i="6"/>
  <c r="F145" i="6"/>
  <c r="A146" i="6"/>
  <c r="B146" i="6"/>
  <c r="C146" i="6"/>
  <c r="D146" i="6"/>
  <c r="E146" i="6"/>
  <c r="F146" i="6"/>
  <c r="A147" i="6"/>
  <c r="B147" i="6"/>
  <c r="C147" i="6"/>
  <c r="D147" i="6"/>
  <c r="E147" i="6"/>
  <c r="F147" i="6"/>
  <c r="A148" i="6"/>
  <c r="B148" i="6"/>
  <c r="C148" i="6"/>
  <c r="D148" i="6"/>
  <c r="E148" i="6"/>
  <c r="F148" i="6"/>
  <c r="A149" i="6"/>
  <c r="B149" i="6"/>
  <c r="C149" i="6"/>
  <c r="D149" i="6"/>
  <c r="E149" i="6"/>
  <c r="F149" i="6"/>
  <c r="A150" i="6"/>
  <c r="B150" i="6"/>
  <c r="C150" i="6"/>
  <c r="D150" i="6"/>
  <c r="E150" i="6"/>
  <c r="F150" i="6"/>
  <c r="A151" i="6"/>
  <c r="B151" i="6"/>
  <c r="C151" i="6"/>
  <c r="D151" i="6"/>
  <c r="E151" i="6"/>
  <c r="F151" i="6"/>
  <c r="A152" i="6"/>
  <c r="B152" i="6"/>
  <c r="C152" i="6"/>
  <c r="D152" i="6"/>
  <c r="E152" i="6"/>
  <c r="F152" i="6"/>
  <c r="A153" i="6"/>
  <c r="B153" i="6"/>
  <c r="C153" i="6"/>
  <c r="D153" i="6"/>
  <c r="E153" i="6"/>
  <c r="F153" i="6"/>
  <c r="A154" i="6"/>
  <c r="B154" i="6"/>
  <c r="C154" i="6"/>
  <c r="D154" i="6"/>
  <c r="E154" i="6"/>
  <c r="F154" i="6"/>
  <c r="A155" i="6"/>
  <c r="B155" i="6"/>
  <c r="C155" i="6"/>
  <c r="D155" i="6"/>
  <c r="E155" i="6"/>
  <c r="F155" i="6"/>
  <c r="A156" i="6"/>
  <c r="B156" i="6"/>
  <c r="C156" i="6"/>
  <c r="D156" i="6"/>
  <c r="E156" i="6"/>
  <c r="F156" i="6"/>
  <c r="A157" i="6"/>
  <c r="B157" i="6"/>
  <c r="C157" i="6"/>
  <c r="D157" i="6"/>
  <c r="E157" i="6"/>
  <c r="F157" i="6"/>
  <c r="A158" i="6"/>
  <c r="B158" i="6"/>
  <c r="C158" i="6"/>
  <c r="D158" i="6"/>
  <c r="E158" i="6"/>
  <c r="F158" i="6"/>
  <c r="A159" i="6"/>
  <c r="B159" i="6"/>
  <c r="C159" i="6"/>
  <c r="D159" i="6"/>
  <c r="E159" i="6"/>
  <c r="F159" i="6"/>
  <c r="A160" i="6"/>
  <c r="B160" i="6"/>
  <c r="C160" i="6"/>
  <c r="D160" i="6"/>
  <c r="E160" i="6"/>
  <c r="F160" i="6"/>
  <c r="A161" i="6"/>
  <c r="B161" i="6"/>
  <c r="C161" i="6"/>
  <c r="D161" i="6"/>
  <c r="E161" i="6"/>
  <c r="F161" i="6"/>
  <c r="A162" i="6"/>
  <c r="B162" i="6"/>
  <c r="C162" i="6"/>
  <c r="D162" i="6"/>
  <c r="E162" i="6"/>
  <c r="F162" i="6"/>
  <c r="A163" i="6"/>
  <c r="B163" i="6"/>
  <c r="C163" i="6"/>
  <c r="D163" i="6"/>
  <c r="E163" i="6"/>
  <c r="F163" i="6"/>
  <c r="A164" i="6"/>
  <c r="B164" i="6"/>
  <c r="C164" i="6"/>
  <c r="D164" i="6"/>
  <c r="E164" i="6"/>
  <c r="F164" i="6"/>
  <c r="A165" i="6"/>
  <c r="B165" i="6"/>
  <c r="C165" i="6"/>
  <c r="D165" i="6"/>
  <c r="E165" i="6"/>
  <c r="F165" i="6"/>
  <c r="A166" i="6"/>
  <c r="B166" i="6"/>
  <c r="C166" i="6"/>
  <c r="D166" i="6"/>
  <c r="E166" i="6"/>
  <c r="F166" i="6"/>
  <c r="A167" i="6"/>
  <c r="B167" i="6"/>
  <c r="C167" i="6"/>
  <c r="D167" i="6"/>
  <c r="E167" i="6"/>
  <c r="F167" i="6"/>
  <c r="A168" i="6"/>
  <c r="B168" i="6"/>
  <c r="C168" i="6"/>
  <c r="D168" i="6"/>
  <c r="E168" i="6"/>
  <c r="F168" i="6"/>
  <c r="A169" i="6"/>
  <c r="B169" i="6"/>
  <c r="C169" i="6"/>
  <c r="D169" i="6"/>
  <c r="E169" i="6"/>
  <c r="F169" i="6"/>
  <c r="A170" i="6"/>
  <c r="B170" i="6"/>
  <c r="C170" i="6"/>
  <c r="D170" i="6"/>
  <c r="E170" i="6"/>
  <c r="F170" i="6"/>
  <c r="A171" i="6"/>
  <c r="B171" i="6"/>
  <c r="C171" i="6"/>
  <c r="D171" i="6"/>
  <c r="E171" i="6"/>
  <c r="F171" i="6"/>
  <c r="A172" i="6"/>
  <c r="B172" i="6"/>
  <c r="C172" i="6"/>
  <c r="D172" i="6"/>
  <c r="E172" i="6"/>
  <c r="F172" i="6"/>
  <c r="A173" i="6"/>
  <c r="B173" i="6"/>
  <c r="C173" i="6"/>
  <c r="D173" i="6"/>
  <c r="E173" i="6"/>
  <c r="F173" i="6"/>
  <c r="F2" i="6"/>
  <c r="E2" i="6"/>
  <c r="D2" i="6"/>
  <c r="C2" i="6"/>
  <c r="B2" i="6"/>
  <c r="A2" i="6"/>
  <c r="B198" i="1"/>
  <c r="B203" i="1"/>
  <c r="B200" i="1"/>
  <c r="B204" i="1"/>
  <c r="B201" i="1"/>
  <c r="V161" i="1"/>
  <c r="S163" i="1"/>
  <c r="T164" i="1"/>
  <c r="W165" i="1"/>
  <c r="Y171" i="1"/>
  <c r="U177" i="1"/>
  <c r="Y159" i="1"/>
  <c r="P142" i="1"/>
  <c r="V142" i="1"/>
  <c r="W142" i="1"/>
  <c r="X142" i="1"/>
  <c r="Z142" i="1"/>
  <c r="P143" i="1"/>
  <c r="Y143" i="1"/>
  <c r="P144" i="1"/>
  <c r="R144" i="1"/>
  <c r="T144" i="1"/>
  <c r="P145" i="1"/>
  <c r="P146" i="1"/>
  <c r="P147" i="1"/>
  <c r="P148" i="1"/>
  <c r="U149" i="1"/>
  <c r="P149" i="1"/>
  <c r="S149" i="1"/>
  <c r="P150" i="1"/>
  <c r="P151" i="1"/>
  <c r="AA151" i="1" s="1"/>
  <c r="R151" i="1"/>
  <c r="S151" i="1"/>
  <c r="U151" i="1"/>
  <c r="V151" i="1"/>
  <c r="W151" i="1"/>
  <c r="X151" i="1"/>
  <c r="Y151" i="1"/>
  <c r="Z151" i="1"/>
  <c r="P152" i="1"/>
  <c r="T152" i="1"/>
  <c r="P153" i="1"/>
  <c r="P154" i="1"/>
  <c r="P155" i="1"/>
  <c r="R155" i="1"/>
  <c r="P156" i="1"/>
  <c r="X157" i="1"/>
  <c r="P157" i="1"/>
  <c r="R157" i="1"/>
  <c r="S157" i="1"/>
  <c r="P158" i="1"/>
  <c r="R158" i="1"/>
  <c r="S158" i="1"/>
  <c r="T158" i="1"/>
  <c r="U158" i="1"/>
  <c r="V158" i="1"/>
  <c r="X158" i="1"/>
  <c r="Z158" i="1"/>
  <c r="AA158" i="1"/>
  <c r="P159" i="1"/>
  <c r="U159" i="1"/>
  <c r="V159" i="1"/>
  <c r="W159" i="1"/>
  <c r="S160" i="1"/>
  <c r="P160" i="1"/>
  <c r="P161" i="1"/>
  <c r="P162" i="1"/>
  <c r="P163" i="1"/>
  <c r="AA163" i="1" s="1"/>
  <c r="P164" i="1"/>
  <c r="P165" i="1"/>
  <c r="T165" i="1"/>
  <c r="P166" i="1"/>
  <c r="R166" i="1"/>
  <c r="T166" i="1"/>
  <c r="P167" i="1"/>
  <c r="R167" i="1"/>
  <c r="P168" i="1"/>
  <c r="R168" i="1"/>
  <c r="P169" i="1"/>
  <c r="S169" i="1"/>
  <c r="U169" i="1"/>
  <c r="V169" i="1"/>
  <c r="P170" i="1"/>
  <c r="S170" i="1"/>
  <c r="P171" i="1"/>
  <c r="S171" i="1"/>
  <c r="P172" i="1"/>
  <c r="Z172" i="1"/>
  <c r="P173" i="1"/>
  <c r="Y173" i="1"/>
  <c r="T174" i="1"/>
  <c r="P174" i="1"/>
  <c r="P175" i="1"/>
  <c r="AA175" i="1" s="1"/>
  <c r="R175" i="1"/>
  <c r="S175" i="1"/>
  <c r="U175" i="1"/>
  <c r="W175" i="1"/>
  <c r="X175" i="1"/>
  <c r="Z175" i="1"/>
  <c r="P176" i="1"/>
  <c r="R176" i="1"/>
  <c r="S176" i="1"/>
  <c r="T176" i="1"/>
  <c r="AA176" i="1"/>
  <c r="P177" i="1"/>
  <c r="P178" i="1"/>
  <c r="AA178" i="1" s="1"/>
  <c r="P179" i="1"/>
  <c r="P180" i="1"/>
  <c r="R180" i="1"/>
  <c r="P181" i="1"/>
  <c r="P182" i="1"/>
  <c r="R182" i="1"/>
  <c r="T182" i="1"/>
  <c r="V182" i="1"/>
  <c r="W182" i="1"/>
  <c r="X182" i="1"/>
  <c r="P183" i="1"/>
  <c r="AA183" i="1" s="1"/>
  <c r="R183" i="1"/>
  <c r="S183" i="1"/>
  <c r="T183" i="1"/>
  <c r="U183" i="1"/>
  <c r="W183" i="1"/>
  <c r="X183" i="1"/>
  <c r="Y183" i="1"/>
  <c r="Z183" i="1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W173" i="1" l="1"/>
  <c r="U173" i="1"/>
  <c r="X172" i="1"/>
  <c r="T173" i="1"/>
  <c r="Y148" i="1"/>
  <c r="AA173" i="1"/>
  <c r="U165" i="1"/>
  <c r="R164" i="1"/>
  <c r="AA155" i="1"/>
  <c r="R148" i="1"/>
  <c r="X145" i="1"/>
  <c r="Z148" i="1"/>
  <c r="Z181" i="1"/>
  <c r="S173" i="1"/>
  <c r="V172" i="1"/>
  <c r="R170" i="1"/>
  <c r="Y165" i="1"/>
  <c r="Z164" i="1"/>
  <c r="S162" i="1"/>
  <c r="Y153" i="1"/>
  <c r="V148" i="1"/>
  <c r="V146" i="1"/>
  <c r="W172" i="1"/>
  <c r="X146" i="1"/>
  <c r="R173" i="1"/>
  <c r="X165" i="1"/>
  <c r="R162" i="1"/>
  <c r="U148" i="1"/>
  <c r="T172" i="1"/>
  <c r="V164" i="1"/>
  <c r="R172" i="1"/>
  <c r="T148" i="1"/>
  <c r="R171" i="1"/>
  <c r="Y163" i="1"/>
  <c r="V155" i="1"/>
  <c r="Z170" i="1"/>
  <c r="X163" i="1"/>
  <c r="X155" i="1"/>
  <c r="S146" i="1"/>
  <c r="AA170" i="1"/>
  <c r="S161" i="1"/>
  <c r="X170" i="1"/>
  <c r="X171" i="1"/>
  <c r="T170" i="1"/>
  <c r="W169" i="1"/>
  <c r="Z168" i="1"/>
  <c r="Z160" i="1"/>
  <c r="S155" i="1"/>
  <c r="S153" i="1"/>
  <c r="Z146" i="1"/>
  <c r="AA179" i="1"/>
  <c r="X147" i="1"/>
  <c r="W154" i="1"/>
  <c r="W155" i="1"/>
  <c r="V154" i="1"/>
  <c r="R152" i="1"/>
  <c r="R146" i="1"/>
  <c r="Z144" i="1"/>
  <c r="Z155" i="1"/>
  <c r="AA169" i="1"/>
  <c r="Z171" i="1"/>
  <c r="Y169" i="1"/>
  <c r="R163" i="1"/>
  <c r="U155" i="1"/>
  <c r="Z163" i="1"/>
  <c r="Y147" i="1"/>
  <c r="Y155" i="1"/>
  <c r="T146" i="1"/>
  <c r="AA171" i="1"/>
  <c r="AA177" i="1"/>
  <c r="V170" i="1"/>
  <c r="X169" i="1"/>
  <c r="AA168" i="1"/>
  <c r="T155" i="1"/>
  <c r="AA146" i="1"/>
  <c r="Y181" i="1"/>
  <c r="X181" i="1"/>
  <c r="W147" i="1"/>
  <c r="W143" i="1"/>
  <c r="AA181" i="1"/>
  <c r="S181" i="1"/>
  <c r="S180" i="1"/>
  <c r="S179" i="1"/>
  <c r="Z174" i="1"/>
  <c r="T171" i="1"/>
  <c r="S167" i="1"/>
  <c r="U166" i="1"/>
  <c r="T163" i="1"/>
  <c r="T162" i="1"/>
  <c r="U161" i="1"/>
  <c r="X159" i="1"/>
  <c r="AA157" i="1"/>
  <c r="X154" i="1"/>
  <c r="T153" i="1"/>
  <c r="U152" i="1"/>
  <c r="R150" i="1"/>
  <c r="T149" i="1"/>
  <c r="Z147" i="1"/>
  <c r="R147" i="1"/>
  <c r="W145" i="1"/>
  <c r="Z143" i="1"/>
  <c r="W181" i="1"/>
  <c r="V181" i="1"/>
  <c r="Z180" i="1"/>
  <c r="W179" i="1"/>
  <c r="Z173" i="1"/>
  <c r="W171" i="1"/>
  <c r="Z166" i="1"/>
  <c r="S165" i="1"/>
  <c r="W163" i="1"/>
  <c r="AA161" i="1"/>
  <c r="U156" i="1"/>
  <c r="Z152" i="1"/>
  <c r="Y149" i="1"/>
  <c r="U147" i="1"/>
  <c r="U143" i="1"/>
  <c r="AA180" i="1"/>
  <c r="X179" i="1"/>
  <c r="AA149" i="1"/>
  <c r="V147" i="1"/>
  <c r="V143" i="1"/>
  <c r="V171" i="1"/>
  <c r="AA167" i="1"/>
  <c r="W166" i="1"/>
  <c r="AA165" i="1"/>
  <c r="R165" i="1"/>
  <c r="V163" i="1"/>
  <c r="AA162" i="1"/>
  <c r="W161" i="1"/>
  <c r="T156" i="1"/>
  <c r="Z154" i="1"/>
  <c r="AA153" i="1"/>
  <c r="Y152" i="1"/>
  <c r="W149" i="1"/>
  <c r="T147" i="1"/>
  <c r="Y145" i="1"/>
  <c r="S143" i="1"/>
  <c r="X143" i="1"/>
  <c r="U181" i="1"/>
  <c r="V180" i="1"/>
  <c r="V179" i="1"/>
  <c r="V183" i="1"/>
  <c r="Z182" i="1"/>
  <c r="T181" i="1"/>
  <c r="T180" i="1"/>
  <c r="U179" i="1"/>
  <c r="X173" i="1"/>
  <c r="U171" i="1"/>
  <c r="U167" i="1"/>
  <c r="V166" i="1"/>
  <c r="Z165" i="1"/>
  <c r="U163" i="1"/>
  <c r="Z162" i="1"/>
  <c r="Y154" i="1"/>
  <c r="V152" i="1"/>
  <c r="X148" i="1"/>
  <c r="AA147" i="1"/>
  <c r="S147" i="1"/>
  <c r="W146" i="1"/>
  <c r="AA143" i="1"/>
  <c r="R143" i="1"/>
  <c r="Z178" i="1"/>
  <c r="X174" i="1"/>
  <c r="X160" i="1"/>
  <c r="X178" i="1"/>
  <c r="U150" i="1"/>
  <c r="Y150" i="1"/>
  <c r="T150" i="1"/>
  <c r="V150" i="1"/>
  <c r="W150" i="1"/>
  <c r="X177" i="1"/>
  <c r="V174" i="1"/>
  <c r="U160" i="1"/>
  <c r="W174" i="1"/>
  <c r="W168" i="1"/>
  <c r="Y168" i="1"/>
  <c r="V160" i="1"/>
  <c r="V178" i="1"/>
  <c r="Y156" i="1"/>
  <c r="Z156" i="1"/>
  <c r="R156" i="1"/>
  <c r="S156" i="1"/>
  <c r="AA156" i="1"/>
  <c r="W176" i="1"/>
  <c r="Y176" i="1"/>
  <c r="V168" i="1"/>
  <c r="T167" i="1"/>
  <c r="V167" i="1"/>
  <c r="U162" i="1"/>
  <c r="W162" i="1"/>
  <c r="T160" i="1"/>
  <c r="Z157" i="1"/>
  <c r="AA150" i="1"/>
  <c r="V177" i="1"/>
  <c r="U168" i="1"/>
  <c r="Y167" i="1"/>
  <c r="Y164" i="1"/>
  <c r="Y162" i="1"/>
  <c r="R161" i="1"/>
  <c r="Z161" i="1"/>
  <c r="T161" i="1"/>
  <c r="Y157" i="1"/>
  <c r="X156" i="1"/>
  <c r="Z150" i="1"/>
  <c r="U142" i="1"/>
  <c r="Y142" i="1"/>
  <c r="R142" i="1"/>
  <c r="S142" i="1"/>
  <c r="T142" i="1"/>
  <c r="Y174" i="1"/>
  <c r="S174" i="1"/>
  <c r="AA174" i="1"/>
  <c r="W160" i="1"/>
  <c r="Y160" i="1"/>
  <c r="W178" i="1"/>
  <c r="Y178" i="1"/>
  <c r="X168" i="1"/>
  <c r="U178" i="1"/>
  <c r="U174" i="1"/>
  <c r="S164" i="1"/>
  <c r="AA164" i="1"/>
  <c r="U164" i="1"/>
  <c r="V145" i="1"/>
  <c r="R145" i="1"/>
  <c r="Z145" i="1"/>
  <c r="S145" i="1"/>
  <c r="T145" i="1"/>
  <c r="U145" i="1"/>
  <c r="T178" i="1"/>
  <c r="T175" i="1"/>
  <c r="V175" i="1"/>
  <c r="S172" i="1"/>
  <c r="AA172" i="1"/>
  <c r="U172" i="1"/>
  <c r="U170" i="1"/>
  <c r="W170" i="1"/>
  <c r="T168" i="1"/>
  <c r="X167" i="1"/>
  <c r="Y166" i="1"/>
  <c r="S166" i="1"/>
  <c r="AA166" i="1"/>
  <c r="X164" i="1"/>
  <c r="X162" i="1"/>
  <c r="Y161" i="1"/>
  <c r="R160" i="1"/>
  <c r="W156" i="1"/>
  <c r="V153" i="1"/>
  <c r="R153" i="1"/>
  <c r="Z153" i="1"/>
  <c r="U153" i="1"/>
  <c r="W153" i="1"/>
  <c r="X153" i="1"/>
  <c r="X150" i="1"/>
  <c r="R177" i="1"/>
  <c r="Z177" i="1"/>
  <c r="T177" i="1"/>
  <c r="Y177" i="1"/>
  <c r="T157" i="1"/>
  <c r="U157" i="1"/>
  <c r="V157" i="1"/>
  <c r="S144" i="1"/>
  <c r="AA144" i="1"/>
  <c r="W144" i="1"/>
  <c r="U144" i="1"/>
  <c r="V144" i="1"/>
  <c r="X144" i="1"/>
  <c r="W177" i="1"/>
  <c r="Z176" i="1"/>
  <c r="Z167" i="1"/>
  <c r="U180" i="1"/>
  <c r="W180" i="1"/>
  <c r="X176" i="1"/>
  <c r="S182" i="1"/>
  <c r="AA182" i="1"/>
  <c r="U182" i="1"/>
  <c r="Y180" i="1"/>
  <c r="R179" i="1"/>
  <c r="Z179" i="1"/>
  <c r="T179" i="1"/>
  <c r="S178" i="1"/>
  <c r="V176" i="1"/>
  <c r="R174" i="1"/>
  <c r="Y182" i="1"/>
  <c r="X180" i="1"/>
  <c r="Y179" i="1"/>
  <c r="R178" i="1"/>
  <c r="S177" i="1"/>
  <c r="U176" i="1"/>
  <c r="Y175" i="1"/>
  <c r="Y172" i="1"/>
  <c r="Y170" i="1"/>
  <c r="R169" i="1"/>
  <c r="Z169" i="1"/>
  <c r="T169" i="1"/>
  <c r="S168" i="1"/>
  <c r="W167" i="1"/>
  <c r="X166" i="1"/>
  <c r="W164" i="1"/>
  <c r="V162" i="1"/>
  <c r="X161" i="1"/>
  <c r="AA160" i="1"/>
  <c r="R159" i="1"/>
  <c r="Z159" i="1"/>
  <c r="S159" i="1"/>
  <c r="T159" i="1"/>
  <c r="W157" i="1"/>
  <c r="V156" i="1"/>
  <c r="U154" i="1"/>
  <c r="R154" i="1"/>
  <c r="AA154" i="1"/>
  <c r="S154" i="1"/>
  <c r="T154" i="1"/>
  <c r="S150" i="1"/>
  <c r="AA145" i="1"/>
  <c r="Y144" i="1"/>
  <c r="AA142" i="1"/>
  <c r="R181" i="1"/>
  <c r="Y158" i="1"/>
  <c r="S152" i="1"/>
  <c r="AA152" i="1"/>
  <c r="W152" i="1"/>
  <c r="R149" i="1"/>
  <c r="Z149" i="1"/>
  <c r="V149" i="1"/>
  <c r="V173" i="1"/>
  <c r="V165" i="1"/>
  <c r="W158" i="1"/>
  <c r="X152" i="1"/>
  <c r="X149" i="1"/>
  <c r="W148" i="1"/>
  <c r="S148" i="1"/>
  <c r="AA148" i="1"/>
  <c r="Y146" i="1"/>
  <c r="U146" i="1"/>
  <c r="T151" i="1"/>
  <c r="T143" i="1"/>
  <c r="AA159" i="1"/>
  <c r="B199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Y4" i="1"/>
  <c r="R5" i="1"/>
  <c r="R6" i="1"/>
  <c r="V8" i="1"/>
  <c r="R9" i="1"/>
  <c r="S10" i="1"/>
  <c r="T11" i="1"/>
  <c r="T13" i="1"/>
  <c r="T14" i="1"/>
  <c r="T15" i="1"/>
  <c r="R17" i="1"/>
  <c r="V18" i="1"/>
  <c r="R19" i="1"/>
  <c r="X20" i="1"/>
  <c r="T21" i="1"/>
  <c r="Y22" i="1"/>
  <c r="W23" i="1"/>
  <c r="T27" i="1"/>
  <c r="V28" i="1"/>
  <c r="R29" i="1"/>
  <c r="R30" i="1"/>
  <c r="T31" i="1"/>
  <c r="V32" i="1"/>
  <c r="U34" i="1"/>
  <c r="Y35" i="1"/>
  <c r="T37" i="1"/>
  <c r="R39" i="1"/>
  <c r="W40" i="1"/>
  <c r="R41" i="1"/>
  <c r="S42" i="1"/>
  <c r="T43" i="1"/>
  <c r="V44" i="1"/>
  <c r="X45" i="1"/>
  <c r="R46" i="1"/>
  <c r="R47" i="1"/>
  <c r="U48" i="1"/>
  <c r="X49" i="1"/>
  <c r="S50" i="1"/>
  <c r="T53" i="1"/>
  <c r="V56" i="1"/>
  <c r="R57" i="1"/>
  <c r="W58" i="1"/>
  <c r="T59" i="1"/>
  <c r="U60" i="1"/>
  <c r="Y61" i="1"/>
  <c r="T62" i="1"/>
  <c r="W68" i="1"/>
  <c r="T71" i="1"/>
  <c r="T77" i="1"/>
  <c r="V78" i="1"/>
  <c r="R79" i="1"/>
  <c r="R81" i="1"/>
  <c r="T85" i="1"/>
  <c r="Z91" i="1"/>
  <c r="R94" i="1"/>
  <c r="W96" i="1"/>
  <c r="V98" i="1"/>
  <c r="X100" i="1"/>
  <c r="Y109" i="1"/>
  <c r="W122" i="1"/>
  <c r="T123" i="1"/>
  <c r="Y125" i="1"/>
  <c r="P186" i="1" l="1"/>
  <c r="P187" i="1"/>
  <c r="P188" i="1"/>
  <c r="P189" i="1"/>
  <c r="P185" i="1"/>
  <c r="S3" i="1"/>
  <c r="B202" i="1"/>
  <c r="V2" i="1"/>
  <c r="B185" i="1"/>
  <c r="R133" i="1"/>
  <c r="Y136" i="1"/>
  <c r="W72" i="1"/>
  <c r="W132" i="1"/>
  <c r="X116" i="1"/>
  <c r="X36" i="1"/>
  <c r="S139" i="1"/>
  <c r="S131" i="1"/>
  <c r="T107" i="1"/>
  <c r="U99" i="1"/>
  <c r="R83" i="1"/>
  <c r="S67" i="1"/>
  <c r="R51" i="1"/>
  <c r="R110" i="1"/>
  <c r="U70" i="1"/>
  <c r="T95" i="1"/>
  <c r="Z63" i="1"/>
  <c r="S130" i="1"/>
  <c r="S82" i="1"/>
  <c r="U66" i="1"/>
  <c r="S105" i="1"/>
  <c r="U89" i="1"/>
  <c r="W65" i="1"/>
  <c r="T101" i="1"/>
  <c r="R141" i="1"/>
  <c r="S117" i="1"/>
  <c r="V124" i="1"/>
  <c r="AA108" i="1"/>
  <c r="S114" i="1"/>
  <c r="W106" i="1"/>
  <c r="U90" i="1"/>
  <c r="R93" i="1"/>
  <c r="V69" i="1"/>
  <c r="W84" i="1"/>
  <c r="U138" i="1"/>
  <c r="X137" i="1"/>
  <c r="W97" i="1"/>
  <c r="R115" i="1"/>
  <c r="T75" i="1"/>
  <c r="R134" i="1"/>
  <c r="R135" i="1"/>
  <c r="Y87" i="1"/>
  <c r="R7" i="1"/>
  <c r="T7" i="1"/>
  <c r="S135" i="1"/>
  <c r="T127" i="1"/>
  <c r="X119" i="1"/>
  <c r="S111" i="1"/>
  <c r="T55" i="1"/>
  <c r="AA2" i="1"/>
  <c r="T103" i="1"/>
  <c r="T126" i="1"/>
  <c r="R86" i="1"/>
  <c r="U73" i="1"/>
  <c r="R73" i="1"/>
  <c r="S91" i="1"/>
  <c r="T119" i="1"/>
  <c r="V110" i="1"/>
  <c r="R103" i="1"/>
  <c r="T111" i="1"/>
  <c r="X47" i="1"/>
  <c r="R31" i="1"/>
  <c r="T78" i="1"/>
  <c r="X23" i="1"/>
  <c r="T94" i="1"/>
  <c r="R22" i="1"/>
  <c r="Y135" i="1"/>
  <c r="V136" i="1"/>
  <c r="T30" i="1"/>
  <c r="U20" i="1"/>
  <c r="R91" i="1"/>
  <c r="S51" i="1"/>
  <c r="R3" i="1"/>
  <c r="S43" i="1"/>
  <c r="T87" i="1"/>
  <c r="U139" i="1"/>
  <c r="V84" i="1"/>
  <c r="U123" i="1"/>
  <c r="R71" i="1"/>
  <c r="S123" i="1"/>
  <c r="S19" i="1"/>
  <c r="U115" i="1"/>
  <c r="Y83" i="1"/>
  <c r="R59" i="1"/>
  <c r="S107" i="1"/>
  <c r="T135" i="1"/>
  <c r="T47" i="1"/>
  <c r="U83" i="1"/>
  <c r="W70" i="1"/>
  <c r="Y59" i="1"/>
  <c r="R99" i="1"/>
  <c r="S83" i="1"/>
  <c r="S27" i="1"/>
  <c r="R131" i="1"/>
  <c r="R35" i="1"/>
  <c r="S103" i="1"/>
  <c r="T46" i="1"/>
  <c r="X139" i="1"/>
  <c r="Z110" i="1"/>
  <c r="R137" i="1"/>
  <c r="V60" i="1"/>
  <c r="R95" i="1"/>
  <c r="R67" i="1"/>
  <c r="R27" i="1"/>
  <c r="S137" i="1"/>
  <c r="S95" i="1"/>
  <c r="S35" i="1"/>
  <c r="T79" i="1"/>
  <c r="T39" i="1"/>
  <c r="U131" i="1"/>
  <c r="U72" i="1"/>
  <c r="V134" i="1"/>
  <c r="X123" i="1"/>
  <c r="Y137" i="1"/>
  <c r="R61" i="1"/>
  <c r="R21" i="1"/>
  <c r="Z108" i="1"/>
  <c r="R123" i="1"/>
  <c r="R85" i="1"/>
  <c r="S115" i="1"/>
  <c r="S75" i="1"/>
  <c r="S11" i="1"/>
  <c r="T110" i="1"/>
  <c r="T63" i="1"/>
  <c r="T23" i="1"/>
  <c r="U107" i="1"/>
  <c r="U46" i="1"/>
  <c r="V109" i="1"/>
  <c r="V6" i="1"/>
  <c r="W43" i="1"/>
  <c r="X99" i="1"/>
  <c r="Y111" i="1"/>
  <c r="Z107" i="1"/>
  <c r="R111" i="1"/>
  <c r="R15" i="1"/>
  <c r="U44" i="1"/>
  <c r="V108" i="1"/>
  <c r="W108" i="1"/>
  <c r="X75" i="1"/>
  <c r="X141" i="1"/>
  <c r="V20" i="1"/>
  <c r="R125" i="1"/>
  <c r="S109" i="1"/>
  <c r="S59" i="1"/>
  <c r="S2" i="1"/>
  <c r="U91" i="1"/>
  <c r="U22" i="1"/>
  <c r="V85" i="1"/>
  <c r="Y85" i="1"/>
  <c r="AA75" i="1"/>
  <c r="V34" i="1"/>
  <c r="AA121" i="1"/>
  <c r="Z121" i="1"/>
  <c r="V121" i="1"/>
  <c r="X121" i="1"/>
  <c r="Y121" i="1"/>
  <c r="T121" i="1"/>
  <c r="AA97" i="1"/>
  <c r="Z97" i="1"/>
  <c r="V97" i="1"/>
  <c r="T97" i="1"/>
  <c r="Y97" i="1"/>
  <c r="Z73" i="1"/>
  <c r="V73" i="1"/>
  <c r="W73" i="1"/>
  <c r="T73" i="1"/>
  <c r="Z49" i="1"/>
  <c r="Y49" i="1"/>
  <c r="W49" i="1"/>
  <c r="V49" i="1"/>
  <c r="U49" i="1"/>
  <c r="T49" i="1"/>
  <c r="Z33" i="1"/>
  <c r="V33" i="1"/>
  <c r="X33" i="1"/>
  <c r="T33" i="1"/>
  <c r="Z9" i="1"/>
  <c r="Y9" i="1"/>
  <c r="V9" i="1"/>
  <c r="T9" i="1"/>
  <c r="X9" i="1"/>
  <c r="W9" i="1"/>
  <c r="R33" i="1"/>
  <c r="S66" i="1"/>
  <c r="S18" i="1"/>
  <c r="U106" i="1"/>
  <c r="V58" i="1"/>
  <c r="X136" i="1"/>
  <c r="AA136" i="1"/>
  <c r="Z136" i="1"/>
  <c r="T136" i="1"/>
  <c r="R136" i="1"/>
  <c r="U136" i="1"/>
  <c r="S136" i="1"/>
  <c r="Z120" i="1"/>
  <c r="X120" i="1"/>
  <c r="AA120" i="1"/>
  <c r="Y120" i="1"/>
  <c r="T120" i="1"/>
  <c r="R120" i="1"/>
  <c r="U120" i="1"/>
  <c r="S120" i="1"/>
  <c r="Z104" i="1"/>
  <c r="X104" i="1"/>
  <c r="Y104" i="1"/>
  <c r="T104" i="1"/>
  <c r="R104" i="1"/>
  <c r="U104" i="1"/>
  <c r="S104" i="1"/>
  <c r="X96" i="1"/>
  <c r="Z96" i="1"/>
  <c r="T96" i="1"/>
  <c r="R96" i="1"/>
  <c r="Y96" i="1"/>
  <c r="U96" i="1"/>
  <c r="S96" i="1"/>
  <c r="AA80" i="1"/>
  <c r="X80" i="1"/>
  <c r="Z80" i="1"/>
  <c r="T80" i="1"/>
  <c r="R80" i="1"/>
  <c r="Y80" i="1"/>
  <c r="W80" i="1"/>
  <c r="V80" i="1"/>
  <c r="U80" i="1"/>
  <c r="S80" i="1"/>
  <c r="X72" i="1"/>
  <c r="Z72" i="1"/>
  <c r="T72" i="1"/>
  <c r="R72" i="1"/>
  <c r="Y72" i="1"/>
  <c r="S72" i="1"/>
  <c r="X64" i="1"/>
  <c r="Y64" i="1"/>
  <c r="T64" i="1"/>
  <c r="R64" i="1"/>
  <c r="U64" i="1"/>
  <c r="W64" i="1"/>
  <c r="V64" i="1"/>
  <c r="S64" i="1"/>
  <c r="X48" i="1"/>
  <c r="V48" i="1"/>
  <c r="T48" i="1"/>
  <c r="R48" i="1"/>
  <c r="W48" i="1"/>
  <c r="Z48" i="1"/>
  <c r="S48" i="1"/>
  <c r="X40" i="1"/>
  <c r="Z40" i="1"/>
  <c r="Y40" i="1"/>
  <c r="T40" i="1"/>
  <c r="R40" i="1"/>
  <c r="U40" i="1"/>
  <c r="S40" i="1"/>
  <c r="X32" i="1"/>
  <c r="W32" i="1"/>
  <c r="T32" i="1"/>
  <c r="R32" i="1"/>
  <c r="S32" i="1"/>
  <c r="X24" i="1"/>
  <c r="Y24" i="1"/>
  <c r="Z24" i="1"/>
  <c r="W24" i="1"/>
  <c r="U24" i="1"/>
  <c r="T24" i="1"/>
  <c r="R24" i="1"/>
  <c r="V24" i="1"/>
  <c r="S24" i="1"/>
  <c r="Y16" i="1"/>
  <c r="X16" i="1"/>
  <c r="W16" i="1"/>
  <c r="Z16" i="1"/>
  <c r="T16" i="1"/>
  <c r="R16" i="1"/>
  <c r="V16" i="1"/>
  <c r="S16" i="1"/>
  <c r="X8" i="1"/>
  <c r="Z8" i="1"/>
  <c r="Y8" i="1"/>
  <c r="T8" i="1"/>
  <c r="R8" i="1"/>
  <c r="W8" i="1"/>
  <c r="S8" i="1"/>
  <c r="R121" i="1"/>
  <c r="R109" i="1"/>
  <c r="R70" i="1"/>
  <c r="R45" i="1"/>
  <c r="S133" i="1"/>
  <c r="S121" i="1"/>
  <c r="S81" i="1"/>
  <c r="S65" i="1"/>
  <c r="S49" i="1"/>
  <c r="S33" i="1"/>
  <c r="S17" i="1"/>
  <c r="T141" i="1"/>
  <c r="T125" i="1"/>
  <c r="T109" i="1"/>
  <c r="T93" i="1"/>
  <c r="T61" i="1"/>
  <c r="T45" i="1"/>
  <c r="T29" i="1"/>
  <c r="U137" i="1"/>
  <c r="U121" i="1"/>
  <c r="U105" i="1"/>
  <c r="U18" i="1"/>
  <c r="V133" i="1"/>
  <c r="V82" i="1"/>
  <c r="V30" i="1"/>
  <c r="V5" i="1"/>
  <c r="W120" i="1"/>
  <c r="W94" i="1"/>
  <c r="W37" i="1"/>
  <c r="X97" i="1"/>
  <c r="Y32" i="1"/>
  <c r="AA138" i="1"/>
  <c r="AA135" i="1"/>
  <c r="V135" i="1"/>
  <c r="Z135" i="1"/>
  <c r="W135" i="1"/>
  <c r="X135" i="1"/>
  <c r="AA127" i="1"/>
  <c r="Y127" i="1"/>
  <c r="X127" i="1"/>
  <c r="V127" i="1"/>
  <c r="W127" i="1"/>
  <c r="Z127" i="1"/>
  <c r="AA119" i="1"/>
  <c r="V119" i="1"/>
  <c r="W119" i="1"/>
  <c r="Z119" i="1"/>
  <c r="Y119" i="1"/>
  <c r="AA111" i="1"/>
  <c r="Z111" i="1"/>
  <c r="V111" i="1"/>
  <c r="W111" i="1"/>
  <c r="AA103" i="1"/>
  <c r="Z103" i="1"/>
  <c r="V103" i="1"/>
  <c r="Y103" i="1"/>
  <c r="W103" i="1"/>
  <c r="X103" i="1"/>
  <c r="AA95" i="1"/>
  <c r="Z95" i="1"/>
  <c r="V95" i="1"/>
  <c r="Y95" i="1"/>
  <c r="X95" i="1"/>
  <c r="W95" i="1"/>
  <c r="AA87" i="1"/>
  <c r="V87" i="1"/>
  <c r="Z87" i="1"/>
  <c r="W87" i="1"/>
  <c r="V79" i="1"/>
  <c r="Z79" i="1"/>
  <c r="Y79" i="1"/>
  <c r="X79" i="1"/>
  <c r="W79" i="1"/>
  <c r="U79" i="1"/>
  <c r="Z71" i="1"/>
  <c r="V71" i="1"/>
  <c r="W71" i="1"/>
  <c r="U71" i="1"/>
  <c r="Y71" i="1"/>
  <c r="Y63" i="1"/>
  <c r="X63" i="1"/>
  <c r="V63" i="1"/>
  <c r="W63" i="1"/>
  <c r="U63" i="1"/>
  <c r="AA55" i="1"/>
  <c r="Z55" i="1"/>
  <c r="V55" i="1"/>
  <c r="W55" i="1"/>
  <c r="U55" i="1"/>
  <c r="X55" i="1"/>
  <c r="Y55" i="1"/>
  <c r="V47" i="1"/>
  <c r="Z47" i="1"/>
  <c r="U47" i="1"/>
  <c r="W47" i="1"/>
  <c r="Y47" i="1"/>
  <c r="Z39" i="1"/>
  <c r="W39" i="1"/>
  <c r="V39" i="1"/>
  <c r="Y39" i="1"/>
  <c r="X39" i="1"/>
  <c r="U39" i="1"/>
  <c r="V31" i="1"/>
  <c r="Y31" i="1"/>
  <c r="X31" i="1"/>
  <c r="U31" i="1"/>
  <c r="Z31" i="1"/>
  <c r="W31" i="1"/>
  <c r="Z23" i="1"/>
  <c r="Y23" i="1"/>
  <c r="V23" i="1"/>
  <c r="U23" i="1"/>
  <c r="V15" i="1"/>
  <c r="Z15" i="1"/>
  <c r="X15" i="1"/>
  <c r="Y15" i="1"/>
  <c r="U15" i="1"/>
  <c r="W15" i="1"/>
  <c r="Y7" i="1"/>
  <c r="Z7" i="1"/>
  <c r="V7" i="1"/>
  <c r="W7" i="1"/>
  <c r="U7" i="1"/>
  <c r="X7" i="1"/>
  <c r="R119" i="1"/>
  <c r="R107" i="1"/>
  <c r="R69" i="1"/>
  <c r="R55" i="1"/>
  <c r="R43" i="1"/>
  <c r="S119" i="1"/>
  <c r="S106" i="1"/>
  <c r="S93" i="1"/>
  <c r="S79" i="1"/>
  <c r="S63" i="1"/>
  <c r="S47" i="1"/>
  <c r="S31" i="1"/>
  <c r="S15" i="1"/>
  <c r="T139" i="1"/>
  <c r="T91" i="1"/>
  <c r="U135" i="1"/>
  <c r="U119" i="1"/>
  <c r="U103" i="1"/>
  <c r="U87" i="1"/>
  <c r="U41" i="1"/>
  <c r="U16" i="1"/>
  <c r="V130" i="1"/>
  <c r="V104" i="1"/>
  <c r="V53" i="1"/>
  <c r="W116" i="1"/>
  <c r="W90" i="1"/>
  <c r="W33" i="1"/>
  <c r="X132" i="1"/>
  <c r="X87" i="1"/>
  <c r="Y73" i="1"/>
  <c r="S98" i="1"/>
  <c r="AA137" i="1"/>
  <c r="V137" i="1"/>
  <c r="W137" i="1"/>
  <c r="T137" i="1"/>
  <c r="Z137" i="1"/>
  <c r="Z113" i="1"/>
  <c r="Y113" i="1"/>
  <c r="V113" i="1"/>
  <c r="W113" i="1"/>
  <c r="T113" i="1"/>
  <c r="X113" i="1"/>
  <c r="X89" i="1"/>
  <c r="Y89" i="1"/>
  <c r="V89" i="1"/>
  <c r="Z89" i="1"/>
  <c r="T89" i="1"/>
  <c r="W89" i="1"/>
  <c r="Z57" i="1"/>
  <c r="V57" i="1"/>
  <c r="X57" i="1"/>
  <c r="T57" i="1"/>
  <c r="Z25" i="1"/>
  <c r="Y25" i="1"/>
  <c r="X25" i="1"/>
  <c r="W25" i="1"/>
  <c r="V25" i="1"/>
  <c r="U25" i="1"/>
  <c r="T25" i="1"/>
  <c r="R97" i="1"/>
  <c r="U122" i="1"/>
  <c r="W121" i="1"/>
  <c r="Y33" i="1"/>
  <c r="AA128" i="1"/>
  <c r="X128" i="1"/>
  <c r="Y128" i="1"/>
  <c r="T128" i="1"/>
  <c r="R128" i="1"/>
  <c r="W128" i="1"/>
  <c r="V128" i="1"/>
  <c r="U128" i="1"/>
  <c r="S128" i="1"/>
  <c r="AA112" i="1"/>
  <c r="Z112" i="1"/>
  <c r="X112" i="1"/>
  <c r="W112" i="1"/>
  <c r="V112" i="1"/>
  <c r="T112" i="1"/>
  <c r="R112" i="1"/>
  <c r="U112" i="1"/>
  <c r="S112" i="1"/>
  <c r="X88" i="1"/>
  <c r="AA88" i="1"/>
  <c r="Z88" i="1"/>
  <c r="Y88" i="1"/>
  <c r="T88" i="1"/>
  <c r="R88" i="1"/>
  <c r="W88" i="1"/>
  <c r="V88" i="1"/>
  <c r="U88" i="1"/>
  <c r="S88" i="1"/>
  <c r="X56" i="1"/>
  <c r="Z56" i="1"/>
  <c r="Y56" i="1"/>
  <c r="T56" i="1"/>
  <c r="R56" i="1"/>
  <c r="U56" i="1"/>
  <c r="S56" i="1"/>
  <c r="AA134" i="1"/>
  <c r="X134" i="1"/>
  <c r="Z134" i="1"/>
  <c r="Y134" i="1"/>
  <c r="U134" i="1"/>
  <c r="S134" i="1"/>
  <c r="AA126" i="1"/>
  <c r="X126" i="1"/>
  <c r="Y126" i="1"/>
  <c r="Z126" i="1"/>
  <c r="W126" i="1"/>
  <c r="V126" i="1"/>
  <c r="U126" i="1"/>
  <c r="S126" i="1"/>
  <c r="X118" i="1"/>
  <c r="Y118" i="1"/>
  <c r="Z118" i="1"/>
  <c r="U118" i="1"/>
  <c r="S118" i="1"/>
  <c r="W118" i="1"/>
  <c r="V118" i="1"/>
  <c r="AA110" i="1"/>
  <c r="X110" i="1"/>
  <c r="Y110" i="1"/>
  <c r="U110" i="1"/>
  <c r="S110" i="1"/>
  <c r="AA102" i="1"/>
  <c r="Z102" i="1"/>
  <c r="X102" i="1"/>
  <c r="Y102" i="1"/>
  <c r="W102" i="1"/>
  <c r="V102" i="1"/>
  <c r="U102" i="1"/>
  <c r="S102" i="1"/>
  <c r="X94" i="1"/>
  <c r="Z94" i="1"/>
  <c r="Y94" i="1"/>
  <c r="U94" i="1"/>
  <c r="S94" i="1"/>
  <c r="AA86" i="1"/>
  <c r="X86" i="1"/>
  <c r="Z86" i="1"/>
  <c r="Y86" i="1"/>
  <c r="W86" i="1"/>
  <c r="V86" i="1"/>
  <c r="U86" i="1"/>
  <c r="S86" i="1"/>
  <c r="AA78" i="1"/>
  <c r="X78" i="1"/>
  <c r="Y78" i="1"/>
  <c r="Z78" i="1"/>
  <c r="S78" i="1"/>
  <c r="X70" i="1"/>
  <c r="Z70" i="1"/>
  <c r="Y70" i="1"/>
  <c r="S70" i="1"/>
  <c r="X62" i="1"/>
  <c r="Y62" i="1"/>
  <c r="U62" i="1"/>
  <c r="W62" i="1"/>
  <c r="V62" i="1"/>
  <c r="S62" i="1"/>
  <c r="X54" i="1"/>
  <c r="Z54" i="1"/>
  <c r="Y54" i="1"/>
  <c r="S54" i="1"/>
  <c r="W54" i="1"/>
  <c r="V54" i="1"/>
  <c r="X46" i="1"/>
  <c r="Y46" i="1"/>
  <c r="Z46" i="1"/>
  <c r="W46" i="1"/>
  <c r="S46" i="1"/>
  <c r="X38" i="1"/>
  <c r="Z38" i="1"/>
  <c r="Y38" i="1"/>
  <c r="W38" i="1"/>
  <c r="U38" i="1"/>
  <c r="V38" i="1"/>
  <c r="S38" i="1"/>
  <c r="X30" i="1"/>
  <c r="Y30" i="1"/>
  <c r="W30" i="1"/>
  <c r="Z30" i="1"/>
  <c r="S30" i="1"/>
  <c r="U30" i="1"/>
  <c r="X22" i="1"/>
  <c r="Z22" i="1"/>
  <c r="W22" i="1"/>
  <c r="V22" i="1"/>
  <c r="S22" i="1"/>
  <c r="X14" i="1"/>
  <c r="W14" i="1"/>
  <c r="Z14" i="1"/>
  <c r="Y14" i="1"/>
  <c r="U14" i="1"/>
  <c r="S14" i="1"/>
  <c r="X6" i="1"/>
  <c r="Z6" i="1"/>
  <c r="W6" i="1"/>
  <c r="S6" i="1"/>
  <c r="R118" i="1"/>
  <c r="R105" i="1"/>
  <c r="R54" i="1"/>
  <c r="U9" i="1"/>
  <c r="V72" i="1"/>
  <c r="V46" i="1"/>
  <c r="V21" i="1"/>
  <c r="W136" i="1"/>
  <c r="W110" i="1"/>
  <c r="Y112" i="1"/>
  <c r="Y6" i="1"/>
  <c r="Z64" i="1"/>
  <c r="Z129" i="1"/>
  <c r="Y129" i="1"/>
  <c r="V129" i="1"/>
  <c r="T129" i="1"/>
  <c r="X129" i="1"/>
  <c r="X105" i="1"/>
  <c r="V105" i="1"/>
  <c r="Z105" i="1"/>
  <c r="T105" i="1"/>
  <c r="Y105" i="1"/>
  <c r="W105" i="1"/>
  <c r="Z81" i="1"/>
  <c r="V81" i="1"/>
  <c r="Y81" i="1"/>
  <c r="X81" i="1"/>
  <c r="T81" i="1"/>
  <c r="Z65" i="1"/>
  <c r="X65" i="1"/>
  <c r="Y65" i="1"/>
  <c r="V65" i="1"/>
  <c r="T65" i="1"/>
  <c r="U65" i="1"/>
  <c r="Z41" i="1"/>
  <c r="X41" i="1"/>
  <c r="W41" i="1"/>
  <c r="V41" i="1"/>
  <c r="Y41" i="1"/>
  <c r="T41" i="1"/>
  <c r="Z17" i="1"/>
  <c r="Y17" i="1"/>
  <c r="V17" i="1"/>
  <c r="T17" i="1"/>
  <c r="X17" i="1"/>
  <c r="U17" i="1"/>
  <c r="S97" i="1"/>
  <c r="Z133" i="1"/>
  <c r="W133" i="1"/>
  <c r="Y133" i="1"/>
  <c r="X133" i="1"/>
  <c r="U133" i="1"/>
  <c r="AA117" i="1"/>
  <c r="Z117" i="1"/>
  <c r="Y117" i="1"/>
  <c r="X117" i="1"/>
  <c r="W117" i="1"/>
  <c r="U117" i="1"/>
  <c r="AA93" i="1"/>
  <c r="Z93" i="1"/>
  <c r="W93" i="1"/>
  <c r="Y93" i="1"/>
  <c r="U93" i="1"/>
  <c r="X93" i="1"/>
  <c r="V93" i="1"/>
  <c r="Z77" i="1"/>
  <c r="Y77" i="1"/>
  <c r="X77" i="1"/>
  <c r="W77" i="1"/>
  <c r="S77" i="1"/>
  <c r="V77" i="1"/>
  <c r="U77" i="1"/>
  <c r="Z61" i="1"/>
  <c r="W61" i="1"/>
  <c r="U61" i="1"/>
  <c r="V61" i="1"/>
  <c r="S61" i="1"/>
  <c r="Z45" i="1"/>
  <c r="U45" i="1"/>
  <c r="W45" i="1"/>
  <c r="Y45" i="1"/>
  <c r="S45" i="1"/>
  <c r="Z29" i="1"/>
  <c r="W29" i="1"/>
  <c r="U29" i="1"/>
  <c r="X29" i="1"/>
  <c r="S29" i="1"/>
  <c r="Y29" i="1"/>
  <c r="V29" i="1"/>
  <c r="Z13" i="1"/>
  <c r="W13" i="1"/>
  <c r="X13" i="1"/>
  <c r="Y13" i="1"/>
  <c r="U13" i="1"/>
  <c r="S13" i="1"/>
  <c r="V13" i="1"/>
  <c r="Z5" i="1"/>
  <c r="U5" i="1"/>
  <c r="X5" i="1"/>
  <c r="W5" i="1"/>
  <c r="S5" i="1"/>
  <c r="Z2" i="1"/>
  <c r="W2" i="1"/>
  <c r="X2" i="1"/>
  <c r="Y2" i="1"/>
  <c r="T2" i="1"/>
  <c r="R2" i="1"/>
  <c r="S74" i="1"/>
  <c r="T118" i="1"/>
  <c r="T86" i="1"/>
  <c r="T54" i="1"/>
  <c r="T6" i="1"/>
  <c r="V45" i="1"/>
  <c r="R127" i="1"/>
  <c r="R102" i="1"/>
  <c r="R89" i="1"/>
  <c r="R77" i="1"/>
  <c r="R63" i="1"/>
  <c r="R38" i="1"/>
  <c r="R25" i="1"/>
  <c r="R13" i="1"/>
  <c r="S127" i="1"/>
  <c r="S101" i="1"/>
  <c r="S89" i="1"/>
  <c r="S73" i="1"/>
  <c r="S57" i="1"/>
  <c r="S41" i="1"/>
  <c r="S25" i="1"/>
  <c r="S9" i="1"/>
  <c r="T133" i="1"/>
  <c r="T117" i="1"/>
  <c r="T69" i="1"/>
  <c r="T5" i="1"/>
  <c r="U129" i="1"/>
  <c r="U113" i="1"/>
  <c r="U97" i="1"/>
  <c r="U81" i="1"/>
  <c r="U57" i="1"/>
  <c r="U32" i="1"/>
  <c r="U6" i="1"/>
  <c r="V120" i="1"/>
  <c r="V94" i="1"/>
  <c r="W81" i="1"/>
  <c r="W56" i="1"/>
  <c r="W17" i="1"/>
  <c r="X71" i="1"/>
  <c r="Y57" i="1"/>
  <c r="Z62" i="1"/>
  <c r="Z138" i="1"/>
  <c r="Y138" i="1"/>
  <c r="X138" i="1"/>
  <c r="V138" i="1"/>
  <c r="W138" i="1"/>
  <c r="T138" i="1"/>
  <c r="R138" i="1"/>
  <c r="Y130" i="1"/>
  <c r="Z130" i="1"/>
  <c r="X130" i="1"/>
  <c r="T130" i="1"/>
  <c r="R130" i="1"/>
  <c r="W130" i="1"/>
  <c r="Y122" i="1"/>
  <c r="Z122" i="1"/>
  <c r="X122" i="1"/>
  <c r="T122" i="1"/>
  <c r="R122" i="1"/>
  <c r="Y114" i="1"/>
  <c r="AA114" i="1"/>
  <c r="X114" i="1"/>
  <c r="Z114" i="1"/>
  <c r="V114" i="1"/>
  <c r="W114" i="1"/>
  <c r="T114" i="1"/>
  <c r="R114" i="1"/>
  <c r="Y106" i="1"/>
  <c r="Z106" i="1"/>
  <c r="X106" i="1"/>
  <c r="AA106" i="1"/>
  <c r="T106" i="1"/>
  <c r="R106" i="1"/>
  <c r="V106" i="1"/>
  <c r="Y98" i="1"/>
  <c r="X98" i="1"/>
  <c r="Z98" i="1"/>
  <c r="W98" i="1"/>
  <c r="T98" i="1"/>
  <c r="R98" i="1"/>
  <c r="Y90" i="1"/>
  <c r="X90" i="1"/>
  <c r="AA90" i="1"/>
  <c r="Z90" i="1"/>
  <c r="V90" i="1"/>
  <c r="T90" i="1"/>
  <c r="R90" i="1"/>
  <c r="Z82" i="1"/>
  <c r="Y82" i="1"/>
  <c r="X82" i="1"/>
  <c r="T82" i="1"/>
  <c r="R82" i="1"/>
  <c r="Z74" i="1"/>
  <c r="Y74" i="1"/>
  <c r="X74" i="1"/>
  <c r="V74" i="1"/>
  <c r="U74" i="1"/>
  <c r="W74" i="1"/>
  <c r="T74" i="1"/>
  <c r="R74" i="1"/>
  <c r="Z66" i="1"/>
  <c r="Y66" i="1"/>
  <c r="X66" i="1"/>
  <c r="T66" i="1"/>
  <c r="R66" i="1"/>
  <c r="W66" i="1"/>
  <c r="Z58" i="1"/>
  <c r="Y58" i="1"/>
  <c r="X58" i="1"/>
  <c r="T58" i="1"/>
  <c r="R58" i="1"/>
  <c r="Z50" i="1"/>
  <c r="Y50" i="1"/>
  <c r="W50" i="1"/>
  <c r="X50" i="1"/>
  <c r="V50" i="1"/>
  <c r="U50" i="1"/>
  <c r="T50" i="1"/>
  <c r="R50" i="1"/>
  <c r="Z42" i="1"/>
  <c r="Y42" i="1"/>
  <c r="W42" i="1"/>
  <c r="X42" i="1"/>
  <c r="T42" i="1"/>
  <c r="R42" i="1"/>
  <c r="V42" i="1"/>
  <c r="U42" i="1"/>
  <c r="Z34" i="1"/>
  <c r="Y34" i="1"/>
  <c r="W34" i="1"/>
  <c r="X34" i="1"/>
  <c r="T34" i="1"/>
  <c r="R34" i="1"/>
  <c r="Z26" i="1"/>
  <c r="Y26" i="1"/>
  <c r="W26" i="1"/>
  <c r="X26" i="1"/>
  <c r="V26" i="1"/>
  <c r="U26" i="1"/>
  <c r="T26" i="1"/>
  <c r="R26" i="1"/>
  <c r="Z18" i="1"/>
  <c r="W18" i="1"/>
  <c r="X18" i="1"/>
  <c r="Y18" i="1"/>
  <c r="T18" i="1"/>
  <c r="R18" i="1"/>
  <c r="Z10" i="1"/>
  <c r="W10" i="1"/>
  <c r="Y10" i="1"/>
  <c r="X10" i="1"/>
  <c r="V10" i="1"/>
  <c r="U10" i="1"/>
  <c r="T10" i="1"/>
  <c r="R10" i="1"/>
  <c r="S122" i="1"/>
  <c r="S34" i="1"/>
  <c r="AA141" i="1"/>
  <c r="Z141" i="1"/>
  <c r="Y141" i="1"/>
  <c r="W141" i="1"/>
  <c r="U141" i="1"/>
  <c r="V141" i="1"/>
  <c r="Z125" i="1"/>
  <c r="W125" i="1"/>
  <c r="V125" i="1"/>
  <c r="X125" i="1"/>
  <c r="U125" i="1"/>
  <c r="Z109" i="1"/>
  <c r="W109" i="1"/>
  <c r="U109" i="1"/>
  <c r="X109" i="1"/>
  <c r="AA101" i="1"/>
  <c r="Z101" i="1"/>
  <c r="Y101" i="1"/>
  <c r="X101" i="1"/>
  <c r="W101" i="1"/>
  <c r="V101" i="1"/>
  <c r="U101" i="1"/>
  <c r="Z85" i="1"/>
  <c r="W85" i="1"/>
  <c r="U85" i="1"/>
  <c r="S85" i="1"/>
  <c r="X85" i="1"/>
  <c r="AA69" i="1"/>
  <c r="Z69" i="1"/>
  <c r="W69" i="1"/>
  <c r="U69" i="1"/>
  <c r="Y69" i="1"/>
  <c r="X69" i="1"/>
  <c r="S69" i="1"/>
  <c r="Z53" i="1"/>
  <c r="Y53" i="1"/>
  <c r="X53" i="1"/>
  <c r="W53" i="1"/>
  <c r="U53" i="1"/>
  <c r="S53" i="1"/>
  <c r="Z37" i="1"/>
  <c r="Y37" i="1"/>
  <c r="X37" i="1"/>
  <c r="U37" i="1"/>
  <c r="V37" i="1"/>
  <c r="S37" i="1"/>
  <c r="Z21" i="1"/>
  <c r="Y21" i="1"/>
  <c r="U21" i="1"/>
  <c r="S21" i="1"/>
  <c r="R129" i="1"/>
  <c r="R117" i="1"/>
  <c r="R78" i="1"/>
  <c r="R65" i="1"/>
  <c r="R53" i="1"/>
  <c r="R14" i="1"/>
  <c r="S141" i="1"/>
  <c r="S129" i="1"/>
  <c r="S90" i="1"/>
  <c r="S58" i="1"/>
  <c r="S26" i="1"/>
  <c r="T134" i="1"/>
  <c r="T102" i="1"/>
  <c r="T70" i="1"/>
  <c r="T38" i="1"/>
  <c r="T22" i="1"/>
  <c r="U130" i="1"/>
  <c r="U114" i="1"/>
  <c r="U98" i="1"/>
  <c r="U82" i="1"/>
  <c r="U58" i="1"/>
  <c r="U33" i="1"/>
  <c r="U8" i="1"/>
  <c r="V122" i="1"/>
  <c r="V96" i="1"/>
  <c r="V70" i="1"/>
  <c r="W134" i="1"/>
  <c r="W82" i="1"/>
  <c r="W57" i="1"/>
  <c r="W21" i="1"/>
  <c r="X73" i="1"/>
  <c r="X21" i="1"/>
  <c r="Y5" i="1"/>
  <c r="Z140" i="1"/>
  <c r="Y140" i="1"/>
  <c r="X140" i="1"/>
  <c r="U140" i="1"/>
  <c r="S140" i="1"/>
  <c r="V140" i="1"/>
  <c r="W140" i="1"/>
  <c r="T140" i="1"/>
  <c r="R140" i="1"/>
  <c r="Y132" i="1"/>
  <c r="Z132" i="1"/>
  <c r="U132" i="1"/>
  <c r="S132" i="1"/>
  <c r="V132" i="1"/>
  <c r="T132" i="1"/>
  <c r="R132" i="1"/>
  <c r="Y124" i="1"/>
  <c r="Z124" i="1"/>
  <c r="X124" i="1"/>
  <c r="W124" i="1"/>
  <c r="U124" i="1"/>
  <c r="S124" i="1"/>
  <c r="AA124" i="1"/>
  <c r="T124" i="1"/>
  <c r="R124" i="1"/>
  <c r="Y116" i="1"/>
  <c r="Z116" i="1"/>
  <c r="U116" i="1"/>
  <c r="S116" i="1"/>
  <c r="V116" i="1"/>
  <c r="T116" i="1"/>
  <c r="R116" i="1"/>
  <c r="Y108" i="1"/>
  <c r="X108" i="1"/>
  <c r="U108" i="1"/>
  <c r="S108" i="1"/>
  <c r="T108" i="1"/>
  <c r="R108" i="1"/>
  <c r="Y100" i="1"/>
  <c r="V100" i="1"/>
  <c r="U100" i="1"/>
  <c r="S100" i="1"/>
  <c r="W100" i="1"/>
  <c r="Z100" i="1"/>
  <c r="T100" i="1"/>
  <c r="R100" i="1"/>
  <c r="Z92" i="1"/>
  <c r="Y92" i="1"/>
  <c r="X92" i="1"/>
  <c r="U92" i="1"/>
  <c r="S92" i="1"/>
  <c r="W92" i="1"/>
  <c r="T92" i="1"/>
  <c r="R92" i="1"/>
  <c r="Z84" i="1"/>
  <c r="Y84" i="1"/>
  <c r="AA84" i="1"/>
  <c r="U84" i="1"/>
  <c r="S84" i="1"/>
  <c r="X84" i="1"/>
  <c r="T84" i="1"/>
  <c r="R84" i="1"/>
  <c r="Y76" i="1"/>
  <c r="Z76" i="1"/>
  <c r="X76" i="1"/>
  <c r="S76" i="1"/>
  <c r="V76" i="1"/>
  <c r="U76" i="1"/>
  <c r="W76" i="1"/>
  <c r="T76" i="1"/>
  <c r="R76" i="1"/>
  <c r="Z68" i="1"/>
  <c r="Y68" i="1"/>
  <c r="S68" i="1"/>
  <c r="X68" i="1"/>
  <c r="V68" i="1"/>
  <c r="U68" i="1"/>
  <c r="T68" i="1"/>
  <c r="R68" i="1"/>
  <c r="Y60" i="1"/>
  <c r="Z60" i="1"/>
  <c r="W60" i="1"/>
  <c r="S60" i="1"/>
  <c r="X60" i="1"/>
  <c r="T60" i="1"/>
  <c r="R60" i="1"/>
  <c r="Z52" i="1"/>
  <c r="Y52" i="1"/>
  <c r="W52" i="1"/>
  <c r="X52" i="1"/>
  <c r="S52" i="1"/>
  <c r="V52" i="1"/>
  <c r="U52" i="1"/>
  <c r="T52" i="1"/>
  <c r="R52" i="1"/>
  <c r="Y44" i="1"/>
  <c r="W44" i="1"/>
  <c r="Z44" i="1"/>
  <c r="X44" i="1"/>
  <c r="S44" i="1"/>
  <c r="T44" i="1"/>
  <c r="R44" i="1"/>
  <c r="Z36" i="1"/>
  <c r="Y36" i="1"/>
  <c r="W36" i="1"/>
  <c r="V36" i="1"/>
  <c r="U36" i="1"/>
  <c r="S36" i="1"/>
  <c r="T36" i="1"/>
  <c r="R36" i="1"/>
  <c r="Y28" i="1"/>
  <c r="W28" i="1"/>
  <c r="Z28" i="1"/>
  <c r="X28" i="1"/>
  <c r="S28" i="1"/>
  <c r="T28" i="1"/>
  <c r="R28" i="1"/>
  <c r="Z20" i="1"/>
  <c r="W20" i="1"/>
  <c r="S20" i="1"/>
  <c r="Y20" i="1"/>
  <c r="T20" i="1"/>
  <c r="R20" i="1"/>
  <c r="W12" i="1"/>
  <c r="Z12" i="1"/>
  <c r="Y12" i="1"/>
  <c r="X12" i="1"/>
  <c r="S12" i="1"/>
  <c r="V12" i="1"/>
  <c r="U12" i="1"/>
  <c r="T12" i="1"/>
  <c r="R12" i="1"/>
  <c r="Z4" i="1"/>
  <c r="W4" i="1"/>
  <c r="X4" i="1"/>
  <c r="S4" i="1"/>
  <c r="V4" i="1"/>
  <c r="U4" i="1"/>
  <c r="T4" i="1"/>
  <c r="R4" i="1"/>
  <c r="Z139" i="1"/>
  <c r="Y139" i="1"/>
  <c r="W139" i="1"/>
  <c r="V139" i="1"/>
  <c r="Z131" i="1"/>
  <c r="W131" i="1"/>
  <c r="X131" i="1"/>
  <c r="V131" i="1"/>
  <c r="Y131" i="1"/>
  <c r="W123" i="1"/>
  <c r="AA123" i="1"/>
  <c r="Z123" i="1"/>
  <c r="V123" i="1"/>
  <c r="Y123" i="1"/>
  <c r="AA115" i="1"/>
  <c r="Z115" i="1"/>
  <c r="X115" i="1"/>
  <c r="W115" i="1"/>
  <c r="Y115" i="1"/>
  <c r="V115" i="1"/>
  <c r="W107" i="1"/>
  <c r="Y107" i="1"/>
  <c r="V107" i="1"/>
  <c r="X107" i="1"/>
  <c r="AA99" i="1"/>
  <c r="W99" i="1"/>
  <c r="Z99" i="1"/>
  <c r="V99" i="1"/>
  <c r="W91" i="1"/>
  <c r="X91" i="1"/>
  <c r="Y91" i="1"/>
  <c r="V91" i="1"/>
  <c r="Z83" i="1"/>
  <c r="AA83" i="1"/>
  <c r="W83" i="1"/>
  <c r="X83" i="1"/>
  <c r="V83" i="1"/>
  <c r="Z75" i="1"/>
  <c r="Y75" i="1"/>
  <c r="W75" i="1"/>
  <c r="U75" i="1"/>
  <c r="V75" i="1"/>
  <c r="Z67" i="1"/>
  <c r="W67" i="1"/>
  <c r="U67" i="1"/>
  <c r="X67" i="1"/>
  <c r="V67" i="1"/>
  <c r="Y67" i="1"/>
  <c r="Z59" i="1"/>
  <c r="W59" i="1"/>
  <c r="U59" i="1"/>
  <c r="V59" i="1"/>
  <c r="X59" i="1"/>
  <c r="Z51" i="1"/>
  <c r="X51" i="1"/>
  <c r="U51" i="1"/>
  <c r="Y51" i="1"/>
  <c r="V51" i="1"/>
  <c r="Z43" i="1"/>
  <c r="U43" i="1"/>
  <c r="Y43" i="1"/>
  <c r="V43" i="1"/>
  <c r="X43" i="1"/>
  <c r="Z35" i="1"/>
  <c r="U35" i="1"/>
  <c r="V35" i="1"/>
  <c r="X35" i="1"/>
  <c r="W35" i="1"/>
  <c r="Z27" i="1"/>
  <c r="U27" i="1"/>
  <c r="X27" i="1"/>
  <c r="Y27" i="1"/>
  <c r="V27" i="1"/>
  <c r="W27" i="1"/>
  <c r="Z19" i="1"/>
  <c r="Y19" i="1"/>
  <c r="U19" i="1"/>
  <c r="X19" i="1"/>
  <c r="W19" i="1"/>
  <c r="V19" i="1"/>
  <c r="Z11" i="1"/>
  <c r="U11" i="1"/>
  <c r="Y11" i="1"/>
  <c r="V11" i="1"/>
  <c r="Z3" i="1"/>
  <c r="Y3" i="1"/>
  <c r="U3" i="1"/>
  <c r="X3" i="1"/>
  <c r="W3" i="1"/>
  <c r="V3" i="1"/>
  <c r="R139" i="1"/>
  <c r="R126" i="1"/>
  <c r="R113" i="1"/>
  <c r="R101" i="1"/>
  <c r="R87" i="1"/>
  <c r="R75" i="1"/>
  <c r="R62" i="1"/>
  <c r="R49" i="1"/>
  <c r="R37" i="1"/>
  <c r="R23" i="1"/>
  <c r="R11" i="1"/>
  <c r="S138" i="1"/>
  <c r="S125" i="1"/>
  <c r="S113" i="1"/>
  <c r="S99" i="1"/>
  <c r="S87" i="1"/>
  <c r="S71" i="1"/>
  <c r="S55" i="1"/>
  <c r="S39" i="1"/>
  <c r="S23" i="1"/>
  <c r="S7" i="1"/>
  <c r="T131" i="1"/>
  <c r="T115" i="1"/>
  <c r="T99" i="1"/>
  <c r="T83" i="1"/>
  <c r="T67" i="1"/>
  <c r="T51" i="1"/>
  <c r="T35" i="1"/>
  <c r="T19" i="1"/>
  <c r="T3" i="1"/>
  <c r="U127" i="1"/>
  <c r="U111" i="1"/>
  <c r="U95" i="1"/>
  <c r="U78" i="1"/>
  <c r="U54" i="1"/>
  <c r="U28" i="1"/>
  <c r="U2" i="1"/>
  <c r="V117" i="1"/>
  <c r="V92" i="1"/>
  <c r="V66" i="1"/>
  <c r="V40" i="1"/>
  <c r="V14" i="1"/>
  <c r="W129" i="1"/>
  <c r="W104" i="1"/>
  <c r="W78" i="1"/>
  <c r="W51" i="1"/>
  <c r="W11" i="1"/>
  <c r="X111" i="1"/>
  <c r="X61" i="1"/>
  <c r="X11" i="1"/>
  <c r="Y99" i="1"/>
  <c r="Y48" i="1"/>
  <c r="Z128" i="1"/>
  <c r="Z32" i="1"/>
  <c r="AA44" i="1"/>
  <c r="H187" i="3"/>
  <c r="H186" i="3"/>
  <c r="H185" i="3"/>
  <c r="H189" i="3"/>
  <c r="H188" i="3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5" i="1"/>
  <c r="AA46" i="1"/>
  <c r="AA47" i="1"/>
  <c r="AA48" i="1"/>
  <c r="AA49" i="1"/>
  <c r="AA50" i="1"/>
  <c r="AA51" i="1"/>
  <c r="AA52" i="1"/>
  <c r="AA53" i="1"/>
  <c r="AA54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70" i="1"/>
  <c r="AA71" i="1"/>
  <c r="AA72" i="1"/>
  <c r="AA73" i="1"/>
  <c r="AA74" i="1"/>
  <c r="AA76" i="1"/>
  <c r="AA77" i="1"/>
  <c r="AA79" i="1"/>
  <c r="AA81" i="1"/>
  <c r="AA82" i="1"/>
  <c r="AA85" i="1"/>
  <c r="AA89" i="1"/>
  <c r="AA91" i="1"/>
  <c r="AA92" i="1"/>
  <c r="AA94" i="1"/>
  <c r="AA96" i="1"/>
  <c r="AA98" i="1"/>
  <c r="AA100" i="1"/>
  <c r="AA104" i="1"/>
  <c r="AA105" i="1"/>
  <c r="AA107" i="1"/>
  <c r="AA109" i="1"/>
  <c r="AA113" i="1"/>
  <c r="AA116" i="1"/>
  <c r="AA118" i="1"/>
  <c r="AA122" i="1"/>
  <c r="AA125" i="1"/>
  <c r="AA129" i="1"/>
  <c r="AA130" i="1"/>
  <c r="AA131" i="1"/>
  <c r="AA132" i="1"/>
  <c r="AA133" i="1"/>
  <c r="AA139" i="1"/>
  <c r="AA140" i="1"/>
  <c r="D186" i="1"/>
  <c r="D188" i="1" s="1"/>
  <c r="B195" i="1" l="1"/>
  <c r="C195" i="1" s="1"/>
  <c r="T185" i="1"/>
  <c r="T186" i="1"/>
  <c r="T187" i="1"/>
  <c r="T188" i="1"/>
  <c r="T189" i="1"/>
  <c r="Y186" i="1"/>
  <c r="Y187" i="1"/>
  <c r="Y188" i="1"/>
  <c r="Y189" i="1"/>
  <c r="Y185" i="1"/>
  <c r="X186" i="1"/>
  <c r="X189" i="1"/>
  <c r="X187" i="1"/>
  <c r="X188" i="1"/>
  <c r="X185" i="1"/>
  <c r="AA185" i="1"/>
  <c r="AA187" i="1"/>
  <c r="AA188" i="1"/>
  <c r="AA186" i="1"/>
  <c r="AA189" i="1"/>
  <c r="V187" i="1"/>
  <c r="V185" i="1"/>
  <c r="V188" i="1"/>
  <c r="V189" i="1"/>
  <c r="V186" i="1"/>
  <c r="U187" i="1"/>
  <c r="U188" i="1"/>
  <c r="U185" i="1"/>
  <c r="U189" i="1"/>
  <c r="U186" i="1"/>
  <c r="W189" i="1"/>
  <c r="W185" i="1"/>
  <c r="W186" i="1"/>
  <c r="W187" i="1"/>
  <c r="W188" i="1"/>
  <c r="S185" i="1"/>
  <c r="S188" i="1"/>
  <c r="S186" i="1"/>
  <c r="S189" i="1"/>
  <c r="S187" i="1"/>
  <c r="R188" i="1"/>
  <c r="R189" i="1"/>
  <c r="R185" i="1"/>
  <c r="R186" i="1"/>
  <c r="R187" i="1"/>
  <c r="Z188" i="1"/>
  <c r="Z189" i="1"/>
  <c r="Z185" i="1"/>
  <c r="Z186" i="1"/>
  <c r="Z187" i="1"/>
  <c r="I6" i="3"/>
  <c r="I14" i="3"/>
  <c r="I22" i="3"/>
  <c r="I30" i="3"/>
  <c r="I38" i="3"/>
  <c r="I46" i="3"/>
  <c r="I54" i="3"/>
  <c r="I62" i="3"/>
  <c r="I70" i="3"/>
  <c r="I78" i="3"/>
  <c r="I86" i="3"/>
  <c r="I94" i="3"/>
  <c r="I102" i="3"/>
  <c r="I110" i="3"/>
  <c r="I118" i="3"/>
  <c r="I134" i="3"/>
  <c r="I142" i="3"/>
  <c r="I158" i="3"/>
  <c r="I174" i="3"/>
  <c r="I10" i="3"/>
  <c r="I34" i="3"/>
  <c r="I50" i="3"/>
  <c r="I66" i="3"/>
  <c r="I74" i="3"/>
  <c r="I90" i="3"/>
  <c r="I114" i="3"/>
  <c r="I130" i="3"/>
  <c r="I146" i="3"/>
  <c r="I162" i="3"/>
  <c r="I178" i="3"/>
  <c r="I5" i="3"/>
  <c r="I13" i="3"/>
  <c r="I21" i="3"/>
  <c r="I29" i="3"/>
  <c r="I37" i="3"/>
  <c r="I45" i="3"/>
  <c r="I53" i="3"/>
  <c r="I61" i="3"/>
  <c r="I69" i="3"/>
  <c r="I77" i="3"/>
  <c r="I85" i="3"/>
  <c r="I93" i="3"/>
  <c r="I101" i="3"/>
  <c r="I109" i="3"/>
  <c r="I117" i="3"/>
  <c r="I125" i="3"/>
  <c r="I133" i="3"/>
  <c r="I141" i="3"/>
  <c r="I149" i="3"/>
  <c r="I157" i="3"/>
  <c r="I165" i="3"/>
  <c r="I173" i="3"/>
  <c r="I181" i="3"/>
  <c r="I126" i="3"/>
  <c r="I150" i="3"/>
  <c r="I166" i="3"/>
  <c r="I182" i="3"/>
  <c r="I2" i="3"/>
  <c r="I18" i="3"/>
  <c r="I26" i="3"/>
  <c r="I42" i="3"/>
  <c r="I58" i="3"/>
  <c r="I82" i="3"/>
  <c r="I98" i="3"/>
  <c r="I106" i="3"/>
  <c r="I122" i="3"/>
  <c r="I138" i="3"/>
  <c r="I154" i="3"/>
  <c r="I170" i="3"/>
  <c r="I3" i="3"/>
  <c r="I19" i="3"/>
  <c r="I35" i="3"/>
  <c r="I43" i="3"/>
  <c r="I67" i="3"/>
  <c r="I83" i="3"/>
  <c r="I91" i="3"/>
  <c r="I107" i="3"/>
  <c r="I123" i="3"/>
  <c r="I139" i="3"/>
  <c r="I155" i="3"/>
  <c r="I171" i="3"/>
  <c r="I11" i="3"/>
  <c r="I27" i="3"/>
  <c r="I51" i="3"/>
  <c r="I59" i="3"/>
  <c r="I75" i="3"/>
  <c r="I99" i="3"/>
  <c r="I115" i="3"/>
  <c r="I131" i="3"/>
  <c r="I147" i="3"/>
  <c r="I163" i="3"/>
  <c r="I179" i="3"/>
  <c r="I168" i="3"/>
  <c r="I119" i="3"/>
  <c r="I153" i="3"/>
  <c r="I89" i="3"/>
  <c r="I25" i="3"/>
  <c r="I167" i="3"/>
  <c r="I164" i="3"/>
  <c r="I84" i="3"/>
  <c r="I20" i="3"/>
  <c r="I175" i="3"/>
  <c r="I152" i="3"/>
  <c r="I31" i="3"/>
  <c r="I129" i="3"/>
  <c r="I56" i="3"/>
  <c r="I47" i="3"/>
  <c r="I55" i="3"/>
  <c r="I113" i="3"/>
  <c r="I72" i="3"/>
  <c r="I23" i="3"/>
  <c r="I169" i="3"/>
  <c r="I48" i="3"/>
  <c r="I140" i="3"/>
  <c r="I136" i="3"/>
  <c r="I95" i="3"/>
  <c r="I145" i="3"/>
  <c r="I81" i="3"/>
  <c r="I17" i="3"/>
  <c r="I135" i="3"/>
  <c r="I156" i="3"/>
  <c r="I76" i="3"/>
  <c r="I12" i="3"/>
  <c r="I143" i="3"/>
  <c r="I120" i="3"/>
  <c r="I148" i="3"/>
  <c r="I39" i="3"/>
  <c r="I121" i="3"/>
  <c r="I52" i="3"/>
  <c r="I32" i="3"/>
  <c r="I44" i="3"/>
  <c r="I183" i="3"/>
  <c r="I180" i="3"/>
  <c r="I127" i="3"/>
  <c r="I104" i="3"/>
  <c r="I63" i="3"/>
  <c r="I137" i="3"/>
  <c r="I73" i="3"/>
  <c r="I9" i="3"/>
  <c r="I103" i="3"/>
  <c r="I132" i="3"/>
  <c r="I68" i="3"/>
  <c r="I4" i="3"/>
  <c r="I111" i="3"/>
  <c r="I96" i="3"/>
  <c r="I80" i="3"/>
  <c r="I71" i="3"/>
  <c r="I60" i="3"/>
  <c r="I79" i="3"/>
  <c r="I57" i="3"/>
  <c r="I116" i="3"/>
  <c r="I24" i="3"/>
  <c r="I177" i="3"/>
  <c r="I15" i="3"/>
  <c r="I88" i="3"/>
  <c r="I41" i="3"/>
  <c r="I36" i="3"/>
  <c r="I151" i="3"/>
  <c r="I161" i="3"/>
  <c r="I97" i="3"/>
  <c r="I33" i="3"/>
  <c r="I8" i="3"/>
  <c r="I172" i="3"/>
  <c r="I92" i="3"/>
  <c r="I28" i="3"/>
  <c r="I16" i="3"/>
  <c r="I176" i="3"/>
  <c r="I87" i="3"/>
  <c r="I65" i="3"/>
  <c r="I144" i="3"/>
  <c r="I124" i="3"/>
  <c r="I160" i="3"/>
  <c r="I64" i="3"/>
  <c r="I7" i="3"/>
  <c r="I112" i="3"/>
  <c r="I128" i="3"/>
  <c r="I49" i="3"/>
  <c r="I108" i="3"/>
  <c r="I159" i="3"/>
  <c r="I105" i="3"/>
  <c r="I100" i="3"/>
  <c r="I40" i="3"/>
  <c r="T88" i="4" l="1"/>
  <c r="X136" i="4"/>
  <c r="V124" i="4"/>
  <c r="D67" i="5"/>
  <c r="AD183" i="4"/>
  <c r="AD169" i="4"/>
  <c r="AD167" i="4"/>
  <c r="AD161" i="4"/>
  <c r="AD174" i="4"/>
  <c r="AD175" i="4"/>
  <c r="AD157" i="4"/>
  <c r="AD180" i="4"/>
  <c r="AD163" i="4"/>
  <c r="AD173" i="4"/>
  <c r="AD165" i="4"/>
  <c r="AD149" i="4"/>
  <c r="AD171" i="4"/>
  <c r="AD146" i="4"/>
  <c r="AD176" i="4"/>
  <c r="AD162" i="4"/>
  <c r="AD160" i="4"/>
  <c r="AD170" i="4"/>
  <c r="AD153" i="4"/>
  <c r="AD179" i="4"/>
  <c r="AD158" i="4"/>
  <c r="AD181" i="4"/>
  <c r="AD151" i="4"/>
  <c r="AD143" i="4"/>
  <c r="AD147" i="4"/>
  <c r="AD155" i="4"/>
  <c r="AD142" i="4"/>
  <c r="AD154" i="4"/>
  <c r="AD148" i="4"/>
  <c r="AD168" i="4"/>
  <c r="AD182" i="4"/>
  <c r="AD178" i="4"/>
  <c r="AD156" i="4"/>
  <c r="AD114" i="4"/>
  <c r="AD166" i="4"/>
  <c r="AD152" i="4"/>
  <c r="AD150" i="4"/>
  <c r="AD144" i="4"/>
  <c r="AD172" i="4"/>
  <c r="AD145" i="4"/>
  <c r="AD164" i="4"/>
  <c r="Y170" i="4"/>
  <c r="Y168" i="4"/>
  <c r="Y176" i="4"/>
  <c r="Y162" i="4"/>
  <c r="Y175" i="4"/>
  <c r="Y157" i="4"/>
  <c r="Y182" i="4"/>
  <c r="Y169" i="4"/>
  <c r="Y149" i="4"/>
  <c r="Y171" i="4"/>
  <c r="Y158" i="4"/>
  <c r="Y181" i="4"/>
  <c r="Y163" i="4"/>
  <c r="Y147" i="4"/>
  <c r="Y161" i="4"/>
  <c r="Y178" i="4"/>
  <c r="Y153" i="4"/>
  <c r="Y180" i="4"/>
  <c r="Y179" i="4"/>
  <c r="Y173" i="4"/>
  <c r="Y183" i="4"/>
  <c r="Y146" i="4"/>
  <c r="Y165" i="4"/>
  <c r="Y155" i="4"/>
  <c r="Y151" i="4"/>
  <c r="Y143" i="4"/>
  <c r="Y142" i="4"/>
  <c r="Y166" i="4"/>
  <c r="Y164" i="4"/>
  <c r="Y156" i="4"/>
  <c r="Y150" i="4"/>
  <c r="Y167" i="4"/>
  <c r="Y148" i="4"/>
  <c r="Y152" i="4"/>
  <c r="Y145" i="4"/>
  <c r="Y144" i="4"/>
  <c r="Y174" i="4"/>
  <c r="Y160" i="4"/>
  <c r="Y172" i="4"/>
  <c r="Y154" i="4"/>
  <c r="AB149" i="1"/>
  <c r="AB152" i="1"/>
  <c r="AB158" i="1"/>
  <c r="AB172" i="1"/>
  <c r="AB173" i="1"/>
  <c r="AB166" i="1"/>
  <c r="AB183" i="1"/>
  <c r="AB180" i="1"/>
  <c r="AB148" i="1"/>
  <c r="AB164" i="1"/>
  <c r="AB155" i="1"/>
  <c r="AB168" i="1"/>
  <c r="AB170" i="1"/>
  <c r="AB165" i="1"/>
  <c r="AB153" i="1"/>
  <c r="AB176" i="1"/>
  <c r="AB146" i="1"/>
  <c r="AB171" i="1"/>
  <c r="AB163" i="1"/>
  <c r="AB162" i="1"/>
  <c r="AB147" i="1"/>
  <c r="AB182" i="1"/>
  <c r="AB181" i="1"/>
  <c r="AB142" i="1"/>
  <c r="AB150" i="1"/>
  <c r="AB156" i="1"/>
  <c r="AB175" i="1"/>
  <c r="AB179" i="1"/>
  <c r="AB178" i="1"/>
  <c r="AB143" i="1"/>
  <c r="AB167" i="1"/>
  <c r="AB161" i="1"/>
  <c r="AB144" i="1"/>
  <c r="AB160" i="1"/>
  <c r="AB145" i="1"/>
  <c r="AB157" i="1"/>
  <c r="AB174" i="1"/>
  <c r="AB169" i="1"/>
  <c r="AB154" i="1"/>
  <c r="AB151" i="1"/>
  <c r="AB88" i="1"/>
  <c r="AB95" i="1"/>
  <c r="AB111" i="1"/>
  <c r="AB69" i="1"/>
  <c r="AB115" i="1"/>
  <c r="AB83" i="1"/>
  <c r="AB106" i="1"/>
  <c r="AB137" i="1"/>
  <c r="AB128" i="1"/>
  <c r="AB112" i="1"/>
  <c r="AB127" i="1"/>
  <c r="AB126" i="1"/>
  <c r="AB110" i="1"/>
  <c r="AB101" i="1"/>
  <c r="AB124" i="1"/>
  <c r="AB99" i="1"/>
  <c r="AB114" i="1"/>
  <c r="AB93" i="1"/>
  <c r="AB136" i="1"/>
  <c r="B158" i="5"/>
  <c r="B182" i="5"/>
  <c r="B183" i="5"/>
  <c r="B176" i="5"/>
  <c r="B174" i="5"/>
  <c r="B164" i="5"/>
  <c r="B148" i="5"/>
  <c r="B166" i="5"/>
  <c r="B165" i="5"/>
  <c r="B173" i="5"/>
  <c r="B144" i="5"/>
  <c r="B170" i="5"/>
  <c r="U150" i="4"/>
  <c r="B152" i="5"/>
  <c r="U155" i="4"/>
  <c r="U176" i="4"/>
  <c r="U162" i="4"/>
  <c r="U170" i="4"/>
  <c r="U166" i="4"/>
  <c r="U153" i="4"/>
  <c r="U144" i="4"/>
  <c r="U182" i="4"/>
  <c r="U156" i="4"/>
  <c r="U148" i="4"/>
  <c r="U181" i="4"/>
  <c r="U146" i="4"/>
  <c r="U174" i="4"/>
  <c r="U160" i="4"/>
  <c r="U164" i="4"/>
  <c r="U172" i="4"/>
  <c r="U180" i="4"/>
  <c r="U183" i="4"/>
  <c r="U173" i="4"/>
  <c r="U165" i="4"/>
  <c r="U152" i="4"/>
  <c r="U149" i="4"/>
  <c r="U158" i="4"/>
  <c r="U171" i="4"/>
  <c r="U163" i="4"/>
  <c r="U143" i="4"/>
  <c r="U151" i="4"/>
  <c r="U154" i="4"/>
  <c r="U157" i="4"/>
  <c r="U178" i="4"/>
  <c r="B179" i="5"/>
  <c r="U175" i="4"/>
  <c r="U145" i="4"/>
  <c r="B163" i="5"/>
  <c r="B155" i="5"/>
  <c r="B151" i="5"/>
  <c r="B154" i="5"/>
  <c r="U169" i="4"/>
  <c r="B157" i="5"/>
  <c r="B178" i="5"/>
  <c r="B142" i="5"/>
  <c r="B161" i="5"/>
  <c r="U167" i="4"/>
  <c r="B171" i="5"/>
  <c r="B180" i="5"/>
  <c r="U142" i="4"/>
  <c r="B143" i="5"/>
  <c r="U179" i="4"/>
  <c r="B175" i="5"/>
  <c r="B145" i="5"/>
  <c r="B160" i="5"/>
  <c r="B153" i="5"/>
  <c r="B146" i="5"/>
  <c r="B169" i="5"/>
  <c r="B168" i="5"/>
  <c r="U161" i="4"/>
  <c r="B167" i="5"/>
  <c r="U168" i="4"/>
  <c r="U147" i="4"/>
  <c r="B162" i="5"/>
  <c r="B150" i="5"/>
  <c r="B149" i="5"/>
  <c r="B147" i="5"/>
  <c r="B181" i="5"/>
  <c r="B156" i="5"/>
  <c r="B172" i="5"/>
  <c r="X69" i="4"/>
  <c r="E132" i="5"/>
  <c r="B107" i="5"/>
  <c r="A67" i="5"/>
  <c r="T115" i="4"/>
  <c r="A130" i="5"/>
  <c r="W106" i="4"/>
  <c r="V137" i="4"/>
  <c r="E65" i="5"/>
  <c r="X110" i="4"/>
  <c r="AD112" i="4"/>
  <c r="U110" i="4"/>
  <c r="U101" i="4"/>
  <c r="T124" i="4"/>
  <c r="V114" i="4"/>
  <c r="U106" i="4"/>
  <c r="W93" i="4"/>
  <c r="AD69" i="4"/>
  <c r="T137" i="4"/>
  <c r="U137" i="4"/>
  <c r="W137" i="4"/>
  <c r="W115" i="4"/>
  <c r="W136" i="4"/>
  <c r="AD110" i="4"/>
  <c r="AD88" i="4"/>
  <c r="W128" i="4"/>
  <c r="U88" i="4"/>
  <c r="AD95" i="4"/>
  <c r="U126" i="4"/>
  <c r="V110" i="4"/>
  <c r="B127" i="5"/>
  <c r="D110" i="5"/>
  <c r="D136" i="5"/>
  <c r="C115" i="5"/>
  <c r="C83" i="5"/>
  <c r="A115" i="5"/>
  <c r="B63" i="5"/>
  <c r="A66" i="5"/>
  <c r="C106" i="5"/>
  <c r="C104" i="5"/>
  <c r="C137" i="5"/>
  <c r="D133" i="5"/>
  <c r="D111" i="5"/>
  <c r="E63" i="5"/>
  <c r="E116" i="5"/>
  <c r="D137" i="5"/>
  <c r="D113" i="5"/>
  <c r="D89" i="5"/>
  <c r="B128" i="5"/>
  <c r="C128" i="5"/>
  <c r="A112" i="5"/>
  <c r="D88" i="5"/>
  <c r="C126" i="5"/>
  <c r="D105" i="5"/>
  <c r="E105" i="5"/>
  <c r="A74" i="5"/>
  <c r="T127" i="4"/>
  <c r="B69" i="5"/>
  <c r="B114" i="5"/>
  <c r="C74" i="5"/>
  <c r="D101" i="5"/>
  <c r="A69" i="5"/>
  <c r="B70" i="5"/>
  <c r="C82" i="5"/>
  <c r="E82" i="5"/>
  <c r="C124" i="5"/>
  <c r="A92" i="5"/>
  <c r="B92" i="5"/>
  <c r="E52" i="5"/>
  <c r="E36" i="5"/>
  <c r="B36" i="5"/>
  <c r="E107" i="5"/>
  <c r="E67" i="5"/>
  <c r="D51" i="5"/>
  <c r="A113" i="5"/>
  <c r="B131" i="5"/>
  <c r="B67" i="5"/>
  <c r="D66" i="5"/>
  <c r="E51" i="5"/>
  <c r="A99" i="5"/>
  <c r="B115" i="5"/>
  <c r="C127" i="5"/>
  <c r="E72" i="5"/>
  <c r="X99" i="4"/>
  <c r="C70" i="5"/>
  <c r="T128" i="4"/>
  <c r="AD111" i="4"/>
  <c r="B101" i="5"/>
  <c r="X101" i="4"/>
  <c r="T101" i="4"/>
  <c r="AD124" i="4"/>
  <c r="E106" i="5"/>
  <c r="U124" i="4"/>
  <c r="V93" i="4"/>
  <c r="X137" i="4"/>
  <c r="U112" i="4"/>
  <c r="X95" i="4"/>
  <c r="U136" i="4"/>
  <c r="X127" i="4"/>
  <c r="T136" i="4"/>
  <c r="A111" i="5"/>
  <c r="A107" i="5"/>
  <c r="E70" i="5"/>
  <c r="B110" i="5"/>
  <c r="B136" i="5"/>
  <c r="C136" i="5"/>
  <c r="A65" i="5"/>
  <c r="D82" i="5"/>
  <c r="E111" i="5"/>
  <c r="D63" i="5"/>
  <c r="A93" i="5"/>
  <c r="A63" i="5"/>
  <c r="B139" i="5"/>
  <c r="E137" i="5"/>
  <c r="E89" i="5"/>
  <c r="D128" i="5"/>
  <c r="B112" i="5"/>
  <c r="B88" i="5"/>
  <c r="C88" i="5"/>
  <c r="D126" i="5"/>
  <c r="E110" i="5"/>
  <c r="C65" i="5"/>
  <c r="E93" i="5"/>
  <c r="D93" i="5"/>
  <c r="B130" i="5"/>
  <c r="E114" i="5"/>
  <c r="D106" i="5"/>
  <c r="E74" i="5"/>
  <c r="E66" i="5"/>
  <c r="C101" i="5"/>
  <c r="C130" i="5"/>
  <c r="D132" i="5"/>
  <c r="A124" i="5"/>
  <c r="B124" i="5"/>
  <c r="D116" i="5"/>
  <c r="E92" i="5"/>
  <c r="B52" i="5"/>
  <c r="A36" i="5"/>
  <c r="D139" i="5"/>
  <c r="D131" i="5"/>
  <c r="D115" i="5"/>
  <c r="D99" i="5"/>
  <c r="D83" i="5"/>
  <c r="C95" i="5"/>
  <c r="V106" i="4"/>
  <c r="Y111" i="4"/>
  <c r="Y95" i="4"/>
  <c r="T106" i="4"/>
  <c r="Y112" i="4"/>
  <c r="Y88" i="4"/>
  <c r="X126" i="4"/>
  <c r="U69" i="4"/>
  <c r="Y106" i="4"/>
  <c r="Y136" i="4"/>
  <c r="Y137" i="4"/>
  <c r="Y93" i="4"/>
  <c r="U114" i="4"/>
  <c r="U99" i="4"/>
  <c r="Y101" i="4"/>
  <c r="Y124" i="4"/>
  <c r="Y99" i="4"/>
  <c r="A183" i="5"/>
  <c r="T149" i="4"/>
  <c r="A149" i="5"/>
  <c r="A151" i="5"/>
  <c r="A158" i="5"/>
  <c r="A157" i="5"/>
  <c r="A175" i="5"/>
  <c r="A163" i="5"/>
  <c r="A170" i="5"/>
  <c r="A153" i="5"/>
  <c r="A169" i="5"/>
  <c r="T162" i="4"/>
  <c r="A171" i="5"/>
  <c r="A146" i="5"/>
  <c r="A162" i="5"/>
  <c r="A155" i="5"/>
  <c r="A161" i="5"/>
  <c r="A176" i="5"/>
  <c r="A160" i="5"/>
  <c r="T176" i="4"/>
  <c r="T161" i="4"/>
  <c r="T160" i="4"/>
  <c r="T170" i="4"/>
  <c r="T153" i="4"/>
  <c r="T179" i="4"/>
  <c r="T166" i="4"/>
  <c r="T183" i="4"/>
  <c r="T158" i="4"/>
  <c r="T163" i="4"/>
  <c r="T155" i="4"/>
  <c r="T151" i="4"/>
  <c r="T167" i="4"/>
  <c r="T157" i="4"/>
  <c r="T175" i="4"/>
  <c r="T169" i="4"/>
  <c r="T173" i="4"/>
  <c r="T165" i="4"/>
  <c r="T171" i="4"/>
  <c r="T146" i="4"/>
  <c r="T147" i="4"/>
  <c r="T143" i="4"/>
  <c r="T172" i="4"/>
  <c r="T164" i="4"/>
  <c r="A152" i="5"/>
  <c r="T152" i="4"/>
  <c r="A174" i="5"/>
  <c r="T168" i="4"/>
  <c r="A150" i="5"/>
  <c r="A154" i="5"/>
  <c r="T154" i="4"/>
  <c r="A178" i="5"/>
  <c r="T182" i="4"/>
  <c r="A144" i="5"/>
  <c r="A166" i="5"/>
  <c r="A172" i="5"/>
  <c r="A145" i="5"/>
  <c r="A142" i="5"/>
  <c r="A165" i="5"/>
  <c r="A181" i="5"/>
  <c r="A179" i="5"/>
  <c r="T180" i="4"/>
  <c r="T114" i="4"/>
  <c r="T178" i="4"/>
  <c r="A148" i="5"/>
  <c r="T148" i="4"/>
  <c r="A168" i="5"/>
  <c r="T174" i="4"/>
  <c r="A147" i="5"/>
  <c r="T150" i="4"/>
  <c r="A182" i="5"/>
  <c r="T144" i="4"/>
  <c r="T145" i="4"/>
  <c r="A164" i="5"/>
  <c r="T142" i="4"/>
  <c r="A156" i="5"/>
  <c r="T156" i="4"/>
  <c r="A167" i="5"/>
  <c r="T181" i="4"/>
  <c r="A173" i="5"/>
  <c r="A143" i="5"/>
  <c r="A180" i="5"/>
  <c r="T95" i="4"/>
  <c r="E182" i="5"/>
  <c r="E142" i="5"/>
  <c r="E173" i="5"/>
  <c r="E175" i="5"/>
  <c r="E183" i="5"/>
  <c r="E151" i="5"/>
  <c r="E165" i="5"/>
  <c r="X155" i="4"/>
  <c r="E154" i="5"/>
  <c r="E169" i="5"/>
  <c r="X151" i="4"/>
  <c r="X150" i="4"/>
  <c r="E155" i="5"/>
  <c r="X176" i="4"/>
  <c r="X162" i="4"/>
  <c r="X179" i="4"/>
  <c r="X169" i="4"/>
  <c r="X183" i="4"/>
  <c r="X163" i="4"/>
  <c r="X181" i="4"/>
  <c r="X168" i="4"/>
  <c r="X161" i="4"/>
  <c r="X142" i="4"/>
  <c r="X174" i="4"/>
  <c r="X145" i="4"/>
  <c r="X175" i="4"/>
  <c r="X172" i="4"/>
  <c r="X166" i="4"/>
  <c r="X182" i="4"/>
  <c r="X154" i="4"/>
  <c r="X165" i="4"/>
  <c r="X149" i="4"/>
  <c r="X173" i="4"/>
  <c r="X171" i="4"/>
  <c r="X146" i="4"/>
  <c r="X164" i="4"/>
  <c r="X170" i="4"/>
  <c r="X158" i="4"/>
  <c r="X178" i="4"/>
  <c r="E148" i="5"/>
  <c r="E180" i="5"/>
  <c r="E144" i="5"/>
  <c r="X144" i="4"/>
  <c r="E162" i="5"/>
  <c r="E176" i="5"/>
  <c r="X156" i="4"/>
  <c r="E145" i="5"/>
  <c r="E158" i="5"/>
  <c r="X152" i="4"/>
  <c r="E167" i="5"/>
  <c r="X153" i="4"/>
  <c r="E170" i="5"/>
  <c r="E160" i="5"/>
  <c r="E161" i="5"/>
  <c r="E179" i="5"/>
  <c r="E174" i="5"/>
  <c r="E150" i="5"/>
  <c r="E181" i="5"/>
  <c r="E149" i="5"/>
  <c r="E166" i="5"/>
  <c r="E172" i="5"/>
  <c r="X157" i="4"/>
  <c r="X148" i="4"/>
  <c r="X180" i="4"/>
  <c r="E156" i="5"/>
  <c r="E163" i="5"/>
  <c r="X147" i="4"/>
  <c r="E152" i="5"/>
  <c r="E157" i="5"/>
  <c r="E164" i="5"/>
  <c r="X167" i="4"/>
  <c r="E153" i="5"/>
  <c r="E178" i="5"/>
  <c r="X160" i="4"/>
  <c r="E146" i="5"/>
  <c r="E171" i="5"/>
  <c r="X143" i="4"/>
  <c r="E168" i="5"/>
  <c r="E147" i="5"/>
  <c r="E143" i="5"/>
  <c r="X106" i="4"/>
  <c r="C183" i="5"/>
  <c r="C169" i="5"/>
  <c r="C158" i="5"/>
  <c r="C151" i="5"/>
  <c r="C173" i="5"/>
  <c r="V148" i="4"/>
  <c r="C149" i="5"/>
  <c r="C175" i="5"/>
  <c r="C165" i="5"/>
  <c r="V162" i="4"/>
  <c r="V175" i="4"/>
  <c r="V170" i="4"/>
  <c r="V166" i="4"/>
  <c r="V153" i="4"/>
  <c r="V156" i="4"/>
  <c r="V144" i="4"/>
  <c r="V179" i="4"/>
  <c r="V169" i="4"/>
  <c r="V158" i="4"/>
  <c r="V181" i="4"/>
  <c r="V171" i="4"/>
  <c r="V155" i="4"/>
  <c r="V147" i="4"/>
  <c r="V167" i="4"/>
  <c r="V161" i="4"/>
  <c r="V160" i="4"/>
  <c r="V165" i="4"/>
  <c r="V149" i="4"/>
  <c r="V183" i="4"/>
  <c r="V173" i="4"/>
  <c r="V151" i="4"/>
  <c r="V143" i="4"/>
  <c r="V146" i="4"/>
  <c r="V180" i="4"/>
  <c r="V182" i="4"/>
  <c r="C176" i="5"/>
  <c r="V178" i="4"/>
  <c r="V163" i="4"/>
  <c r="C164" i="5"/>
  <c r="C174" i="5"/>
  <c r="V142" i="4"/>
  <c r="C150" i="5"/>
  <c r="C156" i="5"/>
  <c r="V152" i="4"/>
  <c r="C179" i="5"/>
  <c r="C143" i="5"/>
  <c r="C161" i="5"/>
  <c r="C155" i="5"/>
  <c r="C148" i="5"/>
  <c r="V99" i="4"/>
  <c r="V172" i="4"/>
  <c r="V145" i="4"/>
  <c r="V157" i="4"/>
  <c r="V174" i="4"/>
  <c r="C144" i="5"/>
  <c r="C153" i="5"/>
  <c r="C170" i="5"/>
  <c r="C178" i="5"/>
  <c r="C168" i="5"/>
  <c r="C162" i="5"/>
  <c r="V168" i="4"/>
  <c r="C171" i="5"/>
  <c r="C146" i="5"/>
  <c r="C154" i="5"/>
  <c r="V154" i="4"/>
  <c r="C182" i="5"/>
  <c r="C180" i="5"/>
  <c r="C157" i="5"/>
  <c r="C172" i="5"/>
  <c r="C145" i="5"/>
  <c r="V164" i="4"/>
  <c r="C142" i="5"/>
  <c r="V176" i="4"/>
  <c r="C160" i="5"/>
  <c r="V150" i="4"/>
  <c r="C167" i="5"/>
  <c r="C147" i="5"/>
  <c r="C152" i="5"/>
  <c r="C163" i="5"/>
  <c r="C181" i="5"/>
  <c r="C166" i="5"/>
  <c r="D151" i="5"/>
  <c r="D158" i="5"/>
  <c r="W151" i="4"/>
  <c r="D142" i="5"/>
  <c r="D182" i="5"/>
  <c r="D161" i="5"/>
  <c r="D169" i="5"/>
  <c r="W155" i="4"/>
  <c r="W146" i="4"/>
  <c r="W142" i="4"/>
  <c r="W160" i="4"/>
  <c r="W175" i="4"/>
  <c r="W172" i="4"/>
  <c r="W153" i="4"/>
  <c r="W166" i="4"/>
  <c r="W179" i="4"/>
  <c r="W169" i="4"/>
  <c r="W152" i="4"/>
  <c r="W183" i="4"/>
  <c r="W158" i="4"/>
  <c r="W181" i="4"/>
  <c r="W161" i="4"/>
  <c r="W174" i="4"/>
  <c r="W178" i="4"/>
  <c r="W164" i="4"/>
  <c r="W170" i="4"/>
  <c r="W180" i="4"/>
  <c r="W182" i="4"/>
  <c r="W154" i="4"/>
  <c r="W148" i="4"/>
  <c r="W149" i="4"/>
  <c r="D165" i="5"/>
  <c r="W165" i="4"/>
  <c r="D156" i="5"/>
  <c r="D144" i="5"/>
  <c r="W157" i="4"/>
  <c r="D153" i="5"/>
  <c r="D175" i="5"/>
  <c r="D171" i="5"/>
  <c r="D149" i="5"/>
  <c r="W162" i="4"/>
  <c r="D168" i="5"/>
  <c r="W176" i="4"/>
  <c r="D160" i="5"/>
  <c r="W150" i="4"/>
  <c r="D170" i="5"/>
  <c r="D152" i="5"/>
  <c r="D180" i="5"/>
  <c r="D143" i="5"/>
  <c r="W171" i="4"/>
  <c r="D163" i="5"/>
  <c r="D164" i="5"/>
  <c r="D174" i="5"/>
  <c r="D179" i="5"/>
  <c r="D148" i="5"/>
  <c r="D172" i="5"/>
  <c r="W124" i="4"/>
  <c r="W69" i="4"/>
  <c r="W167" i="4"/>
  <c r="W173" i="4"/>
  <c r="W145" i="4"/>
  <c r="D162" i="5"/>
  <c r="D176" i="5"/>
  <c r="W144" i="4"/>
  <c r="D157" i="5"/>
  <c r="W156" i="4"/>
  <c r="D173" i="5"/>
  <c r="D145" i="5"/>
  <c r="D167" i="5"/>
  <c r="W168" i="4"/>
  <c r="D178" i="5"/>
  <c r="W163" i="4"/>
  <c r="D183" i="5"/>
  <c r="W143" i="4"/>
  <c r="D181" i="5"/>
  <c r="D150" i="5"/>
  <c r="D166" i="5"/>
  <c r="D147" i="5"/>
  <c r="W147" i="4"/>
  <c r="D154" i="5"/>
  <c r="D155" i="5"/>
  <c r="D146" i="5"/>
  <c r="W110" i="4"/>
  <c r="W112" i="4"/>
  <c r="A139" i="5"/>
  <c r="A131" i="5"/>
  <c r="V115" i="4"/>
  <c r="C99" i="5"/>
  <c r="AD83" i="4"/>
  <c r="A82" i="5"/>
  <c r="C66" i="5"/>
  <c r="A105" i="5"/>
  <c r="C89" i="5"/>
  <c r="U95" i="4"/>
  <c r="U83" i="4"/>
  <c r="V128" i="4"/>
  <c r="X128" i="4"/>
  <c r="AD99" i="4"/>
  <c r="W101" i="4"/>
  <c r="X93" i="4"/>
  <c r="D124" i="5"/>
  <c r="A114" i="5"/>
  <c r="X114" i="4"/>
  <c r="U93" i="4"/>
  <c r="D69" i="5"/>
  <c r="T69" i="4"/>
  <c r="AD137" i="4"/>
  <c r="U127" i="4"/>
  <c r="X112" i="4"/>
  <c r="AD128" i="4"/>
  <c r="T99" i="4"/>
  <c r="X88" i="4"/>
  <c r="T83" i="4"/>
  <c r="V95" i="4"/>
  <c r="W127" i="4"/>
  <c r="W126" i="4"/>
  <c r="T110" i="4"/>
  <c r="X83" i="4"/>
  <c r="B126" i="5"/>
  <c r="B111" i="5"/>
  <c r="A51" i="5"/>
  <c r="C139" i="5"/>
  <c r="V83" i="4"/>
  <c r="A83" i="5"/>
  <c r="A95" i="5"/>
  <c r="C131" i="5"/>
  <c r="C107" i="5"/>
  <c r="A136" i="5"/>
  <c r="B104" i="5"/>
  <c r="A72" i="5"/>
  <c r="A133" i="5"/>
  <c r="B93" i="5"/>
  <c r="C105" i="5"/>
  <c r="D127" i="5"/>
  <c r="D95" i="5"/>
  <c r="A106" i="5"/>
  <c r="D104" i="5"/>
  <c r="B137" i="5"/>
  <c r="B113" i="5"/>
  <c r="B89" i="5"/>
  <c r="E128" i="5"/>
  <c r="D112" i="5"/>
  <c r="A88" i="5"/>
  <c r="E126" i="5"/>
  <c r="C110" i="5"/>
  <c r="E136" i="5"/>
  <c r="B105" i="5"/>
  <c r="B65" i="5"/>
  <c r="E133" i="5"/>
  <c r="A127" i="5"/>
  <c r="A89" i="5"/>
  <c r="B133" i="5"/>
  <c r="D114" i="5"/>
  <c r="B82" i="5"/>
  <c r="B74" i="5"/>
  <c r="E69" i="5"/>
  <c r="C114" i="5"/>
  <c r="D70" i="5"/>
  <c r="A132" i="5"/>
  <c r="B132" i="5"/>
  <c r="A116" i="5"/>
  <c r="B116" i="5"/>
  <c r="A52" i="5"/>
  <c r="C52" i="5"/>
  <c r="C36" i="5"/>
  <c r="E139" i="5"/>
  <c r="D107" i="5"/>
  <c r="C51" i="5"/>
  <c r="B99" i="5"/>
  <c r="C111" i="5"/>
  <c r="E104" i="5"/>
  <c r="B51" i="5"/>
  <c r="D92" i="5"/>
  <c r="W83" i="4"/>
  <c r="V88" i="4"/>
  <c r="T126" i="4"/>
  <c r="T93" i="4"/>
  <c r="B95" i="5"/>
  <c r="X111" i="4"/>
  <c r="AD101" i="4"/>
  <c r="V101" i="4"/>
  <c r="X124" i="4"/>
  <c r="AD106" i="4"/>
  <c r="AD93" i="4"/>
  <c r="V69" i="4"/>
  <c r="X115" i="4"/>
  <c r="W99" i="4"/>
  <c r="V112" i="4"/>
  <c r="T111" i="4"/>
  <c r="AD126" i="4"/>
  <c r="A137" i="5"/>
  <c r="C72" i="5"/>
  <c r="V136" i="4"/>
  <c r="A104" i="5"/>
  <c r="F104" i="5" s="1"/>
  <c r="B72" i="5"/>
  <c r="E127" i="5"/>
  <c r="E95" i="5"/>
  <c r="C63" i="5"/>
  <c r="D130" i="5"/>
  <c r="E113" i="5"/>
  <c r="Y128" i="4"/>
  <c r="A128" i="5"/>
  <c r="F128" i="5" s="1"/>
  <c r="E112" i="5"/>
  <c r="C112" i="5"/>
  <c r="E88" i="5"/>
  <c r="A126" i="5"/>
  <c r="F126" i="5" s="1"/>
  <c r="A110" i="5"/>
  <c r="F110" i="5" s="1"/>
  <c r="A70" i="5"/>
  <c r="F70" i="5" s="1"/>
  <c r="D72" i="5"/>
  <c r="D65" i="5"/>
  <c r="C133" i="5"/>
  <c r="C93" i="5"/>
  <c r="A101" i="5"/>
  <c r="C113" i="5"/>
  <c r="E130" i="5"/>
  <c r="B106" i="5"/>
  <c r="D74" i="5"/>
  <c r="B66" i="5"/>
  <c r="E101" i="5"/>
  <c r="C69" i="5"/>
  <c r="C132" i="5"/>
  <c r="E124" i="5"/>
  <c r="C116" i="5"/>
  <c r="C92" i="5"/>
  <c r="D52" i="5"/>
  <c r="D36" i="5"/>
  <c r="E131" i="5"/>
  <c r="E115" i="5"/>
  <c r="E99" i="5"/>
  <c r="E83" i="5"/>
  <c r="C67" i="5"/>
  <c r="B83" i="5"/>
  <c r="U111" i="4"/>
  <c r="AD115" i="4"/>
  <c r="AD136" i="4"/>
  <c r="W111" i="4"/>
  <c r="W95" i="4"/>
  <c r="U128" i="4"/>
  <c r="T112" i="4"/>
  <c r="W88" i="4"/>
  <c r="Y126" i="4"/>
  <c r="V126" i="4"/>
  <c r="AD127" i="4"/>
  <c r="Y114" i="4"/>
  <c r="Y69" i="4"/>
  <c r="V127" i="4"/>
  <c r="Y127" i="4"/>
  <c r="Y110" i="4"/>
  <c r="W114" i="4"/>
  <c r="Y83" i="4"/>
  <c r="V111" i="4"/>
  <c r="Y115" i="4"/>
  <c r="U115" i="4"/>
  <c r="A2" i="5"/>
  <c r="D5" i="5"/>
  <c r="C59" i="5"/>
  <c r="E56" i="5"/>
  <c r="B141" i="5"/>
  <c r="A87" i="5"/>
  <c r="C24" i="5"/>
  <c r="D14" i="5"/>
  <c r="A90" i="5"/>
  <c r="C39" i="5"/>
  <c r="C129" i="5"/>
  <c r="D35" i="5"/>
  <c r="A56" i="5"/>
  <c r="A80" i="5"/>
  <c r="A26" i="5"/>
  <c r="C118" i="5"/>
  <c r="D138" i="5"/>
  <c r="A129" i="5"/>
  <c r="A15" i="5"/>
  <c r="D30" i="5"/>
  <c r="A71" i="5"/>
  <c r="C73" i="5"/>
  <c r="A123" i="5"/>
  <c r="D37" i="5"/>
  <c r="A53" i="5"/>
  <c r="A19" i="5"/>
  <c r="D134" i="5"/>
  <c r="D61" i="5"/>
  <c r="A121" i="5"/>
  <c r="A41" i="5"/>
  <c r="C86" i="5"/>
  <c r="D45" i="5"/>
  <c r="A62" i="5"/>
  <c r="D119" i="5"/>
  <c r="C56" i="5"/>
  <c r="A34" i="5"/>
  <c r="A134" i="5"/>
  <c r="B22" i="5"/>
  <c r="C46" i="5"/>
  <c r="D85" i="5"/>
  <c r="E5" i="5"/>
  <c r="D27" i="5"/>
  <c r="C20" i="5"/>
  <c r="C16" i="5"/>
  <c r="A58" i="5"/>
  <c r="D21" i="5"/>
  <c r="D55" i="5"/>
  <c r="D94" i="5"/>
  <c r="E79" i="5"/>
  <c r="C12" i="5"/>
  <c r="C102" i="5"/>
  <c r="C79" i="5"/>
  <c r="A68" i="5"/>
  <c r="A117" i="5"/>
  <c r="E18" i="5"/>
  <c r="C58" i="5"/>
  <c r="D80" i="5"/>
  <c r="A14" i="5"/>
  <c r="D122" i="5"/>
  <c r="D73" i="5"/>
  <c r="D121" i="5"/>
  <c r="C6" i="5"/>
  <c r="D19" i="5"/>
  <c r="C123" i="5"/>
  <c r="C17" i="5"/>
  <c r="C108" i="5"/>
  <c r="D13" i="5"/>
  <c r="C47" i="5"/>
  <c r="C42" i="5"/>
  <c r="C7" i="5"/>
  <c r="E91" i="5"/>
  <c r="E12" i="5"/>
  <c r="D31" i="5"/>
  <c r="C19" i="5"/>
  <c r="D108" i="5"/>
  <c r="D11" i="5"/>
  <c r="C62" i="5"/>
  <c r="E64" i="5"/>
  <c r="B119" i="5"/>
  <c r="D71" i="5"/>
  <c r="E135" i="5"/>
  <c r="C117" i="5"/>
  <c r="D91" i="5"/>
  <c r="E6" i="5"/>
  <c r="B109" i="5"/>
  <c r="D96" i="5"/>
  <c r="A103" i="5"/>
  <c r="A64" i="5"/>
  <c r="A29" i="5"/>
  <c r="E75" i="5"/>
  <c r="D141" i="5"/>
  <c r="D38" i="5"/>
  <c r="C98" i="5"/>
  <c r="A28" i="5"/>
  <c r="D76" i="5"/>
  <c r="C78" i="5"/>
  <c r="B81" i="5"/>
  <c r="C103" i="5"/>
  <c r="D9" i="5"/>
  <c r="C134" i="5"/>
  <c r="B87" i="5"/>
  <c r="D79" i="5"/>
  <c r="B138" i="5"/>
  <c r="D59" i="5"/>
  <c r="C61" i="5"/>
  <c r="C18" i="5"/>
  <c r="D140" i="5"/>
  <c r="E81" i="5"/>
  <c r="A48" i="5"/>
  <c r="C13" i="5"/>
  <c r="C43" i="5"/>
  <c r="C90" i="5"/>
  <c r="C30" i="5"/>
  <c r="C75" i="5"/>
  <c r="C55" i="5"/>
  <c r="B12" i="5"/>
  <c r="E73" i="5"/>
  <c r="C97" i="5"/>
  <c r="D54" i="5"/>
  <c r="B32" i="5"/>
  <c r="C21" i="5"/>
  <c r="A11" i="5"/>
  <c r="E44" i="5"/>
  <c r="E45" i="5"/>
  <c r="D39" i="5"/>
  <c r="B58" i="5"/>
  <c r="C35" i="5"/>
  <c r="E3" i="5"/>
  <c r="C41" i="5"/>
  <c r="C100" i="5"/>
  <c r="E98" i="5"/>
  <c r="E31" i="5"/>
  <c r="D120" i="5"/>
  <c r="C2" i="5"/>
  <c r="E84" i="5"/>
  <c r="D46" i="5"/>
  <c r="E35" i="5"/>
  <c r="D86" i="5"/>
  <c r="C23" i="5"/>
  <c r="B49" i="5"/>
  <c r="D17" i="5"/>
  <c r="E16" i="5"/>
  <c r="B84" i="5"/>
  <c r="B129" i="5"/>
  <c r="B78" i="5"/>
  <c r="E41" i="5"/>
  <c r="E46" i="5"/>
  <c r="E4" i="5"/>
  <c r="D53" i="5"/>
  <c r="D129" i="5"/>
  <c r="E121" i="5"/>
  <c r="C50" i="5"/>
  <c r="E11" i="5"/>
  <c r="D118" i="5"/>
  <c r="D123" i="5"/>
  <c r="A122" i="5"/>
  <c r="D7" i="5"/>
  <c r="D42" i="5"/>
  <c r="E78" i="5"/>
  <c r="D49" i="5"/>
  <c r="A57" i="5"/>
  <c r="D117" i="5"/>
  <c r="A46" i="5"/>
  <c r="E90" i="5"/>
  <c r="D48" i="5"/>
  <c r="E15" i="5"/>
  <c r="B4" i="5"/>
  <c r="A17" i="5"/>
  <c r="B98" i="5"/>
  <c r="D77" i="5"/>
  <c r="D102" i="5"/>
  <c r="A135" i="5"/>
  <c r="A86" i="5"/>
  <c r="B2" i="5"/>
  <c r="B90" i="5"/>
  <c r="A32" i="5"/>
  <c r="E9" i="5"/>
  <c r="B134" i="5"/>
  <c r="A40" i="5"/>
  <c r="B10" i="5"/>
  <c r="E27" i="5"/>
  <c r="B41" i="5"/>
  <c r="A25" i="5"/>
  <c r="A61" i="5"/>
  <c r="A35" i="5"/>
  <c r="B46" i="5"/>
  <c r="E10" i="5"/>
  <c r="E54" i="5"/>
  <c r="E108" i="5"/>
  <c r="E29" i="5"/>
  <c r="E97" i="5"/>
  <c r="E120" i="5"/>
  <c r="E22" i="5"/>
  <c r="A6" i="5"/>
  <c r="B100" i="5"/>
  <c r="A9" i="5"/>
  <c r="E80" i="5"/>
  <c r="C159" i="5"/>
  <c r="C177" i="5"/>
  <c r="C48" i="5"/>
  <c r="C34" i="5"/>
  <c r="C60" i="5"/>
  <c r="B79" i="5"/>
  <c r="B16" i="5"/>
  <c r="C31" i="5"/>
  <c r="A102" i="5"/>
  <c r="C77" i="5"/>
  <c r="D26" i="5"/>
  <c r="D100" i="5"/>
  <c r="E19" i="5"/>
  <c r="B120" i="5"/>
  <c r="A85" i="5"/>
  <c r="D84" i="5"/>
  <c r="C80" i="5"/>
  <c r="C71" i="5"/>
  <c r="A22" i="5"/>
  <c r="C26" i="5"/>
  <c r="B76" i="5"/>
  <c r="A138" i="5"/>
  <c r="B45" i="5"/>
  <c r="C84" i="5"/>
  <c r="B23" i="5"/>
  <c r="A24" i="5"/>
  <c r="E25" i="5"/>
  <c r="A5" i="5"/>
  <c r="E141" i="5"/>
  <c r="A100" i="5"/>
  <c r="C3" i="5"/>
  <c r="D87" i="5"/>
  <c r="B20" i="5"/>
  <c r="B96" i="5"/>
  <c r="E7" i="5"/>
  <c r="A97" i="5"/>
  <c r="C141" i="5"/>
  <c r="A108" i="5"/>
  <c r="C138" i="5"/>
  <c r="A38" i="5"/>
  <c r="C15" i="5"/>
  <c r="E50" i="5"/>
  <c r="E17" i="5"/>
  <c r="C91" i="5"/>
  <c r="C14" i="5"/>
  <c r="D109" i="5"/>
  <c r="E32" i="5"/>
  <c r="B57" i="5"/>
  <c r="E57" i="5"/>
  <c r="A77" i="5"/>
  <c r="B9" i="5"/>
  <c r="E138" i="5"/>
  <c r="A91" i="5"/>
  <c r="D58" i="5"/>
  <c r="D135" i="5"/>
  <c r="B103" i="5"/>
  <c r="E117" i="5"/>
  <c r="E77" i="5"/>
  <c r="D4" i="5"/>
  <c r="E94" i="5"/>
  <c r="C57" i="5"/>
  <c r="E71" i="5"/>
  <c r="B97" i="5"/>
  <c r="B50" i="5"/>
  <c r="B121" i="5"/>
  <c r="B47" i="5"/>
  <c r="E134" i="5"/>
  <c r="B73" i="5"/>
  <c r="E123" i="5"/>
  <c r="E62" i="5"/>
  <c r="B25" i="5"/>
  <c r="B42" i="5"/>
  <c r="B30" i="5"/>
  <c r="B140" i="5"/>
  <c r="D159" i="5"/>
  <c r="D44" i="5"/>
  <c r="D78" i="5"/>
  <c r="D28" i="5"/>
  <c r="D177" i="5"/>
  <c r="D32" i="5"/>
  <c r="D2" i="5"/>
  <c r="D8" i="5"/>
  <c r="D98" i="5"/>
  <c r="D18" i="5"/>
  <c r="D56" i="5"/>
  <c r="C22" i="5"/>
  <c r="B8" i="5"/>
  <c r="A47" i="5"/>
  <c r="D62" i="5"/>
  <c r="C29" i="5"/>
  <c r="D10" i="5"/>
  <c r="E76" i="5"/>
  <c r="A39" i="5"/>
  <c r="A49" i="5"/>
  <c r="B108" i="5"/>
  <c r="A27" i="5"/>
  <c r="D64" i="5"/>
  <c r="D47" i="5"/>
  <c r="C9" i="5"/>
  <c r="B18" i="5"/>
  <c r="C68" i="5"/>
  <c r="A23" i="5"/>
  <c r="C25" i="5"/>
  <c r="D43" i="5"/>
  <c r="D20" i="5"/>
  <c r="D16" i="5"/>
  <c r="C38" i="5"/>
  <c r="B118" i="5"/>
  <c r="C125" i="5"/>
  <c r="B68" i="5"/>
  <c r="A125" i="5"/>
  <c r="E47" i="5"/>
  <c r="A4" i="5"/>
  <c r="A16" i="5"/>
  <c r="A119" i="5"/>
  <c r="E61" i="5"/>
  <c r="C85" i="5"/>
  <c r="E100" i="5"/>
  <c r="A109" i="5"/>
  <c r="A45" i="5"/>
  <c r="C135" i="5"/>
  <c r="E109" i="5"/>
  <c r="E26" i="5"/>
  <c r="A96" i="5"/>
  <c r="C5" i="5"/>
  <c r="C44" i="5"/>
  <c r="E24" i="5"/>
  <c r="E102" i="5"/>
  <c r="A84" i="5"/>
  <c r="C81" i="5"/>
  <c r="B40" i="5"/>
  <c r="D50" i="5"/>
  <c r="A43" i="5"/>
  <c r="C120" i="5"/>
  <c r="E87" i="5"/>
  <c r="E43" i="5"/>
  <c r="E13" i="5"/>
  <c r="B6" i="5"/>
  <c r="C4" i="5"/>
  <c r="E39" i="5"/>
  <c r="B38" i="5"/>
  <c r="B26" i="5"/>
  <c r="B94" i="5"/>
  <c r="A3" i="5"/>
  <c r="A42" i="5"/>
  <c r="A50" i="5"/>
  <c r="A177" i="5"/>
  <c r="A159" i="5"/>
  <c r="A10" i="5"/>
  <c r="A140" i="5"/>
  <c r="E2" i="5"/>
  <c r="E38" i="5"/>
  <c r="A18" i="5"/>
  <c r="B135" i="5"/>
  <c r="D97" i="5"/>
  <c r="B125" i="5"/>
  <c r="C87" i="5"/>
  <c r="E30" i="5"/>
  <c r="B117" i="5"/>
  <c r="D125" i="5"/>
  <c r="D68" i="5"/>
  <c r="C54" i="5"/>
  <c r="E119" i="5"/>
  <c r="B44" i="5"/>
  <c r="D60" i="5"/>
  <c r="C40" i="5"/>
  <c r="D15" i="5"/>
  <c r="D41" i="5"/>
  <c r="C10" i="5"/>
  <c r="E28" i="5"/>
  <c r="B35" i="5"/>
  <c r="E14" i="5"/>
  <c r="B55" i="5"/>
  <c r="E49" i="5"/>
  <c r="E8" i="5"/>
  <c r="A30" i="5"/>
  <c r="A73" i="5"/>
  <c r="E85" i="5"/>
  <c r="B60" i="5"/>
  <c r="A7" i="5"/>
  <c r="B91" i="5"/>
  <c r="D75" i="5"/>
  <c r="A8" i="5"/>
  <c r="D57" i="5"/>
  <c r="A13" i="5"/>
  <c r="C53" i="5"/>
  <c r="A44" i="5"/>
  <c r="C49" i="5"/>
  <c r="B54" i="5"/>
  <c r="B56" i="5"/>
  <c r="B102" i="5"/>
  <c r="C109" i="5"/>
  <c r="B24" i="5"/>
  <c r="A141" i="5"/>
  <c r="A59" i="5"/>
  <c r="A33" i="5"/>
  <c r="A78" i="5"/>
  <c r="B28" i="5"/>
  <c r="E42" i="5"/>
  <c r="C8" i="5"/>
  <c r="A75" i="5"/>
  <c r="C96" i="5"/>
  <c r="A79" i="5"/>
  <c r="A120" i="5"/>
  <c r="E34" i="5"/>
  <c r="D23" i="5"/>
  <c r="C27" i="5"/>
  <c r="C122" i="5"/>
  <c r="C76" i="5"/>
  <c r="E159" i="5"/>
  <c r="E40" i="5"/>
  <c r="E58" i="5"/>
  <c r="E177" i="5"/>
  <c r="E122" i="5"/>
  <c r="E68" i="5"/>
  <c r="E96" i="5"/>
  <c r="E23" i="5"/>
  <c r="B77" i="5"/>
  <c r="B15" i="5"/>
  <c r="B159" i="5"/>
  <c r="B37" i="5"/>
  <c r="B177" i="5"/>
  <c r="B13" i="5"/>
  <c r="B62" i="5"/>
  <c r="B53" i="5"/>
  <c r="B59" i="5"/>
  <c r="B123" i="5"/>
  <c r="B14" i="5"/>
  <c r="B21" i="5"/>
  <c r="B71" i="5"/>
  <c r="B43" i="5"/>
  <c r="B85" i="5"/>
  <c r="B31" i="5"/>
  <c r="B27" i="5"/>
  <c r="B11" i="5"/>
  <c r="E48" i="5"/>
  <c r="B17" i="5"/>
  <c r="E140" i="5"/>
  <c r="B3" i="5"/>
  <c r="B7" i="5"/>
  <c r="E59" i="5"/>
  <c r="B64" i="5"/>
  <c r="E118" i="5"/>
  <c r="E103" i="5"/>
  <c r="B34" i="5"/>
  <c r="A98" i="5"/>
  <c r="D33" i="5"/>
  <c r="E37" i="5"/>
  <c r="E33" i="5"/>
  <c r="D22" i="5"/>
  <c r="C32" i="5"/>
  <c r="A21" i="5"/>
  <c r="A60" i="5"/>
  <c r="E129" i="5"/>
  <c r="E55" i="5"/>
  <c r="D12" i="5"/>
  <c r="B39" i="5"/>
  <c r="D24" i="5"/>
  <c r="A31" i="5"/>
  <c r="C45" i="5"/>
  <c r="C37" i="5"/>
  <c r="E20" i="5"/>
  <c r="C28" i="5"/>
  <c r="D29" i="5"/>
  <c r="B75" i="5"/>
  <c r="B33" i="5"/>
  <c r="A81" i="5"/>
  <c r="D81" i="5"/>
  <c r="B5" i="5"/>
  <c r="E53" i="5"/>
  <c r="A20" i="5"/>
  <c r="B19" i="5"/>
  <c r="E86" i="5"/>
  <c r="C11" i="5"/>
  <c r="B61" i="5"/>
  <c r="D25" i="5"/>
  <c r="B86" i="5"/>
  <c r="A37" i="5"/>
  <c r="A12" i="5"/>
  <c r="B80" i="5"/>
  <c r="D90" i="5"/>
  <c r="C94" i="5"/>
  <c r="A76" i="5"/>
  <c r="E21" i="5"/>
  <c r="C121" i="5"/>
  <c r="C140" i="5"/>
  <c r="D34" i="5"/>
  <c r="B29" i="5"/>
  <c r="A54" i="5"/>
  <c r="D3" i="5"/>
  <c r="C33" i="5"/>
  <c r="D103" i="5"/>
  <c r="E60" i="5"/>
  <c r="D6" i="5"/>
  <c r="B48" i="5"/>
  <c r="A94" i="5"/>
  <c r="C64" i="5"/>
  <c r="E125" i="5"/>
  <c r="B122" i="5"/>
  <c r="C119" i="5"/>
  <c r="D40" i="5"/>
  <c r="A118" i="5"/>
  <c r="A55" i="5"/>
  <c r="K144" i="4"/>
  <c r="K156" i="4"/>
  <c r="K145" i="4"/>
  <c r="K146" i="4"/>
  <c r="K147" i="4"/>
  <c r="K157" i="4"/>
  <c r="K158" i="4"/>
  <c r="K159" i="4"/>
  <c r="K160" i="4"/>
  <c r="K169" i="4"/>
  <c r="K178" i="4"/>
  <c r="K148" i="4"/>
  <c r="K149" i="4"/>
  <c r="K150" i="4"/>
  <c r="K151" i="4"/>
  <c r="K161" i="4"/>
  <c r="K152" i="4"/>
  <c r="K174" i="4"/>
  <c r="K175" i="4"/>
  <c r="K176" i="4"/>
  <c r="K183" i="4"/>
  <c r="K142" i="4"/>
  <c r="K153" i="4"/>
  <c r="K155" i="4"/>
  <c r="K143" i="4"/>
  <c r="K154" i="4"/>
  <c r="K166" i="4"/>
  <c r="K168" i="4"/>
  <c r="K177" i="4"/>
  <c r="K163" i="4"/>
  <c r="K170" i="4"/>
  <c r="K172" i="4"/>
  <c r="K179" i="4"/>
  <c r="K181" i="4"/>
  <c r="K182" i="4"/>
  <c r="K165" i="4"/>
  <c r="K162" i="4"/>
  <c r="K167" i="4"/>
  <c r="K171" i="4"/>
  <c r="K180" i="4"/>
  <c r="K164" i="4"/>
  <c r="K173" i="4"/>
  <c r="E171" i="4"/>
  <c r="E172" i="4"/>
  <c r="E173" i="4"/>
  <c r="E180" i="4"/>
  <c r="E181" i="4"/>
  <c r="E182" i="4"/>
  <c r="E149" i="4"/>
  <c r="E150" i="4"/>
  <c r="E151" i="4"/>
  <c r="E152" i="4"/>
  <c r="E162" i="4"/>
  <c r="E153" i="4"/>
  <c r="E175" i="4"/>
  <c r="E176" i="4"/>
  <c r="E177" i="4"/>
  <c r="E167" i="4"/>
  <c r="E168" i="4"/>
  <c r="E169" i="4"/>
  <c r="E178" i="4"/>
  <c r="E157" i="4"/>
  <c r="E166" i="4"/>
  <c r="E146" i="4"/>
  <c r="E148" i="4"/>
  <c r="E159" i="4"/>
  <c r="E161" i="4"/>
  <c r="E170" i="4"/>
  <c r="E179" i="4"/>
  <c r="E143" i="4"/>
  <c r="E154" i="4"/>
  <c r="E156" i="4"/>
  <c r="E163" i="4"/>
  <c r="E165" i="4"/>
  <c r="E174" i="4"/>
  <c r="E183" i="4"/>
  <c r="E144" i="4"/>
  <c r="E145" i="4"/>
  <c r="E142" i="4"/>
  <c r="E155" i="4"/>
  <c r="E147" i="4"/>
  <c r="E158" i="4"/>
  <c r="E160" i="4"/>
  <c r="E164" i="4"/>
  <c r="F168" i="4"/>
  <c r="F167" i="4"/>
  <c r="F153" i="4"/>
  <c r="F150" i="4"/>
  <c r="F176" i="4"/>
  <c r="F178" i="4"/>
  <c r="F175" i="4"/>
  <c r="F149" i="4"/>
  <c r="F169" i="4"/>
  <c r="F172" i="4"/>
  <c r="F173" i="4"/>
  <c r="F156" i="4"/>
  <c r="F180" i="4"/>
  <c r="F155" i="4"/>
  <c r="F159" i="4"/>
  <c r="F170" i="4"/>
  <c r="F160" i="4"/>
  <c r="F151" i="4"/>
  <c r="F182" i="4"/>
  <c r="F164" i="4"/>
  <c r="F179" i="4"/>
  <c r="F144" i="4"/>
  <c r="F147" i="4"/>
  <c r="F158" i="4"/>
  <c r="F177" i="4"/>
  <c r="F148" i="4"/>
  <c r="F157" i="4"/>
  <c r="F154" i="4"/>
  <c r="F142" i="4"/>
  <c r="F171" i="4"/>
  <c r="F183" i="4"/>
  <c r="F145" i="4"/>
  <c r="F181" i="4"/>
  <c r="F174" i="4"/>
  <c r="F162" i="4"/>
  <c r="F146" i="4"/>
  <c r="F163" i="4"/>
  <c r="F152" i="4"/>
  <c r="F161" i="4"/>
  <c r="F165" i="4"/>
  <c r="F143" i="4"/>
  <c r="F166" i="4"/>
  <c r="C163" i="4"/>
  <c r="C164" i="4"/>
  <c r="C165" i="4"/>
  <c r="C174" i="4"/>
  <c r="C183" i="4"/>
  <c r="C153" i="4"/>
  <c r="C175" i="4"/>
  <c r="C176" i="4"/>
  <c r="C177" i="4"/>
  <c r="C167" i="4"/>
  <c r="C168" i="4"/>
  <c r="C169" i="4"/>
  <c r="C178" i="4"/>
  <c r="C146" i="4"/>
  <c r="C147" i="4"/>
  <c r="C148" i="4"/>
  <c r="C158" i="4"/>
  <c r="C159" i="4"/>
  <c r="C160" i="4"/>
  <c r="C161" i="4"/>
  <c r="C170" i="4"/>
  <c r="C179" i="4"/>
  <c r="C172" i="4"/>
  <c r="C181" i="4"/>
  <c r="C171" i="4"/>
  <c r="C182" i="4"/>
  <c r="C150" i="4"/>
  <c r="C152" i="4"/>
  <c r="C145" i="4"/>
  <c r="C143" i="4"/>
  <c r="C154" i="4"/>
  <c r="C156" i="4"/>
  <c r="C173" i="4"/>
  <c r="C180" i="4"/>
  <c r="C149" i="4"/>
  <c r="C151" i="4"/>
  <c r="C162" i="4"/>
  <c r="C142" i="4"/>
  <c r="C144" i="4"/>
  <c r="C155" i="4"/>
  <c r="C166" i="4"/>
  <c r="C157" i="4"/>
  <c r="X177" i="4"/>
  <c r="X159" i="4"/>
  <c r="U159" i="4"/>
  <c r="U177" i="4"/>
  <c r="B153" i="4"/>
  <c r="B175" i="4"/>
  <c r="B176" i="4"/>
  <c r="B177" i="4"/>
  <c r="B142" i="4"/>
  <c r="B143" i="4"/>
  <c r="B144" i="4"/>
  <c r="B154" i="4"/>
  <c r="B155" i="4"/>
  <c r="B156" i="4"/>
  <c r="B166" i="4"/>
  <c r="B145" i="4"/>
  <c r="B157" i="4"/>
  <c r="B171" i="4"/>
  <c r="B172" i="4"/>
  <c r="B173" i="4"/>
  <c r="B180" i="4"/>
  <c r="B181" i="4"/>
  <c r="B182" i="4"/>
  <c r="B150" i="4"/>
  <c r="B152" i="4"/>
  <c r="B149" i="4"/>
  <c r="B162" i="4"/>
  <c r="B146" i="4"/>
  <c r="B159" i="4"/>
  <c r="B163" i="4"/>
  <c r="B165" i="4"/>
  <c r="B174" i="4"/>
  <c r="B183" i="4"/>
  <c r="B147" i="4"/>
  <c r="B158" i="4"/>
  <c r="B167" i="4"/>
  <c r="B169" i="4"/>
  <c r="B178" i="4"/>
  <c r="B160" i="4"/>
  <c r="B151" i="4"/>
  <c r="B161" i="4"/>
  <c r="B170" i="4"/>
  <c r="B179" i="4"/>
  <c r="B164" i="4"/>
  <c r="B168" i="4"/>
  <c r="B148" i="4"/>
  <c r="AD159" i="4"/>
  <c r="AD177" i="4"/>
  <c r="T97" i="4"/>
  <c r="T177" i="4"/>
  <c r="T159" i="4"/>
  <c r="A2" i="4"/>
  <c r="A142" i="4"/>
  <c r="A143" i="4"/>
  <c r="A144" i="4"/>
  <c r="A154" i="4"/>
  <c r="A155" i="4"/>
  <c r="A156" i="4"/>
  <c r="A166" i="4"/>
  <c r="A167" i="4"/>
  <c r="A168" i="4"/>
  <c r="A169" i="4"/>
  <c r="A178" i="4"/>
  <c r="A146" i="4"/>
  <c r="A147" i="4"/>
  <c r="A148" i="4"/>
  <c r="A158" i="4"/>
  <c r="A159" i="4"/>
  <c r="A160" i="4"/>
  <c r="A161" i="4"/>
  <c r="A170" i="4"/>
  <c r="A179" i="4"/>
  <c r="A149" i="4"/>
  <c r="A150" i="4"/>
  <c r="A151" i="4"/>
  <c r="A152" i="4"/>
  <c r="A162" i="4"/>
  <c r="A163" i="4"/>
  <c r="A165" i="4"/>
  <c r="A174" i="4"/>
  <c r="A183" i="4"/>
  <c r="A172" i="4"/>
  <c r="A176" i="4"/>
  <c r="A171" i="4"/>
  <c r="A182" i="4"/>
  <c r="A145" i="4"/>
  <c r="A173" i="4"/>
  <c r="A180" i="4"/>
  <c r="A164" i="4"/>
  <c r="A153" i="4"/>
  <c r="A175" i="4"/>
  <c r="A177" i="4"/>
  <c r="A157" i="4"/>
  <c r="A181" i="4"/>
  <c r="V159" i="4"/>
  <c r="V177" i="4"/>
  <c r="D149" i="4"/>
  <c r="D150" i="4"/>
  <c r="D151" i="4"/>
  <c r="D152" i="4"/>
  <c r="D162" i="4"/>
  <c r="D163" i="4"/>
  <c r="D164" i="4"/>
  <c r="D165" i="4"/>
  <c r="D174" i="4"/>
  <c r="D183" i="4"/>
  <c r="D142" i="4"/>
  <c r="D143" i="4"/>
  <c r="D144" i="4"/>
  <c r="D154" i="4"/>
  <c r="D155" i="4"/>
  <c r="D156" i="4"/>
  <c r="D166" i="4"/>
  <c r="D145" i="4"/>
  <c r="D157" i="4"/>
  <c r="D146" i="4"/>
  <c r="D148" i="4"/>
  <c r="D159" i="4"/>
  <c r="D161" i="4"/>
  <c r="D170" i="4"/>
  <c r="D179" i="4"/>
  <c r="D158" i="4"/>
  <c r="D172" i="4"/>
  <c r="D181" i="4"/>
  <c r="D167" i="4"/>
  <c r="D169" i="4"/>
  <c r="D178" i="4"/>
  <c r="D176" i="4"/>
  <c r="D147" i="4"/>
  <c r="D168" i="4"/>
  <c r="D160" i="4"/>
  <c r="D171" i="4"/>
  <c r="D173" i="4"/>
  <c r="D180" i="4"/>
  <c r="D182" i="4"/>
  <c r="D153" i="4"/>
  <c r="D175" i="4"/>
  <c r="D177" i="4"/>
  <c r="B142" i="3"/>
  <c r="E142" i="3" s="1"/>
  <c r="B144" i="3"/>
  <c r="E144" i="3" s="1"/>
  <c r="B145" i="3"/>
  <c r="E145" i="3" s="1"/>
  <c r="B146" i="3"/>
  <c r="E146" i="3" s="1"/>
  <c r="B148" i="3"/>
  <c r="E148" i="3" s="1"/>
  <c r="B150" i="3"/>
  <c r="E150" i="3" s="1"/>
  <c r="B152" i="3"/>
  <c r="E152" i="3" s="1"/>
  <c r="B153" i="3"/>
  <c r="E153" i="3" s="1"/>
  <c r="B154" i="3"/>
  <c r="E154" i="3" s="1"/>
  <c r="B156" i="3"/>
  <c r="E156" i="3" s="1"/>
  <c r="B158" i="3"/>
  <c r="E158" i="3" s="1"/>
  <c r="B149" i="3"/>
  <c r="E149" i="3" s="1"/>
  <c r="B157" i="3"/>
  <c r="E157" i="3" s="1"/>
  <c r="B165" i="3"/>
  <c r="E165" i="3" s="1"/>
  <c r="B171" i="3"/>
  <c r="E171" i="3" s="1"/>
  <c r="B175" i="3"/>
  <c r="E175" i="3" s="1"/>
  <c r="B180" i="3"/>
  <c r="E180" i="3" s="1"/>
  <c r="B182" i="3"/>
  <c r="E182" i="3" s="1"/>
  <c r="B168" i="3"/>
  <c r="E168" i="3" s="1"/>
  <c r="B176" i="3"/>
  <c r="E176" i="3" s="1"/>
  <c r="B177" i="3"/>
  <c r="E177" i="3" s="1"/>
  <c r="B160" i="3"/>
  <c r="E160" i="3" s="1"/>
  <c r="B143" i="3"/>
  <c r="E143" i="3" s="1"/>
  <c r="B162" i="3"/>
  <c r="E162" i="3" s="1"/>
  <c r="B172" i="3"/>
  <c r="E172" i="3" s="1"/>
  <c r="B174" i="3"/>
  <c r="E174" i="3" s="1"/>
  <c r="B170" i="3"/>
  <c r="E170" i="3" s="1"/>
  <c r="B173" i="3"/>
  <c r="E173" i="3" s="1"/>
  <c r="B183" i="3"/>
  <c r="E183" i="3" s="1"/>
  <c r="B151" i="3"/>
  <c r="E151" i="3" s="1"/>
  <c r="B167" i="3"/>
  <c r="E167" i="3" s="1"/>
  <c r="B159" i="3"/>
  <c r="E159" i="3" s="1"/>
  <c r="B164" i="3"/>
  <c r="E164" i="3" s="1"/>
  <c r="B161" i="3"/>
  <c r="E161" i="3" s="1"/>
  <c r="B155" i="3"/>
  <c r="E155" i="3" s="1"/>
  <c r="B166" i="3"/>
  <c r="E166" i="3" s="1"/>
  <c r="B147" i="3"/>
  <c r="E147" i="3" s="1"/>
  <c r="B163" i="3"/>
  <c r="E163" i="3" s="1"/>
  <c r="B169" i="3"/>
  <c r="E169" i="3" s="1"/>
  <c r="B178" i="3"/>
  <c r="E178" i="3" s="1"/>
  <c r="B179" i="3"/>
  <c r="E179" i="3" s="1"/>
  <c r="B181" i="3"/>
  <c r="E181" i="3" s="1"/>
  <c r="Y134" i="4"/>
  <c r="Y177" i="4"/>
  <c r="Y159" i="4"/>
  <c r="W135" i="4"/>
  <c r="W159" i="4"/>
  <c r="W177" i="4"/>
  <c r="V87" i="4"/>
  <c r="X102" i="4"/>
  <c r="AD80" i="4"/>
  <c r="U108" i="4"/>
  <c r="X108" i="4"/>
  <c r="W123" i="4"/>
  <c r="AD120" i="4"/>
  <c r="V108" i="4"/>
  <c r="U103" i="4"/>
  <c r="AB177" i="1"/>
  <c r="AB159" i="1"/>
  <c r="U75" i="4"/>
  <c r="W121" i="4"/>
  <c r="Q145" i="1"/>
  <c r="Q149" i="1"/>
  <c r="Q153" i="1"/>
  <c r="Q157" i="1"/>
  <c r="Q161" i="1"/>
  <c r="Q165" i="1"/>
  <c r="Q169" i="1"/>
  <c r="Q173" i="1"/>
  <c r="Q177" i="1"/>
  <c r="Q181" i="1"/>
  <c r="Q150" i="1"/>
  <c r="Q158" i="1"/>
  <c r="Q170" i="1"/>
  <c r="Q178" i="1"/>
  <c r="Q182" i="1"/>
  <c r="Q142" i="1"/>
  <c r="Q146" i="1"/>
  <c r="Q162" i="1"/>
  <c r="Q174" i="1"/>
  <c r="Q144" i="1"/>
  <c r="Q148" i="1"/>
  <c r="Q152" i="1"/>
  <c r="Q156" i="1"/>
  <c r="Q160" i="1"/>
  <c r="Q164" i="1"/>
  <c r="Q168" i="1"/>
  <c r="Q172" i="1"/>
  <c r="Q176" i="1"/>
  <c r="Q180" i="1"/>
  <c r="Q179" i="1"/>
  <c r="Q143" i="1"/>
  <c r="Q147" i="1"/>
  <c r="Q151" i="1"/>
  <c r="Q155" i="1"/>
  <c r="Q159" i="1"/>
  <c r="Q163" i="1"/>
  <c r="Q167" i="1"/>
  <c r="Q171" i="1"/>
  <c r="Q175" i="1"/>
  <c r="Q183" i="1"/>
  <c r="Q154" i="1"/>
  <c r="Q166" i="1"/>
  <c r="AD97" i="4"/>
  <c r="T87" i="4"/>
  <c r="T117" i="4"/>
  <c r="V117" i="4"/>
  <c r="Y84" i="4"/>
  <c r="X97" i="4"/>
  <c r="U119" i="4"/>
  <c r="AD55" i="4"/>
  <c r="W134" i="4"/>
  <c r="U141" i="4"/>
  <c r="U84" i="4"/>
  <c r="U86" i="4"/>
  <c r="W103" i="4"/>
  <c r="Y97" i="4"/>
  <c r="W55" i="4"/>
  <c r="V134" i="4"/>
  <c r="T119" i="4"/>
  <c r="X87" i="4"/>
  <c r="U138" i="4"/>
  <c r="V103" i="4"/>
  <c r="X121" i="4"/>
  <c r="U55" i="4"/>
  <c r="U117" i="4"/>
  <c r="T78" i="4"/>
  <c r="W87" i="4"/>
  <c r="X134" i="4"/>
  <c r="V55" i="4"/>
  <c r="Y121" i="4"/>
  <c r="Y86" i="4"/>
  <c r="Y90" i="4"/>
  <c r="Y87" i="4"/>
  <c r="Y55" i="4"/>
  <c r="Y102" i="4"/>
  <c r="V97" i="4"/>
  <c r="Y141" i="4"/>
  <c r="AD135" i="4"/>
  <c r="U134" i="4"/>
  <c r="V80" i="4"/>
  <c r="U90" i="4"/>
  <c r="AD121" i="4"/>
  <c r="T135" i="4"/>
  <c r="V75" i="4"/>
  <c r="X80" i="4"/>
  <c r="AD138" i="4"/>
  <c r="AD103" i="4"/>
  <c r="AD84" i="4"/>
  <c r="AD141" i="4"/>
  <c r="AD123" i="4"/>
  <c r="AD75" i="4"/>
  <c r="AD117" i="4"/>
  <c r="AD119" i="4"/>
  <c r="Y75" i="4"/>
  <c r="V121" i="4"/>
  <c r="Y78" i="4"/>
  <c r="Y135" i="4"/>
  <c r="V102" i="4"/>
  <c r="X135" i="4"/>
  <c r="T141" i="4"/>
  <c r="V119" i="4"/>
  <c r="V123" i="4"/>
  <c r="X90" i="4"/>
  <c r="AD90" i="4"/>
  <c r="AD134" i="4"/>
  <c r="W84" i="4"/>
  <c r="U78" i="4"/>
  <c r="X141" i="4"/>
  <c r="X55" i="4"/>
  <c r="AD108" i="4"/>
  <c r="V135" i="4"/>
  <c r="U48" i="4"/>
  <c r="U123" i="4"/>
  <c r="U121" i="4"/>
  <c r="U120" i="4"/>
  <c r="Y108" i="4"/>
  <c r="AD102" i="4"/>
  <c r="AD87" i="4"/>
  <c r="V78" i="4"/>
  <c r="AD78" i="4"/>
  <c r="V141" i="4"/>
  <c r="AB134" i="1"/>
  <c r="AB87" i="1"/>
  <c r="AB119" i="1"/>
  <c r="AB120" i="1"/>
  <c r="AB86" i="1"/>
  <c r="AB138" i="1"/>
  <c r="AB80" i="1"/>
  <c r="AB75" i="1"/>
  <c r="AB121" i="1"/>
  <c r="AB108" i="1"/>
  <c r="AB141" i="1"/>
  <c r="AB78" i="1"/>
  <c r="AB102" i="1"/>
  <c r="AB97" i="1"/>
  <c r="AB123" i="1"/>
  <c r="AB135" i="1"/>
  <c r="AB90" i="1"/>
  <c r="AB117" i="1"/>
  <c r="AB84" i="1"/>
  <c r="AB55" i="1"/>
  <c r="AB103" i="1"/>
  <c r="T75" i="4"/>
  <c r="T86" i="4"/>
  <c r="T134" i="4"/>
  <c r="W120" i="4"/>
  <c r="W102" i="4"/>
  <c r="W86" i="4"/>
  <c r="W138" i="4"/>
  <c r="T90" i="4"/>
  <c r="X117" i="4"/>
  <c r="Y120" i="4"/>
  <c r="V90" i="4"/>
  <c r="T123" i="4"/>
  <c r="T121" i="4"/>
  <c r="T103" i="4"/>
  <c r="T120" i="4"/>
  <c r="Y80" i="4"/>
  <c r="X64" i="4"/>
  <c r="X84" i="4"/>
  <c r="X86" i="4"/>
  <c r="X120" i="4"/>
  <c r="T138" i="4"/>
  <c r="Y103" i="4"/>
  <c r="Y117" i="4"/>
  <c r="W78" i="4"/>
  <c r="W141" i="4"/>
  <c r="W90" i="4"/>
  <c r="W97" i="4"/>
  <c r="W80" i="4"/>
  <c r="W119" i="4"/>
  <c r="W108" i="4"/>
  <c r="W75" i="4"/>
  <c r="T55" i="4"/>
  <c r="T84" i="4"/>
  <c r="T80" i="4"/>
  <c r="X103" i="4"/>
  <c r="Y138" i="4"/>
  <c r="W117" i="4"/>
  <c r="Y123" i="4"/>
  <c r="X119" i="4"/>
  <c r="U80" i="4"/>
  <c r="V49" i="4"/>
  <c r="V84" i="4"/>
  <c r="V138" i="4"/>
  <c r="V120" i="4"/>
  <c r="AD86" i="4"/>
  <c r="U102" i="4"/>
  <c r="T102" i="4"/>
  <c r="X78" i="4"/>
  <c r="V86" i="4"/>
  <c r="U87" i="4"/>
  <c r="X123" i="4"/>
  <c r="X138" i="4"/>
  <c r="U97" i="4"/>
  <c r="Y119" i="4"/>
  <c r="X75" i="4"/>
  <c r="T108" i="4"/>
  <c r="U135" i="4"/>
  <c r="Q2" i="1"/>
  <c r="B2" i="3"/>
  <c r="E2" i="3" s="1"/>
  <c r="T131" i="4"/>
  <c r="T105" i="4"/>
  <c r="T139" i="4"/>
  <c r="T3" i="4"/>
  <c r="T130" i="4"/>
  <c r="T50" i="4"/>
  <c r="T10" i="4"/>
  <c r="T67" i="4"/>
  <c r="T82" i="4"/>
  <c r="T42" i="4"/>
  <c r="T7" i="4"/>
  <c r="T71" i="4"/>
  <c r="T4" i="4"/>
  <c r="T28" i="4"/>
  <c r="T60" i="4"/>
  <c r="T100" i="4"/>
  <c r="T58" i="4"/>
  <c r="T21" i="4"/>
  <c r="T53" i="4"/>
  <c r="T85" i="4"/>
  <c r="T9" i="4"/>
  <c r="T73" i="4"/>
  <c r="T77" i="4"/>
  <c r="T14" i="4"/>
  <c r="T94" i="4"/>
  <c r="T47" i="4"/>
  <c r="T23" i="4"/>
  <c r="T12" i="4"/>
  <c r="T44" i="4"/>
  <c r="T52" i="4"/>
  <c r="T76" i="4"/>
  <c r="T26" i="4"/>
  <c r="T37" i="4"/>
  <c r="T34" i="4"/>
  <c r="T25" i="4"/>
  <c r="T89" i="4"/>
  <c r="T74" i="4"/>
  <c r="T13" i="4"/>
  <c r="T6" i="4"/>
  <c r="T22" i="4"/>
  <c r="T62" i="4"/>
  <c r="T118" i="4"/>
  <c r="T63" i="4"/>
  <c r="T33" i="4"/>
  <c r="T8" i="4"/>
  <c r="T72" i="4"/>
  <c r="T66" i="4"/>
  <c r="T35" i="4"/>
  <c r="T107" i="4"/>
  <c r="T17" i="4"/>
  <c r="T81" i="4"/>
  <c r="T39" i="4"/>
  <c r="T125" i="4"/>
  <c r="T20" i="4"/>
  <c r="T36" i="4"/>
  <c r="T68" i="4"/>
  <c r="T92" i="4"/>
  <c r="T140" i="4"/>
  <c r="T129" i="4"/>
  <c r="T122" i="4"/>
  <c r="T41" i="4"/>
  <c r="T5" i="4"/>
  <c r="T29" i="4"/>
  <c r="T45" i="4"/>
  <c r="T61" i="4"/>
  <c r="T30" i="4"/>
  <c r="T38" i="4"/>
  <c r="T70" i="4"/>
  <c r="T56" i="4"/>
  <c r="T98" i="4"/>
  <c r="T15" i="4"/>
  <c r="T79" i="4"/>
  <c r="T113" i="4"/>
  <c r="T116" i="4"/>
  <c r="T132" i="4"/>
  <c r="T57" i="4"/>
  <c r="T46" i="4"/>
  <c r="T54" i="4"/>
  <c r="T31" i="4"/>
  <c r="T65" i="4"/>
  <c r="T16" i="4"/>
  <c r="T96" i="4"/>
  <c r="T104" i="4"/>
  <c r="T59" i="4"/>
  <c r="T11" i="4"/>
  <c r="T27" i="4"/>
  <c r="T19" i="4"/>
  <c r="T91" i="4"/>
  <c r="T49" i="4"/>
  <c r="T133" i="4"/>
  <c r="T24" i="4"/>
  <c r="T32" i="4"/>
  <c r="T40" i="4"/>
  <c r="T64" i="4"/>
  <c r="T2" i="4"/>
  <c r="T51" i="4"/>
  <c r="W32" i="4"/>
  <c r="W18" i="4"/>
  <c r="W8" i="4"/>
  <c r="W98" i="4"/>
  <c r="W56" i="4"/>
  <c r="W44" i="4"/>
  <c r="W28" i="4"/>
  <c r="W2" i="4"/>
  <c r="W40" i="4"/>
  <c r="W11" i="4"/>
  <c r="W139" i="4"/>
  <c r="W36" i="4"/>
  <c r="W52" i="4"/>
  <c r="W68" i="4"/>
  <c r="W116" i="4"/>
  <c r="W132" i="4"/>
  <c r="W70" i="4"/>
  <c r="W125" i="4"/>
  <c r="W26" i="4"/>
  <c r="W42" i="4"/>
  <c r="W13" i="4"/>
  <c r="W29" i="4"/>
  <c r="W65" i="4"/>
  <c r="W129" i="4"/>
  <c r="W72" i="4"/>
  <c r="W22" i="4"/>
  <c r="W113" i="4"/>
  <c r="W104" i="4"/>
  <c r="W39" i="4"/>
  <c r="W133" i="4"/>
  <c r="W66" i="4"/>
  <c r="W3" i="4"/>
  <c r="W27" i="4"/>
  <c r="W35" i="4"/>
  <c r="W107" i="4"/>
  <c r="W131" i="4"/>
  <c r="W4" i="4"/>
  <c r="W96" i="4"/>
  <c r="W74" i="4"/>
  <c r="W61" i="4"/>
  <c r="W77" i="4"/>
  <c r="W105" i="4"/>
  <c r="W46" i="4"/>
  <c r="W54" i="4"/>
  <c r="W130" i="4"/>
  <c r="W5" i="4"/>
  <c r="W24" i="4"/>
  <c r="W48" i="4"/>
  <c r="W49" i="4"/>
  <c r="W34" i="4"/>
  <c r="W109" i="4"/>
  <c r="W16" i="4"/>
  <c r="W92" i="4"/>
  <c r="W43" i="4"/>
  <c r="W59" i="4"/>
  <c r="W67" i="4"/>
  <c r="W91" i="4"/>
  <c r="W12" i="4"/>
  <c r="W76" i="4"/>
  <c r="W100" i="4"/>
  <c r="W122" i="4"/>
  <c r="W37" i="4"/>
  <c r="W10" i="4"/>
  <c r="W45" i="4"/>
  <c r="W81" i="4"/>
  <c r="W21" i="4"/>
  <c r="W62" i="4"/>
  <c r="W7" i="4"/>
  <c r="W23" i="4"/>
  <c r="W79" i="4"/>
  <c r="W30" i="4"/>
  <c r="W14" i="4"/>
  <c r="W19" i="4"/>
  <c r="W51" i="4"/>
  <c r="W140" i="4"/>
  <c r="W50" i="4"/>
  <c r="W94" i="4"/>
  <c r="W17" i="4"/>
  <c r="W41" i="4"/>
  <c r="W38" i="4"/>
  <c r="W118" i="4"/>
  <c r="W25" i="4"/>
  <c r="W57" i="4"/>
  <c r="W89" i="4"/>
  <c r="W53" i="4"/>
  <c r="W15" i="4"/>
  <c r="W31" i="4"/>
  <c r="W47" i="4"/>
  <c r="W63" i="4"/>
  <c r="W71" i="4"/>
  <c r="W82" i="4"/>
  <c r="W64" i="4"/>
  <c r="W85" i="4"/>
  <c r="W60" i="4"/>
  <c r="W58" i="4"/>
  <c r="W9" i="4"/>
  <c r="W33" i="4"/>
  <c r="W73" i="4"/>
  <c r="W20" i="4"/>
  <c r="Y139" i="4"/>
  <c r="Y130" i="4"/>
  <c r="Y118" i="4"/>
  <c r="Y107" i="4"/>
  <c r="Y98" i="4"/>
  <c r="Y91" i="4"/>
  <c r="Y81" i="4"/>
  <c r="Y74" i="4"/>
  <c r="Y70" i="4"/>
  <c r="Y65" i="4"/>
  <c r="Y61" i="4"/>
  <c r="Y57" i="4"/>
  <c r="Y52" i="4"/>
  <c r="Y48" i="4"/>
  <c r="Y43" i="4"/>
  <c r="Y39" i="4"/>
  <c r="Y35" i="4"/>
  <c r="Y31" i="4"/>
  <c r="Y27" i="4"/>
  <c r="Y23" i="4"/>
  <c r="Y19" i="4"/>
  <c r="Y15" i="4"/>
  <c r="Y11" i="4"/>
  <c r="Y7" i="4"/>
  <c r="Y3" i="4"/>
  <c r="Y140" i="4"/>
  <c r="Y131" i="4"/>
  <c r="Y122" i="4"/>
  <c r="Y109" i="4"/>
  <c r="Y100" i="4"/>
  <c r="Y92" i="4"/>
  <c r="Y82" i="4"/>
  <c r="Y76" i="4"/>
  <c r="Y71" i="4"/>
  <c r="Y66" i="4"/>
  <c r="Y62" i="4"/>
  <c r="Y58" i="4"/>
  <c r="Y53" i="4"/>
  <c r="Y49" i="4"/>
  <c r="Y45" i="4"/>
  <c r="Y40" i="4"/>
  <c r="Y36" i="4"/>
  <c r="Y32" i="4"/>
  <c r="Y28" i="4"/>
  <c r="Y24" i="4"/>
  <c r="Y20" i="4"/>
  <c r="Y16" i="4"/>
  <c r="Y12" i="4"/>
  <c r="Y8" i="4"/>
  <c r="Y4" i="4"/>
  <c r="Y132" i="4"/>
  <c r="Y125" i="4"/>
  <c r="Y113" i="4"/>
  <c r="Y104" i="4"/>
  <c r="Y94" i="4"/>
  <c r="Y85" i="4"/>
  <c r="Y77" i="4"/>
  <c r="Y72" i="4"/>
  <c r="Y67" i="4"/>
  <c r="Y63" i="4"/>
  <c r="Y59" i="4"/>
  <c r="Y54" i="4"/>
  <c r="Y50" i="4"/>
  <c r="Y46" i="4"/>
  <c r="Y41" i="4"/>
  <c r="Y37" i="4"/>
  <c r="Y33" i="4"/>
  <c r="Y29" i="4"/>
  <c r="Y25" i="4"/>
  <c r="Y21" i="4"/>
  <c r="Y17" i="4"/>
  <c r="Y13" i="4"/>
  <c r="Y9" i="4"/>
  <c r="Y5" i="4"/>
  <c r="Y44" i="4"/>
  <c r="Y133" i="4"/>
  <c r="Y129" i="4"/>
  <c r="Y116" i="4"/>
  <c r="Y105" i="4"/>
  <c r="Y96" i="4"/>
  <c r="Y89" i="4"/>
  <c r="Y79" i="4"/>
  <c r="Y73" i="4"/>
  <c r="Y68" i="4"/>
  <c r="Y64" i="4"/>
  <c r="Y60" i="4"/>
  <c r="Y56" i="4"/>
  <c r="Y51" i="4"/>
  <c r="Y47" i="4"/>
  <c r="Y42" i="4"/>
  <c r="Y38" i="4"/>
  <c r="Y34" i="4"/>
  <c r="Y30" i="4"/>
  <c r="Y26" i="4"/>
  <c r="Y22" i="4"/>
  <c r="Y18" i="4"/>
  <c r="Y14" i="4"/>
  <c r="Y10" i="4"/>
  <c r="Y6" i="4"/>
  <c r="Y2" i="4"/>
  <c r="V20" i="4"/>
  <c r="T43" i="4"/>
  <c r="U79" i="4"/>
  <c r="W6" i="4"/>
  <c r="V22" i="4"/>
  <c r="T18" i="4"/>
  <c r="U104" i="4"/>
  <c r="K2" i="4"/>
  <c r="X122" i="4"/>
  <c r="X96" i="4"/>
  <c r="X58" i="4"/>
  <c r="X40" i="4"/>
  <c r="X65" i="4"/>
  <c r="X23" i="4"/>
  <c r="X132" i="4"/>
  <c r="X72" i="4"/>
  <c r="X68" i="4"/>
  <c r="X11" i="4"/>
  <c r="X3" i="4"/>
  <c r="X19" i="4"/>
  <c r="X27" i="4"/>
  <c r="X59" i="4"/>
  <c r="X44" i="4"/>
  <c r="X76" i="4"/>
  <c r="X140" i="4"/>
  <c r="X21" i="4"/>
  <c r="X18" i="4"/>
  <c r="X42" i="4"/>
  <c r="X130" i="4"/>
  <c r="X17" i="4"/>
  <c r="X2" i="4"/>
  <c r="X45" i="4"/>
  <c r="X41" i="4"/>
  <c r="X30" i="4"/>
  <c r="X54" i="4"/>
  <c r="X89" i="4"/>
  <c r="X33" i="4"/>
  <c r="X15" i="4"/>
  <c r="X31" i="4"/>
  <c r="X63" i="4"/>
  <c r="X79" i="4"/>
  <c r="X37" i="4"/>
  <c r="X104" i="4"/>
  <c r="X67" i="4"/>
  <c r="X139" i="4"/>
  <c r="X20" i="4"/>
  <c r="X28" i="4"/>
  <c r="X60" i="4"/>
  <c r="X100" i="4"/>
  <c r="X109" i="4"/>
  <c r="X10" i="4"/>
  <c r="X34" i="4"/>
  <c r="X50" i="4"/>
  <c r="X56" i="4"/>
  <c r="X5" i="4"/>
  <c r="X29" i="4"/>
  <c r="X105" i="4"/>
  <c r="X38" i="4"/>
  <c r="X113" i="4"/>
  <c r="X24" i="4"/>
  <c r="X70" i="4"/>
  <c r="X8" i="4"/>
  <c r="X16" i="4"/>
  <c r="X129" i="4"/>
  <c r="X4" i="4"/>
  <c r="X82" i="4"/>
  <c r="X53" i="4"/>
  <c r="X85" i="4"/>
  <c r="X26" i="4"/>
  <c r="X66" i="4"/>
  <c r="X98" i="4"/>
  <c r="X81" i="4"/>
  <c r="X133" i="4"/>
  <c r="X6" i="4"/>
  <c r="X14" i="4"/>
  <c r="X46" i="4"/>
  <c r="X118" i="4"/>
  <c r="X25" i="4"/>
  <c r="X116" i="4"/>
  <c r="X47" i="4"/>
  <c r="X71" i="4"/>
  <c r="X51" i="4"/>
  <c r="X35" i="4"/>
  <c r="X91" i="4"/>
  <c r="X107" i="4"/>
  <c r="X131" i="4"/>
  <c r="X12" i="4"/>
  <c r="X36" i="4"/>
  <c r="X52" i="4"/>
  <c r="X92" i="4"/>
  <c r="X57" i="4"/>
  <c r="X125" i="4"/>
  <c r="X74" i="4"/>
  <c r="X13" i="4"/>
  <c r="X61" i="4"/>
  <c r="X77" i="4"/>
  <c r="X22" i="4"/>
  <c r="X62" i="4"/>
  <c r="X7" i="4"/>
  <c r="X39" i="4"/>
  <c r="X94" i="4"/>
  <c r="X32" i="4"/>
  <c r="X9" i="4"/>
  <c r="X73" i="4"/>
  <c r="X43" i="4"/>
  <c r="X48" i="4"/>
  <c r="X49" i="4"/>
  <c r="V89" i="4"/>
  <c r="V70" i="4"/>
  <c r="V66" i="4"/>
  <c r="V48" i="4"/>
  <c r="V60" i="4"/>
  <c r="V34" i="4"/>
  <c r="V2" i="4"/>
  <c r="V35" i="4"/>
  <c r="V43" i="4"/>
  <c r="V67" i="4"/>
  <c r="V33" i="4"/>
  <c r="V109" i="4"/>
  <c r="V74" i="4"/>
  <c r="V32" i="4"/>
  <c r="V113" i="4"/>
  <c r="V29" i="4"/>
  <c r="V61" i="4"/>
  <c r="V17" i="4"/>
  <c r="V38" i="4"/>
  <c r="V62" i="4"/>
  <c r="V118" i="4"/>
  <c r="V25" i="4"/>
  <c r="V7" i="4"/>
  <c r="V51" i="4"/>
  <c r="V36" i="4"/>
  <c r="V92" i="4"/>
  <c r="V140" i="4"/>
  <c r="V58" i="4"/>
  <c r="V130" i="4"/>
  <c r="V53" i="4"/>
  <c r="V26" i="4"/>
  <c r="V6" i="4"/>
  <c r="V129" i="4"/>
  <c r="V133" i="4"/>
  <c r="V30" i="4"/>
  <c r="V94" i="4"/>
  <c r="V15" i="4"/>
  <c r="V23" i="4"/>
  <c r="V39" i="4"/>
  <c r="V47" i="4"/>
  <c r="V63" i="4"/>
  <c r="V71" i="4"/>
  <c r="V79" i="4"/>
  <c r="V18" i="4"/>
  <c r="V40" i="4"/>
  <c r="V64" i="4"/>
  <c r="V91" i="4"/>
  <c r="V44" i="4"/>
  <c r="V72" i="4"/>
  <c r="V73" i="4"/>
  <c r="V24" i="4"/>
  <c r="V54" i="4"/>
  <c r="V3" i="4"/>
  <c r="V11" i="4"/>
  <c r="V19" i="4"/>
  <c r="V27" i="4"/>
  <c r="V4" i="4"/>
  <c r="V116" i="4"/>
  <c r="V132" i="4"/>
  <c r="V82" i="4"/>
  <c r="V125" i="4"/>
  <c r="V50" i="4"/>
  <c r="V81" i="4"/>
  <c r="V13" i="4"/>
  <c r="V77" i="4"/>
  <c r="V65" i="4"/>
  <c r="V16" i="4"/>
  <c r="V31" i="4"/>
  <c r="V105" i="4"/>
  <c r="V28" i="4"/>
  <c r="V59" i="4"/>
  <c r="V12" i="4"/>
  <c r="V52" i="4"/>
  <c r="V68" i="4"/>
  <c r="V76" i="4"/>
  <c r="V100" i="4"/>
  <c r="V8" i="4"/>
  <c r="V98" i="4"/>
  <c r="V21" i="4"/>
  <c r="V37" i="4"/>
  <c r="V85" i="4"/>
  <c r="V10" i="4"/>
  <c r="V42" i="4"/>
  <c r="V57" i="4"/>
  <c r="V5" i="4"/>
  <c r="V45" i="4"/>
  <c r="V9" i="4"/>
  <c r="V14" i="4"/>
  <c r="V56" i="4"/>
  <c r="V122" i="4"/>
  <c r="V41" i="4"/>
  <c r="V107" i="4"/>
  <c r="V104" i="4"/>
  <c r="V46" i="4"/>
  <c r="V131" i="4"/>
  <c r="V139" i="4"/>
  <c r="U77" i="4"/>
  <c r="U59" i="4"/>
  <c r="U43" i="4"/>
  <c r="U31" i="4"/>
  <c r="U27" i="4"/>
  <c r="U21" i="4"/>
  <c r="U13" i="4"/>
  <c r="U107" i="4"/>
  <c r="U85" i="4"/>
  <c r="U71" i="4"/>
  <c r="U53" i="4"/>
  <c r="U37" i="4"/>
  <c r="U62" i="4"/>
  <c r="U15" i="4"/>
  <c r="U11" i="4"/>
  <c r="U14" i="4"/>
  <c r="U19" i="4"/>
  <c r="U12" i="4"/>
  <c r="U20" i="4"/>
  <c r="U92" i="4"/>
  <c r="U22" i="4"/>
  <c r="U10" i="4"/>
  <c r="U58" i="4"/>
  <c r="U66" i="4"/>
  <c r="U54" i="4"/>
  <c r="U91" i="4"/>
  <c r="U45" i="4"/>
  <c r="U3" i="4"/>
  <c r="U67" i="4"/>
  <c r="U76" i="4"/>
  <c r="U116" i="4"/>
  <c r="U132" i="4"/>
  <c r="U140" i="4"/>
  <c r="U50" i="4"/>
  <c r="U98" i="4"/>
  <c r="U41" i="4"/>
  <c r="U65" i="4"/>
  <c r="U56" i="4"/>
  <c r="U25" i="4"/>
  <c r="U57" i="4"/>
  <c r="U89" i="4"/>
  <c r="U139" i="4"/>
  <c r="U61" i="4"/>
  <c r="U96" i="4"/>
  <c r="U9" i="4"/>
  <c r="U63" i="4"/>
  <c r="U46" i="4"/>
  <c r="U30" i="4"/>
  <c r="U32" i="4"/>
  <c r="U51" i="4"/>
  <c r="U44" i="4"/>
  <c r="U52" i="4"/>
  <c r="U60" i="4"/>
  <c r="U68" i="4"/>
  <c r="U70" i="4"/>
  <c r="U26" i="4"/>
  <c r="U42" i="4"/>
  <c r="U74" i="4"/>
  <c r="U130" i="4"/>
  <c r="U5" i="4"/>
  <c r="U118" i="4"/>
  <c r="U17" i="4"/>
  <c r="U113" i="4"/>
  <c r="U125" i="4"/>
  <c r="U35" i="4"/>
  <c r="U131" i="4"/>
  <c r="U4" i="4"/>
  <c r="U28" i="4"/>
  <c r="U36" i="4"/>
  <c r="U100" i="4"/>
  <c r="U38" i="4"/>
  <c r="U18" i="4"/>
  <c r="U34" i="4"/>
  <c r="U82" i="4"/>
  <c r="U122" i="4"/>
  <c r="U133" i="4"/>
  <c r="U6" i="4"/>
  <c r="U2" i="4"/>
  <c r="U81" i="4"/>
  <c r="U105" i="4"/>
  <c r="U129" i="4"/>
  <c r="U29" i="4"/>
  <c r="U109" i="4"/>
  <c r="U24" i="4"/>
  <c r="U40" i="4"/>
  <c r="U64" i="4"/>
  <c r="U49" i="4"/>
  <c r="U39" i="4"/>
  <c r="U47" i="4"/>
  <c r="U8" i="4"/>
  <c r="U16" i="4"/>
  <c r="U72" i="4"/>
  <c r="U94" i="4"/>
  <c r="AD67" i="4"/>
  <c r="AD131" i="4"/>
  <c r="AD105" i="4"/>
  <c r="AD82" i="4"/>
  <c r="AD139" i="4"/>
  <c r="AD3" i="4"/>
  <c r="AD130" i="4"/>
  <c r="AD50" i="4"/>
  <c r="AD42" i="4"/>
  <c r="AD10" i="4"/>
  <c r="AD39" i="4"/>
  <c r="AD125" i="4"/>
  <c r="AD20" i="4"/>
  <c r="AD36" i="4"/>
  <c r="AD68" i="4"/>
  <c r="AD92" i="4"/>
  <c r="AD140" i="4"/>
  <c r="AD129" i="4"/>
  <c r="AD122" i="4"/>
  <c r="AD41" i="4"/>
  <c r="AD5" i="4"/>
  <c r="AD29" i="4"/>
  <c r="AD45" i="4"/>
  <c r="AD61" i="4"/>
  <c r="AD30" i="4"/>
  <c r="AD38" i="4"/>
  <c r="AD70" i="4"/>
  <c r="AD56" i="4"/>
  <c r="AD98" i="4"/>
  <c r="AD15" i="4"/>
  <c r="AD79" i="4"/>
  <c r="AD113" i="4"/>
  <c r="AD116" i="4"/>
  <c r="AD132" i="4"/>
  <c r="AD57" i="4"/>
  <c r="AD46" i="4"/>
  <c r="AD54" i="4"/>
  <c r="AD31" i="4"/>
  <c r="AD65" i="4"/>
  <c r="AD16" i="4"/>
  <c r="AD96" i="4"/>
  <c r="AD104" i="4"/>
  <c r="AD59" i="4"/>
  <c r="AD11" i="4"/>
  <c r="AD27" i="4"/>
  <c r="AD19" i="4"/>
  <c r="AD91" i="4"/>
  <c r="AD49" i="4"/>
  <c r="AD133" i="4"/>
  <c r="AD24" i="4"/>
  <c r="AD32" i="4"/>
  <c r="AD7" i="4"/>
  <c r="AD71" i="4"/>
  <c r="AD4" i="4"/>
  <c r="AD28" i="4"/>
  <c r="AD60" i="4"/>
  <c r="AD100" i="4"/>
  <c r="AD58" i="4"/>
  <c r="AD21" i="4"/>
  <c r="AD53" i="4"/>
  <c r="AD85" i="4"/>
  <c r="AD9" i="4"/>
  <c r="AD73" i="4"/>
  <c r="AD77" i="4"/>
  <c r="AD14" i="4"/>
  <c r="AD94" i="4"/>
  <c r="AD47" i="4"/>
  <c r="AD23" i="4"/>
  <c r="AD12" i="4"/>
  <c r="AD44" i="4"/>
  <c r="AD52" i="4"/>
  <c r="AD76" i="4"/>
  <c r="AD26" i="4"/>
  <c r="AD37" i="4"/>
  <c r="AD34" i="4"/>
  <c r="AD25" i="4"/>
  <c r="AD89" i="4"/>
  <c r="AD74" i="4"/>
  <c r="AD13" i="4"/>
  <c r="AD6" i="4"/>
  <c r="AD22" i="4"/>
  <c r="AD62" i="4"/>
  <c r="AD118" i="4"/>
  <c r="AD63" i="4"/>
  <c r="AD33" i="4"/>
  <c r="AD8" i="4"/>
  <c r="AD72" i="4"/>
  <c r="AD66" i="4"/>
  <c r="AD35" i="4"/>
  <c r="AD107" i="4"/>
  <c r="AD17" i="4"/>
  <c r="AD81" i="4"/>
  <c r="AD48" i="4"/>
  <c r="AD18" i="4"/>
  <c r="AD109" i="4"/>
  <c r="AD43" i="4"/>
  <c r="U7" i="4"/>
  <c r="AD51" i="4"/>
  <c r="U23" i="4"/>
  <c r="T109" i="4"/>
  <c r="AD2" i="4"/>
  <c r="U73" i="4"/>
  <c r="U33" i="4"/>
  <c r="V96" i="4"/>
  <c r="AD64" i="4"/>
  <c r="T48" i="4"/>
  <c r="AD40" i="4"/>
  <c r="E2" i="4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7" i="4"/>
  <c r="E18" i="4"/>
  <c r="E29" i="4"/>
  <c r="E9" i="4"/>
  <c r="E20" i="4"/>
  <c r="E31" i="4"/>
  <c r="E42" i="4"/>
  <c r="E53" i="4"/>
  <c r="E62" i="4"/>
  <c r="E64" i="4"/>
  <c r="E73" i="4"/>
  <c r="E84" i="4"/>
  <c r="E95" i="4"/>
  <c r="E106" i="4"/>
  <c r="E116" i="4"/>
  <c r="E124" i="4"/>
  <c r="E6" i="4"/>
  <c r="E8" i="4"/>
  <c r="E17" i="4"/>
  <c r="E28" i="4"/>
  <c r="E39" i="4"/>
  <c r="E50" i="4"/>
  <c r="E61" i="4"/>
  <c r="E70" i="4"/>
  <c r="E72" i="4"/>
  <c r="E81" i="4"/>
  <c r="E92" i="4"/>
  <c r="E103" i="4"/>
  <c r="E115" i="4"/>
  <c r="E123" i="4"/>
  <c r="E131" i="4"/>
  <c r="E12" i="4"/>
  <c r="E15" i="4"/>
  <c r="E21" i="4"/>
  <c r="E24" i="4"/>
  <c r="E38" i="4"/>
  <c r="E48" i="4"/>
  <c r="E60" i="4"/>
  <c r="E65" i="4"/>
  <c r="E82" i="4"/>
  <c r="E87" i="4"/>
  <c r="E104" i="4"/>
  <c r="E109" i="4"/>
  <c r="E111" i="4"/>
  <c r="E126" i="4"/>
  <c r="E134" i="4"/>
  <c r="E136" i="4"/>
  <c r="E141" i="4"/>
  <c r="E30" i="4"/>
  <c r="E33" i="4"/>
  <c r="E41" i="4"/>
  <c r="E58" i="4"/>
  <c r="E63" i="4"/>
  <c r="E80" i="4"/>
  <c r="E85" i="4"/>
  <c r="E97" i="4"/>
  <c r="E120" i="4"/>
  <c r="E122" i="4"/>
  <c r="E138" i="4"/>
  <c r="E25" i="4"/>
  <c r="E34" i="4"/>
  <c r="E37" i="4"/>
  <c r="E49" i="4"/>
  <c r="E54" i="4"/>
  <c r="E71" i="4"/>
  <c r="E76" i="4"/>
  <c r="E93" i="4"/>
  <c r="E98" i="4"/>
  <c r="E110" i="4"/>
  <c r="E125" i="4"/>
  <c r="E127" i="4"/>
  <c r="E135" i="4"/>
  <c r="E4" i="4"/>
  <c r="E32" i="4"/>
  <c r="E68" i="4"/>
  <c r="E114" i="4"/>
  <c r="E121" i="4"/>
  <c r="E137" i="4"/>
  <c r="E5" i="4"/>
  <c r="E10" i="4"/>
  <c r="E14" i="4"/>
  <c r="E57" i="4"/>
  <c r="E69" i="4"/>
  <c r="E100" i="4"/>
  <c r="E108" i="4"/>
  <c r="E23" i="4"/>
  <c r="E45" i="4"/>
  <c r="E88" i="4"/>
  <c r="E96" i="4"/>
  <c r="E118" i="4"/>
  <c r="E128" i="4"/>
  <c r="E140" i="4"/>
  <c r="E46" i="4"/>
  <c r="E77" i="4"/>
  <c r="E112" i="4"/>
  <c r="E129" i="4"/>
  <c r="E132" i="4"/>
  <c r="E16" i="4"/>
  <c r="E47" i="4"/>
  <c r="E78" i="4"/>
  <c r="E86" i="4"/>
  <c r="E90" i="4"/>
  <c r="E133" i="4"/>
  <c r="E26" i="4"/>
  <c r="E55" i="4"/>
  <c r="E94" i="4"/>
  <c r="E101" i="4"/>
  <c r="E22" i="4"/>
  <c r="E40" i="4"/>
  <c r="E56" i="4"/>
  <c r="E102" i="4"/>
  <c r="E130" i="4"/>
  <c r="E74" i="4"/>
  <c r="E89" i="4"/>
  <c r="E113" i="4"/>
  <c r="E139" i="4"/>
  <c r="E44" i="4"/>
  <c r="E105" i="4"/>
  <c r="E119" i="4"/>
  <c r="E13" i="4"/>
  <c r="E79" i="4"/>
  <c r="E66" i="4"/>
  <c r="E117" i="4"/>
  <c r="E36" i="4"/>
  <c r="E52" i="4"/>
  <c r="F24" i="4"/>
  <c r="F64" i="4"/>
  <c r="F136" i="4"/>
  <c r="F16" i="4"/>
  <c r="F56" i="4"/>
  <c r="F112" i="4"/>
  <c r="F91" i="4"/>
  <c r="F117" i="4"/>
  <c r="F140" i="4"/>
  <c r="F40" i="4"/>
  <c r="F76" i="4"/>
  <c r="F141" i="4"/>
  <c r="F48" i="4"/>
  <c r="F73" i="4"/>
  <c r="F96" i="4"/>
  <c r="F104" i="4"/>
  <c r="F128" i="4"/>
  <c r="F31" i="4"/>
  <c r="F55" i="4"/>
  <c r="F98" i="4"/>
  <c r="F47" i="4"/>
  <c r="F74" i="4"/>
  <c r="F113" i="4"/>
  <c r="F41" i="4"/>
  <c r="F34" i="4"/>
  <c r="F32" i="4"/>
  <c r="F86" i="4"/>
  <c r="F22" i="4"/>
  <c r="F100" i="4"/>
  <c r="F20" i="4"/>
  <c r="F139" i="4"/>
  <c r="F43" i="4"/>
  <c r="F80" i="4"/>
  <c r="F37" i="4"/>
  <c r="F119" i="4"/>
  <c r="F39" i="4"/>
  <c r="F66" i="4"/>
  <c r="F23" i="4"/>
  <c r="F50" i="4"/>
  <c r="F105" i="4"/>
  <c r="F33" i="4"/>
  <c r="F8" i="4"/>
  <c r="F78" i="4"/>
  <c r="F14" i="4"/>
  <c r="F92" i="4"/>
  <c r="F12" i="4"/>
  <c r="F123" i="4"/>
  <c r="F35" i="4"/>
  <c r="F133" i="4"/>
  <c r="F29" i="4"/>
  <c r="F82" i="4"/>
  <c r="F15" i="4"/>
  <c r="F18" i="4"/>
  <c r="F7" i="4"/>
  <c r="F42" i="4"/>
  <c r="F97" i="4"/>
  <c r="F25" i="4"/>
  <c r="F134" i="4"/>
  <c r="F70" i="4"/>
  <c r="F6" i="4"/>
  <c r="F68" i="4"/>
  <c r="F4" i="4"/>
  <c r="F115" i="4"/>
  <c r="F27" i="4"/>
  <c r="F125" i="4"/>
  <c r="F21" i="4"/>
  <c r="F114" i="4"/>
  <c r="F127" i="4"/>
  <c r="F131" i="4"/>
  <c r="F26" i="4"/>
  <c r="F89" i="4"/>
  <c r="F17" i="4"/>
  <c r="F126" i="4"/>
  <c r="F62" i="4"/>
  <c r="F109" i="4"/>
  <c r="F60" i="4"/>
  <c r="F107" i="4"/>
  <c r="F19" i="4"/>
  <c r="F101" i="4"/>
  <c r="F13" i="4"/>
  <c r="F58" i="4"/>
  <c r="F135" i="4"/>
  <c r="F111" i="4"/>
  <c r="F99" i="4"/>
  <c r="F2" i="4"/>
  <c r="F81" i="4"/>
  <c r="F9" i="4"/>
  <c r="F118" i="4"/>
  <c r="F54" i="4"/>
  <c r="F85" i="4"/>
  <c r="F52" i="4"/>
  <c r="F93" i="4"/>
  <c r="F83" i="4"/>
  <c r="F11" i="4"/>
  <c r="F69" i="4"/>
  <c r="F5" i="4"/>
  <c r="F10" i="4"/>
  <c r="F103" i="4"/>
  <c r="F132" i="4"/>
  <c r="F95" i="4"/>
  <c r="F75" i="4"/>
  <c r="F137" i="4"/>
  <c r="F65" i="4"/>
  <c r="F110" i="4"/>
  <c r="F46" i="4"/>
  <c r="F124" i="4"/>
  <c r="F44" i="4"/>
  <c r="F77" i="4"/>
  <c r="F67" i="4"/>
  <c r="F3" i="4"/>
  <c r="F61" i="4"/>
  <c r="F129" i="4"/>
  <c r="F38" i="4"/>
  <c r="F79" i="4"/>
  <c r="F36" i="4"/>
  <c r="F63" i="4"/>
  <c r="F53" i="4"/>
  <c r="F90" i="4"/>
  <c r="F71" i="4"/>
  <c r="F121" i="4"/>
  <c r="F30" i="4"/>
  <c r="F59" i="4"/>
  <c r="F88" i="4"/>
  <c r="F72" i="4"/>
  <c r="F87" i="4"/>
  <c r="F84" i="4"/>
  <c r="F57" i="4"/>
  <c r="F116" i="4"/>
  <c r="F51" i="4"/>
  <c r="F130" i="4"/>
  <c r="F102" i="4"/>
  <c r="F106" i="4"/>
  <c r="F94" i="4"/>
  <c r="F122" i="4"/>
  <c r="F49" i="4"/>
  <c r="F108" i="4"/>
  <c r="F120" i="4"/>
  <c r="F28" i="4"/>
  <c r="F138" i="4"/>
  <c r="F45" i="4"/>
  <c r="A7" i="4"/>
  <c r="A15" i="4"/>
  <c r="A23" i="4"/>
  <c r="A31" i="4"/>
  <c r="A39" i="4"/>
  <c r="A47" i="4"/>
  <c r="A55" i="4"/>
  <c r="A63" i="4"/>
  <c r="A71" i="4"/>
  <c r="A79" i="4"/>
  <c r="A87" i="4"/>
  <c r="A95" i="4"/>
  <c r="A103" i="4"/>
  <c r="A6" i="4"/>
  <c r="A17" i="4"/>
  <c r="A26" i="4"/>
  <c r="A28" i="4"/>
  <c r="A37" i="4"/>
  <c r="A8" i="4"/>
  <c r="A19" i="4"/>
  <c r="A30" i="4"/>
  <c r="A41" i="4"/>
  <c r="A50" i="4"/>
  <c r="A52" i="4"/>
  <c r="A61" i="4"/>
  <c r="A72" i="4"/>
  <c r="A83" i="4"/>
  <c r="A94" i="4"/>
  <c r="A105" i="4"/>
  <c r="A112" i="4"/>
  <c r="A120" i="4"/>
  <c r="A128" i="4"/>
  <c r="A5" i="4"/>
  <c r="A16" i="4"/>
  <c r="A27" i="4"/>
  <c r="A38" i="4"/>
  <c r="A49" i="4"/>
  <c r="A58" i="4"/>
  <c r="A60" i="4"/>
  <c r="A69" i="4"/>
  <c r="A80" i="4"/>
  <c r="A91" i="4"/>
  <c r="A102" i="4"/>
  <c r="A111" i="4"/>
  <c r="A119" i="4"/>
  <c r="A127" i="4"/>
  <c r="A135" i="4"/>
  <c r="A4" i="4"/>
  <c r="A10" i="4"/>
  <c r="A44" i="4"/>
  <c r="A56" i="4"/>
  <c r="A78" i="4"/>
  <c r="A90" i="4"/>
  <c r="A100" i="4"/>
  <c r="A114" i="4"/>
  <c r="A129" i="4"/>
  <c r="A131" i="4"/>
  <c r="A133" i="4"/>
  <c r="A13" i="4"/>
  <c r="A22" i="4"/>
  <c r="A25" i="4"/>
  <c r="A54" i="4"/>
  <c r="A66" i="4"/>
  <c r="A76" i="4"/>
  <c r="A88" i="4"/>
  <c r="A93" i="4"/>
  <c r="A110" i="4"/>
  <c r="A125" i="4"/>
  <c r="A137" i="4"/>
  <c r="A29" i="4"/>
  <c r="A32" i="4"/>
  <c r="A45" i="4"/>
  <c r="A67" i="4"/>
  <c r="A89" i="4"/>
  <c r="A101" i="4"/>
  <c r="A106" i="4"/>
  <c r="A113" i="4"/>
  <c r="A115" i="4"/>
  <c r="A130" i="4"/>
  <c r="A134" i="4"/>
  <c r="A141" i="4"/>
  <c r="A14" i="4"/>
  <c r="A53" i="4"/>
  <c r="A57" i="4"/>
  <c r="A65" i="4"/>
  <c r="A92" i="4"/>
  <c r="A96" i="4"/>
  <c r="A104" i="4"/>
  <c r="A108" i="4"/>
  <c r="A118" i="4"/>
  <c r="A132" i="4"/>
  <c r="A20" i="4"/>
  <c r="A24" i="4"/>
  <c r="A34" i="4"/>
  <c r="A46" i="4"/>
  <c r="A62" i="4"/>
  <c r="A85" i="4"/>
  <c r="A126" i="4"/>
  <c r="A33" i="4"/>
  <c r="A42" i="4"/>
  <c r="A73" i="4"/>
  <c r="A77" i="4"/>
  <c r="A81" i="4"/>
  <c r="A122" i="4"/>
  <c r="A138" i="4"/>
  <c r="A97" i="4"/>
  <c r="A11" i="4"/>
  <c r="A43" i="4"/>
  <c r="A70" i="4"/>
  <c r="A74" i="4"/>
  <c r="A82" i="4"/>
  <c r="A86" i="4"/>
  <c r="A109" i="4"/>
  <c r="A116" i="4"/>
  <c r="A123" i="4"/>
  <c r="A136" i="4"/>
  <c r="A139" i="4"/>
  <c r="A3" i="4"/>
  <c r="A40" i="4"/>
  <c r="A75" i="4"/>
  <c r="A117" i="4"/>
  <c r="A124" i="4"/>
  <c r="A36" i="4"/>
  <c r="A48" i="4"/>
  <c r="A64" i="4"/>
  <c r="A99" i="4"/>
  <c r="A21" i="4"/>
  <c r="A121" i="4"/>
  <c r="A59" i="4"/>
  <c r="A9" i="4"/>
  <c r="A140" i="4"/>
  <c r="A18" i="4"/>
  <c r="A68" i="4"/>
  <c r="A12" i="4"/>
  <c r="A107" i="4"/>
  <c r="A35" i="4"/>
  <c r="A51" i="4"/>
  <c r="A98" i="4"/>
  <c r="A84" i="4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" i="4"/>
  <c r="C22" i="4"/>
  <c r="C33" i="4"/>
  <c r="C2" i="4"/>
  <c r="C4" i="4"/>
  <c r="C15" i="4"/>
  <c r="C24" i="4"/>
  <c r="C26" i="4"/>
  <c r="C35" i="4"/>
  <c r="C46" i="4"/>
  <c r="C57" i="4"/>
  <c r="C68" i="4"/>
  <c r="C79" i="4"/>
  <c r="C88" i="4"/>
  <c r="C90" i="4"/>
  <c r="C99" i="4"/>
  <c r="C110" i="4"/>
  <c r="C118" i="4"/>
  <c r="C126" i="4"/>
  <c r="C12" i="4"/>
  <c r="C23" i="4"/>
  <c r="C32" i="4"/>
  <c r="C34" i="4"/>
  <c r="C43" i="4"/>
  <c r="C54" i="4"/>
  <c r="C65" i="4"/>
  <c r="C76" i="4"/>
  <c r="C87" i="4"/>
  <c r="C96" i="4"/>
  <c r="C98" i="4"/>
  <c r="C107" i="4"/>
  <c r="C117" i="4"/>
  <c r="C125" i="4"/>
  <c r="C133" i="4"/>
  <c r="C27" i="4"/>
  <c r="C30" i="4"/>
  <c r="C36" i="4"/>
  <c r="C41" i="4"/>
  <c r="C63" i="4"/>
  <c r="C75" i="4"/>
  <c r="C80" i="4"/>
  <c r="C97" i="4"/>
  <c r="C102" i="4"/>
  <c r="C120" i="4"/>
  <c r="C7" i="4"/>
  <c r="C10" i="4"/>
  <c r="C39" i="4"/>
  <c r="C51" i="4"/>
  <c r="C56" i="4"/>
  <c r="C73" i="4"/>
  <c r="C78" i="4"/>
  <c r="C95" i="4"/>
  <c r="C100" i="4"/>
  <c r="C114" i="4"/>
  <c r="C116" i="4"/>
  <c r="C131" i="4"/>
  <c r="C140" i="4"/>
  <c r="C8" i="4"/>
  <c r="C14" i="4"/>
  <c r="C17" i="4"/>
  <c r="C52" i="4"/>
  <c r="C64" i="4"/>
  <c r="C74" i="4"/>
  <c r="C86" i="4"/>
  <c r="C91" i="4"/>
  <c r="C108" i="4"/>
  <c r="C119" i="4"/>
  <c r="C121" i="4"/>
  <c r="C139" i="4"/>
  <c r="C18" i="4"/>
  <c r="C28" i="4"/>
  <c r="C49" i="4"/>
  <c r="C72" i="4"/>
  <c r="C84" i="4"/>
  <c r="C111" i="4"/>
  <c r="C128" i="4"/>
  <c r="C38" i="4"/>
  <c r="C42" i="4"/>
  <c r="C50" i="4"/>
  <c r="C81" i="4"/>
  <c r="C89" i="4"/>
  <c r="C104" i="4"/>
  <c r="C112" i="4"/>
  <c r="C122" i="4"/>
  <c r="C129" i="4"/>
  <c r="C138" i="4"/>
  <c r="C9" i="4"/>
  <c r="C19" i="4"/>
  <c r="C92" i="4"/>
  <c r="C115" i="4"/>
  <c r="C132" i="4"/>
  <c r="C135" i="4"/>
  <c r="C6" i="4"/>
  <c r="C20" i="4"/>
  <c r="C25" i="4"/>
  <c r="C58" i="4"/>
  <c r="C62" i="4"/>
  <c r="C66" i="4"/>
  <c r="C105" i="4"/>
  <c r="C141" i="4"/>
  <c r="C55" i="4"/>
  <c r="C59" i="4"/>
  <c r="C67" i="4"/>
  <c r="C71" i="4"/>
  <c r="C94" i="4"/>
  <c r="C106" i="4"/>
  <c r="C113" i="4"/>
  <c r="C127" i="4"/>
  <c r="C136" i="4"/>
  <c r="C3" i="4"/>
  <c r="C31" i="4"/>
  <c r="C40" i="4"/>
  <c r="C44" i="4"/>
  <c r="C83" i="4"/>
  <c r="C70" i="4"/>
  <c r="C130" i="4"/>
  <c r="C137" i="4"/>
  <c r="C103" i="4"/>
  <c r="C123" i="4"/>
  <c r="C60" i="4"/>
  <c r="C47" i="4"/>
  <c r="C124" i="4"/>
  <c r="C48" i="4"/>
  <c r="C134" i="4"/>
  <c r="C16" i="4"/>
  <c r="C82" i="4"/>
  <c r="D8" i="4"/>
  <c r="D16" i="4"/>
  <c r="D24" i="4"/>
  <c r="D32" i="4"/>
  <c r="D40" i="4"/>
  <c r="D48" i="4"/>
  <c r="D56" i="4"/>
  <c r="D64" i="4"/>
  <c r="D72" i="4"/>
  <c r="D80" i="4"/>
  <c r="D88" i="4"/>
  <c r="D96" i="4"/>
  <c r="D104" i="4"/>
  <c r="D2" i="4"/>
  <c r="D9" i="4"/>
  <c r="D20" i="4"/>
  <c r="D31" i="4"/>
  <c r="D11" i="4"/>
  <c r="D13" i="4"/>
  <c r="D22" i="4"/>
  <c r="D33" i="4"/>
  <c r="D44" i="4"/>
  <c r="D55" i="4"/>
  <c r="D66" i="4"/>
  <c r="D75" i="4"/>
  <c r="D77" i="4"/>
  <c r="D86" i="4"/>
  <c r="D97" i="4"/>
  <c r="D108" i="4"/>
  <c r="D113" i="4"/>
  <c r="D121" i="4"/>
  <c r="D129" i="4"/>
  <c r="D10" i="4"/>
  <c r="D19" i="4"/>
  <c r="D21" i="4"/>
  <c r="D30" i="4"/>
  <c r="D41" i="4"/>
  <c r="D52" i="4"/>
  <c r="D63" i="4"/>
  <c r="D74" i="4"/>
  <c r="D83" i="4"/>
  <c r="D85" i="4"/>
  <c r="D94" i="4"/>
  <c r="D105" i="4"/>
  <c r="D112" i="4"/>
  <c r="D120" i="4"/>
  <c r="D128" i="4"/>
  <c r="D136" i="4"/>
  <c r="D18" i="4"/>
  <c r="D53" i="4"/>
  <c r="D58" i="4"/>
  <c r="D70" i="4"/>
  <c r="D92" i="4"/>
  <c r="D122" i="4"/>
  <c r="D124" i="4"/>
  <c r="D138" i="4"/>
  <c r="D4" i="4"/>
  <c r="D27" i="4"/>
  <c r="D36" i="4"/>
  <c r="D46" i="4"/>
  <c r="D68" i="4"/>
  <c r="D90" i="4"/>
  <c r="D102" i="4"/>
  <c r="D107" i="4"/>
  <c r="D118" i="4"/>
  <c r="D5" i="4"/>
  <c r="D42" i="4"/>
  <c r="D47" i="4"/>
  <c r="D59" i="4"/>
  <c r="D69" i="4"/>
  <c r="D81" i="4"/>
  <c r="D103" i="4"/>
  <c r="D123" i="4"/>
  <c r="D137" i="4"/>
  <c r="D23" i="4"/>
  <c r="D37" i="4"/>
  <c r="D45" i="4"/>
  <c r="D60" i="4"/>
  <c r="D76" i="4"/>
  <c r="D99" i="4"/>
  <c r="D134" i="4"/>
  <c r="D140" i="4"/>
  <c r="D65" i="4"/>
  <c r="D73" i="4"/>
  <c r="D115" i="4"/>
  <c r="D132" i="4"/>
  <c r="D135" i="4"/>
  <c r="D14" i="4"/>
  <c r="D28" i="4"/>
  <c r="D49" i="4"/>
  <c r="D57" i="4"/>
  <c r="D61" i="4"/>
  <c r="D84" i="4"/>
  <c r="D100" i="4"/>
  <c r="D111" i="4"/>
  <c r="D125" i="4"/>
  <c r="D15" i="4"/>
  <c r="D29" i="4"/>
  <c r="D34" i="4"/>
  <c r="D38" i="4"/>
  <c r="D50" i="4"/>
  <c r="D54" i="4"/>
  <c r="D89" i="4"/>
  <c r="D93" i="4"/>
  <c r="D101" i="4"/>
  <c r="D119" i="4"/>
  <c r="D7" i="4"/>
  <c r="D26" i="4"/>
  <c r="D35" i="4"/>
  <c r="D43" i="4"/>
  <c r="D51" i="4"/>
  <c r="D82" i="4"/>
  <c r="D98" i="4"/>
  <c r="D130" i="4"/>
  <c r="D139" i="4"/>
  <c r="D12" i="4"/>
  <c r="D17" i="4"/>
  <c r="D67" i="4"/>
  <c r="D71" i="4"/>
  <c r="D79" i="4"/>
  <c r="D39" i="4"/>
  <c r="D3" i="4"/>
  <c r="D87" i="4"/>
  <c r="D6" i="4"/>
  <c r="D25" i="4"/>
  <c r="D131" i="4"/>
  <c r="D91" i="4"/>
  <c r="D114" i="4"/>
  <c r="D133" i="4"/>
  <c r="D62" i="4"/>
  <c r="D78" i="4"/>
  <c r="D106" i="4"/>
  <c r="D116" i="4"/>
  <c r="D141" i="4"/>
  <c r="D95" i="4"/>
  <c r="D117" i="4"/>
  <c r="D126" i="4"/>
  <c r="D109" i="4"/>
  <c r="D127" i="4"/>
  <c r="D110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4" i="4"/>
  <c r="B13" i="4"/>
  <c r="B15" i="4"/>
  <c r="B24" i="4"/>
  <c r="B35" i="4"/>
  <c r="B6" i="4"/>
  <c r="B17" i="4"/>
  <c r="B28" i="4"/>
  <c r="B37" i="4"/>
  <c r="B39" i="4"/>
  <c r="B48" i="4"/>
  <c r="B59" i="4"/>
  <c r="B70" i="4"/>
  <c r="B81" i="4"/>
  <c r="B92" i="4"/>
  <c r="B101" i="4"/>
  <c r="B103" i="4"/>
  <c r="B115" i="4"/>
  <c r="B123" i="4"/>
  <c r="B131" i="4"/>
  <c r="B3" i="4"/>
  <c r="B14" i="4"/>
  <c r="B25" i="4"/>
  <c r="B36" i="4"/>
  <c r="B45" i="4"/>
  <c r="B47" i="4"/>
  <c r="B56" i="4"/>
  <c r="B67" i="4"/>
  <c r="B78" i="4"/>
  <c r="B89" i="4"/>
  <c r="B100" i="4"/>
  <c r="B109" i="4"/>
  <c r="B114" i="4"/>
  <c r="B122" i="4"/>
  <c r="B130" i="4"/>
  <c r="B138" i="4"/>
  <c r="B7" i="4"/>
  <c r="B33" i="4"/>
  <c r="B46" i="4"/>
  <c r="B51" i="4"/>
  <c r="B68" i="4"/>
  <c r="B73" i="4"/>
  <c r="B85" i="4"/>
  <c r="B95" i="4"/>
  <c r="B107" i="4"/>
  <c r="B116" i="4"/>
  <c r="B118" i="4"/>
  <c r="B140" i="4"/>
  <c r="B16" i="4"/>
  <c r="B19" i="4"/>
  <c r="B44" i="4"/>
  <c r="B49" i="4"/>
  <c r="B61" i="4"/>
  <c r="B71" i="4"/>
  <c r="B83" i="4"/>
  <c r="B105" i="4"/>
  <c r="B112" i="4"/>
  <c r="B127" i="4"/>
  <c r="B129" i="4"/>
  <c r="B133" i="4"/>
  <c r="B135" i="4"/>
  <c r="B2" i="4"/>
  <c r="B11" i="4"/>
  <c r="B20" i="4"/>
  <c r="B23" i="4"/>
  <c r="B40" i="4"/>
  <c r="B57" i="4"/>
  <c r="B62" i="4"/>
  <c r="B79" i="4"/>
  <c r="B84" i="4"/>
  <c r="B96" i="4"/>
  <c r="B117" i="4"/>
  <c r="B132" i="4"/>
  <c r="B9" i="4"/>
  <c r="B41" i="4"/>
  <c r="B80" i="4"/>
  <c r="B88" i="4"/>
  <c r="B125" i="4"/>
  <c r="B29" i="4"/>
  <c r="B54" i="4"/>
  <c r="B77" i="4"/>
  <c r="B93" i="4"/>
  <c r="B119" i="4"/>
  <c r="B5" i="4"/>
  <c r="B38" i="4"/>
  <c r="B53" i="4"/>
  <c r="B65" i="4"/>
  <c r="B69" i="4"/>
  <c r="B104" i="4"/>
  <c r="B108" i="4"/>
  <c r="B141" i="4"/>
  <c r="B97" i="4"/>
  <c r="B126" i="4"/>
  <c r="B12" i="4"/>
  <c r="B21" i="4"/>
  <c r="B31" i="4"/>
  <c r="B63" i="4"/>
  <c r="B102" i="4"/>
  <c r="B110" i="4"/>
  <c r="B120" i="4"/>
  <c r="B8" i="4"/>
  <c r="B22" i="4"/>
  <c r="B52" i="4"/>
  <c r="B60" i="4"/>
  <c r="B75" i="4"/>
  <c r="B87" i="4"/>
  <c r="B91" i="4"/>
  <c r="B55" i="4"/>
  <c r="B86" i="4"/>
  <c r="B111" i="4"/>
  <c r="B72" i="4"/>
  <c r="B113" i="4"/>
  <c r="B121" i="4"/>
  <c r="B139" i="4"/>
  <c r="B43" i="4"/>
  <c r="B27" i="4"/>
  <c r="B76" i="4"/>
  <c r="B124" i="4"/>
  <c r="B99" i="4"/>
  <c r="B137" i="4"/>
  <c r="B30" i="4"/>
  <c r="B94" i="4"/>
  <c r="B134" i="4"/>
  <c r="B32" i="4"/>
  <c r="B64" i="4"/>
  <c r="B136" i="4"/>
  <c r="B128" i="4"/>
  <c r="AB54" i="1"/>
  <c r="AB7" i="1"/>
  <c r="AB39" i="1"/>
  <c r="AB71" i="1"/>
  <c r="AB9" i="1"/>
  <c r="AB17" i="1"/>
  <c r="AB25" i="1"/>
  <c r="AB33" i="1"/>
  <c r="AB41" i="1"/>
  <c r="AB49" i="1"/>
  <c r="AB57" i="1"/>
  <c r="AB65" i="1"/>
  <c r="AB73" i="1"/>
  <c r="AB14" i="1"/>
  <c r="AB30" i="1"/>
  <c r="AB62" i="1"/>
  <c r="AB94" i="1"/>
  <c r="AB15" i="1"/>
  <c r="AB31" i="1"/>
  <c r="AB63" i="1"/>
  <c r="AB6" i="1"/>
  <c r="AB38" i="1"/>
  <c r="AB70" i="1"/>
  <c r="AB47" i="1"/>
  <c r="AB79" i="1"/>
  <c r="AB22" i="1"/>
  <c r="AB46" i="1"/>
  <c r="AB118" i="1"/>
  <c r="AB23" i="1"/>
  <c r="AB26" i="1"/>
  <c r="AB92" i="1"/>
  <c r="AB44" i="1"/>
  <c r="AB51" i="1"/>
  <c r="AB85" i="1"/>
  <c r="AB122" i="1"/>
  <c r="AB50" i="1"/>
  <c r="AB61" i="1"/>
  <c r="AB72" i="1"/>
  <c r="AB129" i="1"/>
  <c r="AB48" i="1"/>
  <c r="AB11" i="1"/>
  <c r="AB82" i="1"/>
  <c r="AB3" i="1"/>
  <c r="AB140" i="1"/>
  <c r="AB59" i="1"/>
  <c r="AB133" i="1"/>
  <c r="AB104" i="1"/>
  <c r="AB12" i="1"/>
  <c r="AB45" i="1"/>
  <c r="AB36" i="1"/>
  <c r="AB107" i="1"/>
  <c r="AB43" i="1"/>
  <c r="AB132" i="1"/>
  <c r="AB42" i="1"/>
  <c r="AB37" i="1"/>
  <c r="AB109" i="1"/>
  <c r="AB56" i="1"/>
  <c r="AB64" i="1"/>
  <c r="AB29" i="1"/>
  <c r="AB28" i="1"/>
  <c r="AB35" i="1"/>
  <c r="AB116" i="1"/>
  <c r="AB34" i="1"/>
  <c r="AB13" i="1"/>
  <c r="AB77" i="1"/>
  <c r="AB139" i="1"/>
  <c r="AB2" i="1"/>
  <c r="AB8" i="1"/>
  <c r="AB113" i="1"/>
  <c r="AB67" i="1"/>
  <c r="AB130" i="1"/>
  <c r="AB81" i="1"/>
  <c r="AB24" i="1"/>
  <c r="AB76" i="1"/>
  <c r="AB5" i="1"/>
  <c r="AB20" i="1"/>
  <c r="AB91" i="1"/>
  <c r="AB27" i="1"/>
  <c r="AB100" i="1"/>
  <c r="AB98" i="1"/>
  <c r="AB18" i="1"/>
  <c r="AB53" i="1"/>
  <c r="AB40" i="1"/>
  <c r="AB16" i="1"/>
  <c r="AB52" i="1"/>
  <c r="AB4" i="1"/>
  <c r="AB19" i="1"/>
  <c r="AB68" i="1"/>
  <c r="AB10" i="1"/>
  <c r="AB105" i="1"/>
  <c r="AB21" i="1"/>
  <c r="AB32" i="1"/>
  <c r="AB74" i="1"/>
  <c r="AB125" i="1"/>
  <c r="AB131" i="1"/>
  <c r="AB66" i="1"/>
  <c r="AB89" i="1"/>
  <c r="AB60" i="1"/>
  <c r="AB58" i="1"/>
  <c r="AB96" i="1"/>
  <c r="K5" i="4"/>
  <c r="K13" i="4"/>
  <c r="K21" i="4"/>
  <c r="K29" i="4"/>
  <c r="K37" i="4"/>
  <c r="K45" i="4"/>
  <c r="K53" i="4"/>
  <c r="K61" i="4"/>
  <c r="K69" i="4"/>
  <c r="K77" i="4"/>
  <c r="K85" i="4"/>
  <c r="K93" i="4"/>
  <c r="K101" i="4"/>
  <c r="K109" i="4"/>
  <c r="K117" i="4"/>
  <c r="K125" i="4"/>
  <c r="K133" i="4"/>
  <c r="K141" i="4"/>
  <c r="K96" i="4"/>
  <c r="K65" i="4"/>
  <c r="K105" i="4"/>
  <c r="K129" i="4"/>
  <c r="K4" i="4"/>
  <c r="K20" i="4"/>
  <c r="K28" i="4"/>
  <c r="K44" i="4"/>
  <c r="K60" i="4"/>
  <c r="K76" i="4"/>
  <c r="K92" i="4"/>
  <c r="K108" i="4"/>
  <c r="K132" i="4"/>
  <c r="K6" i="4"/>
  <c r="K14" i="4"/>
  <c r="K22" i="4"/>
  <c r="K30" i="4"/>
  <c r="K38" i="4"/>
  <c r="K46" i="4"/>
  <c r="K54" i="4"/>
  <c r="K62" i="4"/>
  <c r="K70" i="4"/>
  <c r="K78" i="4"/>
  <c r="K86" i="4"/>
  <c r="K94" i="4"/>
  <c r="K102" i="4"/>
  <c r="K110" i="4"/>
  <c r="K118" i="4"/>
  <c r="K126" i="4"/>
  <c r="K134" i="4"/>
  <c r="K16" i="4"/>
  <c r="K32" i="4"/>
  <c r="K48" i="4"/>
  <c r="K64" i="4"/>
  <c r="K80" i="4"/>
  <c r="K104" i="4"/>
  <c r="K120" i="4"/>
  <c r="K136" i="4"/>
  <c r="K17" i="4"/>
  <c r="K33" i="4"/>
  <c r="K57" i="4"/>
  <c r="K81" i="4"/>
  <c r="K89" i="4"/>
  <c r="K113" i="4"/>
  <c r="K137" i="4"/>
  <c r="K7" i="4"/>
  <c r="K15" i="4"/>
  <c r="K23" i="4"/>
  <c r="K31" i="4"/>
  <c r="K39" i="4"/>
  <c r="K47" i="4"/>
  <c r="K55" i="4"/>
  <c r="K63" i="4"/>
  <c r="K71" i="4"/>
  <c r="K79" i="4"/>
  <c r="K87" i="4"/>
  <c r="K95" i="4"/>
  <c r="K103" i="4"/>
  <c r="K111" i="4"/>
  <c r="K119" i="4"/>
  <c r="K127" i="4"/>
  <c r="K135" i="4"/>
  <c r="K8" i="4"/>
  <c r="K24" i="4"/>
  <c r="K40" i="4"/>
  <c r="K56" i="4"/>
  <c r="K72" i="4"/>
  <c r="K88" i="4"/>
  <c r="K112" i="4"/>
  <c r="K128" i="4"/>
  <c r="K9" i="4"/>
  <c r="K25" i="4"/>
  <c r="K41" i="4"/>
  <c r="K49" i="4"/>
  <c r="K73" i="4"/>
  <c r="K97" i="4"/>
  <c r="K121" i="4"/>
  <c r="K12" i="4"/>
  <c r="K36" i="4"/>
  <c r="K52" i="4"/>
  <c r="K68" i="4"/>
  <c r="K84" i="4"/>
  <c r="K100" i="4"/>
  <c r="K116" i="4"/>
  <c r="K124" i="4"/>
  <c r="K140" i="4"/>
  <c r="K10" i="4"/>
  <c r="K18" i="4"/>
  <c r="K26" i="4"/>
  <c r="K34" i="4"/>
  <c r="K42" i="4"/>
  <c r="K50" i="4"/>
  <c r="K58" i="4"/>
  <c r="K66" i="4"/>
  <c r="K74" i="4"/>
  <c r="K82" i="4"/>
  <c r="K90" i="4"/>
  <c r="K98" i="4"/>
  <c r="K106" i="4"/>
  <c r="K114" i="4"/>
  <c r="K122" i="4"/>
  <c r="K130" i="4"/>
  <c r="K138" i="4"/>
  <c r="K3" i="4"/>
  <c r="K11" i="4"/>
  <c r="K19" i="4"/>
  <c r="K27" i="4"/>
  <c r="K35" i="4"/>
  <c r="K43" i="4"/>
  <c r="K51" i="4"/>
  <c r="K59" i="4"/>
  <c r="K67" i="4"/>
  <c r="K75" i="4"/>
  <c r="K83" i="4"/>
  <c r="K91" i="4"/>
  <c r="K99" i="4"/>
  <c r="K107" i="4"/>
  <c r="K115" i="4"/>
  <c r="K123" i="4"/>
  <c r="K131" i="4"/>
  <c r="K139" i="4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7" i="1"/>
  <c r="Q71" i="1"/>
  <c r="Q87" i="1"/>
  <c r="Q103" i="1"/>
  <c r="Q119" i="1"/>
  <c r="Q135" i="1"/>
  <c r="Q17" i="1"/>
  <c r="Q41" i="1"/>
  <c r="Q57" i="1"/>
  <c r="Q81" i="1"/>
  <c r="Q105" i="1"/>
  <c r="Q121" i="1"/>
  <c r="Q137" i="1"/>
  <c r="Q10" i="1"/>
  <c r="Q18" i="1"/>
  <c r="Q42" i="1"/>
  <c r="Q66" i="1"/>
  <c r="Q90" i="1"/>
  <c r="Q106" i="1"/>
  <c r="Q130" i="1"/>
  <c r="Q53" i="1"/>
  <c r="Q109" i="1"/>
  <c r="Q141" i="1"/>
  <c r="Q15" i="1"/>
  <c r="Q23" i="1"/>
  <c r="Q31" i="1"/>
  <c r="Q39" i="1"/>
  <c r="Q47" i="1"/>
  <c r="Q55" i="1"/>
  <c r="Q63" i="1"/>
  <c r="Q79" i="1"/>
  <c r="Q95" i="1"/>
  <c r="Q111" i="1"/>
  <c r="Q127" i="1"/>
  <c r="Q97" i="1"/>
  <c r="Q26" i="1"/>
  <c r="Q50" i="1"/>
  <c r="Q82" i="1"/>
  <c r="Q114" i="1"/>
  <c r="Q85" i="1"/>
  <c r="Q8" i="1"/>
  <c r="Q16" i="1"/>
  <c r="Q24" i="1"/>
  <c r="Q32" i="1"/>
  <c r="Q40" i="1"/>
  <c r="Q48" i="1"/>
  <c r="Q56" i="1"/>
  <c r="Q64" i="1"/>
  <c r="Q72" i="1"/>
  <c r="Q80" i="1"/>
  <c r="Q88" i="1"/>
  <c r="Q96" i="1"/>
  <c r="Q104" i="1"/>
  <c r="Q112" i="1"/>
  <c r="Q120" i="1"/>
  <c r="Q128" i="1"/>
  <c r="Q136" i="1"/>
  <c r="Q9" i="1"/>
  <c r="Q25" i="1"/>
  <c r="Q33" i="1"/>
  <c r="Q49" i="1"/>
  <c r="Q65" i="1"/>
  <c r="Q73" i="1"/>
  <c r="Q89" i="1"/>
  <c r="Q113" i="1"/>
  <c r="Q129" i="1"/>
  <c r="Q34" i="1"/>
  <c r="Q58" i="1"/>
  <c r="Q74" i="1"/>
  <c r="Q98" i="1"/>
  <c r="Q122" i="1"/>
  <c r="Q138" i="1"/>
  <c r="Q21" i="1"/>
  <c r="Q45" i="1"/>
  <c r="Q69" i="1"/>
  <c r="Q93" i="1"/>
  <c r="Q117" i="1"/>
  <c r="Q133" i="1"/>
  <c r="Q3" i="1"/>
  <c r="Q11" i="1"/>
  <c r="Q19" i="1"/>
  <c r="Q27" i="1"/>
  <c r="Q35" i="1"/>
  <c r="Q43" i="1"/>
  <c r="Q51" i="1"/>
  <c r="Q59" i="1"/>
  <c r="Q67" i="1"/>
  <c r="Q75" i="1"/>
  <c r="Q83" i="1"/>
  <c r="Q91" i="1"/>
  <c r="Q99" i="1"/>
  <c r="Q107" i="1"/>
  <c r="Q115" i="1"/>
  <c r="Q123" i="1"/>
  <c r="Q131" i="1"/>
  <c r="Q139" i="1"/>
  <c r="Q4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5" i="1"/>
  <c r="Q13" i="1"/>
  <c r="Q29" i="1"/>
  <c r="Q37" i="1"/>
  <c r="Q61" i="1"/>
  <c r="Q77" i="1"/>
  <c r="Q101" i="1"/>
  <c r="Q125" i="1"/>
  <c r="B10" i="3"/>
  <c r="E10" i="3" s="1"/>
  <c r="B18" i="3"/>
  <c r="E18" i="3" s="1"/>
  <c r="B26" i="3"/>
  <c r="E26" i="3" s="1"/>
  <c r="B34" i="3"/>
  <c r="E34" i="3" s="1"/>
  <c r="B42" i="3"/>
  <c r="E42" i="3" s="1"/>
  <c r="B50" i="3"/>
  <c r="E50" i="3" s="1"/>
  <c r="B58" i="3"/>
  <c r="E58" i="3" s="1"/>
  <c r="B66" i="3"/>
  <c r="E66" i="3" s="1"/>
  <c r="B74" i="3"/>
  <c r="E74" i="3" s="1"/>
  <c r="B82" i="3"/>
  <c r="E82" i="3" s="1"/>
  <c r="B90" i="3"/>
  <c r="E90" i="3" s="1"/>
  <c r="B98" i="3"/>
  <c r="E98" i="3" s="1"/>
  <c r="B106" i="3"/>
  <c r="E106" i="3" s="1"/>
  <c r="B114" i="3"/>
  <c r="E114" i="3" s="1"/>
  <c r="B122" i="3"/>
  <c r="E122" i="3" s="1"/>
  <c r="B130" i="3"/>
  <c r="E130" i="3" s="1"/>
  <c r="B138" i="3"/>
  <c r="E138" i="3" s="1"/>
  <c r="B48" i="3"/>
  <c r="E48" i="3" s="1"/>
  <c r="B80" i="3"/>
  <c r="E80" i="3" s="1"/>
  <c r="B104" i="3"/>
  <c r="E104" i="3" s="1"/>
  <c r="B128" i="3"/>
  <c r="E128" i="3" s="1"/>
  <c r="B3" i="3"/>
  <c r="E3" i="3" s="1"/>
  <c r="B11" i="3"/>
  <c r="E11" i="3" s="1"/>
  <c r="B19" i="3"/>
  <c r="E19" i="3" s="1"/>
  <c r="B27" i="3"/>
  <c r="E27" i="3" s="1"/>
  <c r="B35" i="3"/>
  <c r="E35" i="3" s="1"/>
  <c r="B43" i="3"/>
  <c r="E43" i="3" s="1"/>
  <c r="B51" i="3"/>
  <c r="E51" i="3" s="1"/>
  <c r="B59" i="3"/>
  <c r="E59" i="3" s="1"/>
  <c r="B67" i="3"/>
  <c r="E67" i="3" s="1"/>
  <c r="B75" i="3"/>
  <c r="E75" i="3" s="1"/>
  <c r="B83" i="3"/>
  <c r="E83" i="3" s="1"/>
  <c r="B91" i="3"/>
  <c r="E91" i="3" s="1"/>
  <c r="B99" i="3"/>
  <c r="E99" i="3" s="1"/>
  <c r="B107" i="3"/>
  <c r="E107" i="3" s="1"/>
  <c r="B115" i="3"/>
  <c r="E115" i="3" s="1"/>
  <c r="B123" i="3"/>
  <c r="E123" i="3" s="1"/>
  <c r="B131" i="3"/>
  <c r="E131" i="3" s="1"/>
  <c r="B139" i="3"/>
  <c r="E139" i="3" s="1"/>
  <c r="B4" i="3"/>
  <c r="E4" i="3" s="1"/>
  <c r="B12" i="3"/>
  <c r="E12" i="3" s="1"/>
  <c r="B20" i="3"/>
  <c r="E20" i="3" s="1"/>
  <c r="B28" i="3"/>
  <c r="E28" i="3" s="1"/>
  <c r="B36" i="3"/>
  <c r="E36" i="3" s="1"/>
  <c r="B44" i="3"/>
  <c r="E44" i="3" s="1"/>
  <c r="B52" i="3"/>
  <c r="E52" i="3" s="1"/>
  <c r="B60" i="3"/>
  <c r="E60" i="3" s="1"/>
  <c r="B68" i="3"/>
  <c r="E68" i="3" s="1"/>
  <c r="B76" i="3"/>
  <c r="E76" i="3" s="1"/>
  <c r="B84" i="3"/>
  <c r="E84" i="3" s="1"/>
  <c r="B92" i="3"/>
  <c r="E92" i="3" s="1"/>
  <c r="B100" i="3"/>
  <c r="E100" i="3" s="1"/>
  <c r="B108" i="3"/>
  <c r="E108" i="3" s="1"/>
  <c r="B116" i="3"/>
  <c r="E116" i="3" s="1"/>
  <c r="B124" i="3"/>
  <c r="E124" i="3" s="1"/>
  <c r="B132" i="3"/>
  <c r="E132" i="3" s="1"/>
  <c r="B140" i="3"/>
  <c r="E140" i="3" s="1"/>
  <c r="B56" i="3"/>
  <c r="E56" i="3" s="1"/>
  <c r="B88" i="3"/>
  <c r="E88" i="3" s="1"/>
  <c r="B112" i="3"/>
  <c r="E112" i="3" s="1"/>
  <c r="B136" i="3"/>
  <c r="E136" i="3" s="1"/>
  <c r="B9" i="3"/>
  <c r="E9" i="3" s="1"/>
  <c r="B33" i="3"/>
  <c r="E33" i="3" s="1"/>
  <c r="B49" i="3"/>
  <c r="E49" i="3" s="1"/>
  <c r="B65" i="3"/>
  <c r="E65" i="3" s="1"/>
  <c r="B89" i="3"/>
  <c r="E89" i="3" s="1"/>
  <c r="B105" i="3"/>
  <c r="E105" i="3" s="1"/>
  <c r="B129" i="3"/>
  <c r="E129" i="3" s="1"/>
  <c r="B5" i="3"/>
  <c r="E5" i="3" s="1"/>
  <c r="B13" i="3"/>
  <c r="E13" i="3" s="1"/>
  <c r="B21" i="3"/>
  <c r="E21" i="3" s="1"/>
  <c r="B29" i="3"/>
  <c r="E29" i="3" s="1"/>
  <c r="B37" i="3"/>
  <c r="E37" i="3" s="1"/>
  <c r="B45" i="3"/>
  <c r="E45" i="3" s="1"/>
  <c r="B53" i="3"/>
  <c r="E53" i="3" s="1"/>
  <c r="B61" i="3"/>
  <c r="E61" i="3" s="1"/>
  <c r="B69" i="3"/>
  <c r="E69" i="3" s="1"/>
  <c r="B77" i="3"/>
  <c r="E77" i="3" s="1"/>
  <c r="B85" i="3"/>
  <c r="E85" i="3" s="1"/>
  <c r="B93" i="3"/>
  <c r="E93" i="3" s="1"/>
  <c r="B101" i="3"/>
  <c r="E101" i="3" s="1"/>
  <c r="B109" i="3"/>
  <c r="E109" i="3" s="1"/>
  <c r="B117" i="3"/>
  <c r="E117" i="3" s="1"/>
  <c r="B125" i="3"/>
  <c r="E125" i="3" s="1"/>
  <c r="B133" i="3"/>
  <c r="E133" i="3" s="1"/>
  <c r="B141" i="3"/>
  <c r="E141" i="3" s="1"/>
  <c r="B17" i="3"/>
  <c r="E17" i="3" s="1"/>
  <c r="B41" i="3"/>
  <c r="E41" i="3" s="1"/>
  <c r="B73" i="3"/>
  <c r="E73" i="3" s="1"/>
  <c r="B97" i="3"/>
  <c r="E97" i="3" s="1"/>
  <c r="B121" i="3"/>
  <c r="E121" i="3" s="1"/>
  <c r="B6" i="3"/>
  <c r="E6" i="3" s="1"/>
  <c r="B14" i="3"/>
  <c r="E14" i="3" s="1"/>
  <c r="B22" i="3"/>
  <c r="E22" i="3" s="1"/>
  <c r="B30" i="3"/>
  <c r="E30" i="3" s="1"/>
  <c r="B38" i="3"/>
  <c r="E38" i="3" s="1"/>
  <c r="B46" i="3"/>
  <c r="E46" i="3" s="1"/>
  <c r="B54" i="3"/>
  <c r="E54" i="3" s="1"/>
  <c r="B62" i="3"/>
  <c r="E62" i="3" s="1"/>
  <c r="B70" i="3"/>
  <c r="E70" i="3" s="1"/>
  <c r="B78" i="3"/>
  <c r="E78" i="3" s="1"/>
  <c r="B86" i="3"/>
  <c r="E86" i="3" s="1"/>
  <c r="B94" i="3"/>
  <c r="E94" i="3" s="1"/>
  <c r="B102" i="3"/>
  <c r="E102" i="3" s="1"/>
  <c r="B110" i="3"/>
  <c r="E110" i="3" s="1"/>
  <c r="B118" i="3"/>
  <c r="E118" i="3" s="1"/>
  <c r="B126" i="3"/>
  <c r="E126" i="3" s="1"/>
  <c r="B134" i="3"/>
  <c r="E134" i="3" s="1"/>
  <c r="B7" i="3"/>
  <c r="E7" i="3" s="1"/>
  <c r="B15" i="3"/>
  <c r="E15" i="3" s="1"/>
  <c r="B23" i="3"/>
  <c r="E23" i="3" s="1"/>
  <c r="B31" i="3"/>
  <c r="E31" i="3" s="1"/>
  <c r="B39" i="3"/>
  <c r="E39" i="3" s="1"/>
  <c r="B47" i="3"/>
  <c r="E47" i="3" s="1"/>
  <c r="B55" i="3"/>
  <c r="E55" i="3" s="1"/>
  <c r="B63" i="3"/>
  <c r="E63" i="3" s="1"/>
  <c r="B71" i="3"/>
  <c r="E71" i="3" s="1"/>
  <c r="B79" i="3"/>
  <c r="E79" i="3" s="1"/>
  <c r="B87" i="3"/>
  <c r="E87" i="3" s="1"/>
  <c r="B95" i="3"/>
  <c r="E95" i="3" s="1"/>
  <c r="B103" i="3"/>
  <c r="E103" i="3" s="1"/>
  <c r="B111" i="3"/>
  <c r="E111" i="3" s="1"/>
  <c r="B119" i="3"/>
  <c r="E119" i="3" s="1"/>
  <c r="B127" i="3"/>
  <c r="E127" i="3" s="1"/>
  <c r="B135" i="3"/>
  <c r="E135" i="3" s="1"/>
  <c r="B8" i="3"/>
  <c r="E8" i="3" s="1"/>
  <c r="B16" i="3"/>
  <c r="E16" i="3" s="1"/>
  <c r="B24" i="3"/>
  <c r="E24" i="3" s="1"/>
  <c r="B32" i="3"/>
  <c r="E32" i="3" s="1"/>
  <c r="B40" i="3"/>
  <c r="E40" i="3" s="1"/>
  <c r="B64" i="3"/>
  <c r="E64" i="3" s="1"/>
  <c r="B72" i="3"/>
  <c r="E72" i="3" s="1"/>
  <c r="B96" i="3"/>
  <c r="E96" i="3" s="1"/>
  <c r="B120" i="3"/>
  <c r="E120" i="3" s="1"/>
  <c r="B25" i="3"/>
  <c r="E25" i="3" s="1"/>
  <c r="B57" i="3"/>
  <c r="E57" i="3" s="1"/>
  <c r="B81" i="3"/>
  <c r="E81" i="3" s="1"/>
  <c r="B113" i="3"/>
  <c r="E113" i="3" s="1"/>
  <c r="B137" i="3"/>
  <c r="E137" i="3" s="1"/>
  <c r="F137" i="5" l="1"/>
  <c r="F51" i="5"/>
  <c r="F127" i="5"/>
  <c r="AB88" i="4"/>
  <c r="AC112" i="4"/>
  <c r="AB112" i="4"/>
  <c r="Z112" i="4"/>
  <c r="AA112" i="4"/>
  <c r="F101" i="5"/>
  <c r="AC126" i="4"/>
  <c r="AA126" i="4"/>
  <c r="AB126" i="4"/>
  <c r="Z126" i="4"/>
  <c r="F89" i="5"/>
  <c r="F106" i="5"/>
  <c r="F72" i="5"/>
  <c r="F136" i="5"/>
  <c r="F83" i="5"/>
  <c r="AB83" i="4"/>
  <c r="AA83" i="4"/>
  <c r="AC83" i="4"/>
  <c r="Z83" i="4"/>
  <c r="AB99" i="4"/>
  <c r="Z99" i="4"/>
  <c r="AC99" i="4"/>
  <c r="AA99" i="4"/>
  <c r="F114" i="5"/>
  <c r="F105" i="5"/>
  <c r="F82" i="5"/>
  <c r="F131" i="5"/>
  <c r="AC95" i="4"/>
  <c r="Z95" i="4"/>
  <c r="AA95" i="4"/>
  <c r="AB95" i="4"/>
  <c r="F143" i="5"/>
  <c r="Z181" i="4"/>
  <c r="AC181" i="4"/>
  <c r="AB181" i="4"/>
  <c r="AA181" i="4"/>
  <c r="AB156" i="4"/>
  <c r="Z156" i="4"/>
  <c r="AA156" i="4"/>
  <c r="AC156" i="4"/>
  <c r="AC142" i="4"/>
  <c r="AA142" i="4"/>
  <c r="Z142" i="4"/>
  <c r="AB142" i="4"/>
  <c r="AA145" i="4"/>
  <c r="AC145" i="4"/>
  <c r="Z145" i="4"/>
  <c r="AB145" i="4"/>
  <c r="F182" i="5"/>
  <c r="F147" i="5"/>
  <c r="F168" i="5"/>
  <c r="F148" i="5"/>
  <c r="AB114" i="4"/>
  <c r="Z114" i="4"/>
  <c r="AC114" i="4"/>
  <c r="AA114" i="4"/>
  <c r="F179" i="5"/>
  <c r="F165" i="5"/>
  <c r="F145" i="5"/>
  <c r="F166" i="5"/>
  <c r="AB182" i="4"/>
  <c r="AC182" i="4"/>
  <c r="Z182" i="4"/>
  <c r="AA182" i="4"/>
  <c r="Z154" i="4"/>
  <c r="AC154" i="4"/>
  <c r="AA154" i="4"/>
  <c r="AB154" i="4"/>
  <c r="F150" i="5"/>
  <c r="F174" i="5"/>
  <c r="F152" i="5"/>
  <c r="AA172" i="4"/>
  <c r="AC172" i="4"/>
  <c r="AB172" i="4"/>
  <c r="Z172" i="4"/>
  <c r="AB147" i="4"/>
  <c r="Z147" i="4"/>
  <c r="AA147" i="4"/>
  <c r="AC147" i="4"/>
  <c r="Z171" i="4"/>
  <c r="AC171" i="4"/>
  <c r="AA171" i="4"/>
  <c r="AB171" i="4"/>
  <c r="AA173" i="4"/>
  <c r="AC173" i="4"/>
  <c r="AB173" i="4"/>
  <c r="Z173" i="4"/>
  <c r="AB175" i="4"/>
  <c r="AC175" i="4"/>
  <c r="Z175" i="4"/>
  <c r="AA175" i="4"/>
  <c r="AB167" i="4"/>
  <c r="AA167" i="4"/>
  <c r="Z167" i="4"/>
  <c r="AC167" i="4"/>
  <c r="Z155" i="4"/>
  <c r="AA155" i="4"/>
  <c r="AB155" i="4"/>
  <c r="AC155" i="4"/>
  <c r="AC158" i="4"/>
  <c r="AA158" i="4"/>
  <c r="Z158" i="4"/>
  <c r="AB158" i="4"/>
  <c r="AA166" i="4"/>
  <c r="AB166" i="4"/>
  <c r="AC166" i="4"/>
  <c r="Z166" i="4"/>
  <c r="AB153" i="4"/>
  <c r="AA153" i="4"/>
  <c r="AC153" i="4"/>
  <c r="Z153" i="4"/>
  <c r="Z160" i="4"/>
  <c r="AA160" i="4"/>
  <c r="AC160" i="4"/>
  <c r="AB160" i="4"/>
  <c r="AB176" i="4"/>
  <c r="Z176" i="4"/>
  <c r="AC176" i="4"/>
  <c r="AA176" i="4"/>
  <c r="F176" i="5"/>
  <c r="F155" i="5"/>
  <c r="F146" i="5"/>
  <c r="AA162" i="4"/>
  <c r="Z162" i="4"/>
  <c r="AC162" i="4"/>
  <c r="AB162" i="4"/>
  <c r="F153" i="5"/>
  <c r="F163" i="5"/>
  <c r="F157" i="5"/>
  <c r="F151" i="5"/>
  <c r="AC149" i="4"/>
  <c r="AA149" i="4"/>
  <c r="Z149" i="4"/>
  <c r="AB149" i="4"/>
  <c r="F36" i="5"/>
  <c r="F93" i="5"/>
  <c r="F65" i="5"/>
  <c r="F111" i="5"/>
  <c r="F113" i="5"/>
  <c r="F69" i="5"/>
  <c r="F74" i="5"/>
  <c r="F112" i="5"/>
  <c r="Z137" i="4"/>
  <c r="AA137" i="4"/>
  <c r="AC137" i="4"/>
  <c r="AB137" i="4"/>
  <c r="AA124" i="4"/>
  <c r="AB124" i="4"/>
  <c r="Z124" i="4"/>
  <c r="AC124" i="4"/>
  <c r="AC115" i="4"/>
  <c r="AA115" i="4"/>
  <c r="AB115" i="4"/>
  <c r="Z115" i="4"/>
  <c r="AA88" i="4"/>
  <c r="Z88" i="4"/>
  <c r="Z111" i="4"/>
  <c r="AB111" i="4"/>
  <c r="AA111" i="4"/>
  <c r="AC111" i="4"/>
  <c r="AB93" i="4"/>
  <c r="AC93" i="4"/>
  <c r="AA93" i="4"/>
  <c r="Z93" i="4"/>
  <c r="F52" i="5"/>
  <c r="F116" i="5"/>
  <c r="F132" i="5"/>
  <c r="F88" i="5"/>
  <c r="F133" i="5"/>
  <c r="F95" i="5"/>
  <c r="Z110" i="4"/>
  <c r="AA110" i="4"/>
  <c r="AB110" i="4"/>
  <c r="AC110" i="4"/>
  <c r="AB69" i="4"/>
  <c r="Z69" i="4"/>
  <c r="AC69" i="4"/>
  <c r="AA69" i="4"/>
  <c r="F139" i="5"/>
  <c r="F180" i="5"/>
  <c r="F173" i="5"/>
  <c r="F167" i="5"/>
  <c r="F156" i="5"/>
  <c r="F164" i="5"/>
  <c r="AB144" i="4"/>
  <c r="AA144" i="4"/>
  <c r="AC144" i="4"/>
  <c r="Z144" i="4"/>
  <c r="AB150" i="4"/>
  <c r="AC150" i="4"/>
  <c r="AA150" i="4"/>
  <c r="Z150" i="4"/>
  <c r="AA174" i="4"/>
  <c r="AC174" i="4"/>
  <c r="AB174" i="4"/>
  <c r="Z174" i="4"/>
  <c r="AB148" i="4"/>
  <c r="AC148" i="4"/>
  <c r="Z148" i="4"/>
  <c r="AA148" i="4"/>
  <c r="AB178" i="4"/>
  <c r="AC178" i="4"/>
  <c r="AA178" i="4"/>
  <c r="Z178" i="4"/>
  <c r="AB180" i="4"/>
  <c r="AC180" i="4"/>
  <c r="AA180" i="4"/>
  <c r="Z180" i="4"/>
  <c r="F181" i="5"/>
  <c r="F142" i="5"/>
  <c r="F172" i="5"/>
  <c r="F144" i="5"/>
  <c r="F178" i="5"/>
  <c r="F154" i="5"/>
  <c r="AA168" i="4"/>
  <c r="Z168" i="4"/>
  <c r="AC168" i="4"/>
  <c r="AB168" i="4"/>
  <c r="AC152" i="4"/>
  <c r="AA152" i="4"/>
  <c r="Z152" i="4"/>
  <c r="AB152" i="4"/>
  <c r="AA164" i="4"/>
  <c r="AC164" i="4"/>
  <c r="Z164" i="4"/>
  <c r="AB164" i="4"/>
  <c r="AC143" i="4"/>
  <c r="Z143" i="4"/>
  <c r="AA143" i="4"/>
  <c r="AB143" i="4"/>
  <c r="Z146" i="4"/>
  <c r="AB146" i="4"/>
  <c r="AC146" i="4"/>
  <c r="AA146" i="4"/>
  <c r="AC165" i="4"/>
  <c r="Z165" i="4"/>
  <c r="AA165" i="4"/>
  <c r="AB165" i="4"/>
  <c r="AA169" i="4"/>
  <c r="Z169" i="4"/>
  <c r="AC169" i="4"/>
  <c r="AB169" i="4"/>
  <c r="AC157" i="4"/>
  <c r="AA157" i="4"/>
  <c r="AB157" i="4"/>
  <c r="Z157" i="4"/>
  <c r="AC151" i="4"/>
  <c r="Z151" i="4"/>
  <c r="AA151" i="4"/>
  <c r="AB151" i="4"/>
  <c r="AC163" i="4"/>
  <c r="AA163" i="4"/>
  <c r="Z163" i="4"/>
  <c r="AB163" i="4"/>
  <c r="Z183" i="4"/>
  <c r="AA183" i="4"/>
  <c r="AC183" i="4"/>
  <c r="AB183" i="4"/>
  <c r="AB179" i="4"/>
  <c r="AC179" i="4"/>
  <c r="Z179" i="4"/>
  <c r="AA179" i="4"/>
  <c r="AB170" i="4"/>
  <c r="AC170" i="4"/>
  <c r="Z170" i="4"/>
  <c r="AA170" i="4"/>
  <c r="AB161" i="4"/>
  <c r="AA161" i="4"/>
  <c r="Z161" i="4"/>
  <c r="AC161" i="4"/>
  <c r="F160" i="5"/>
  <c r="F161" i="5"/>
  <c r="F162" i="5"/>
  <c r="F171" i="5"/>
  <c r="F169" i="5"/>
  <c r="F170" i="5"/>
  <c r="F175" i="5"/>
  <c r="F158" i="5"/>
  <c r="F149" i="5"/>
  <c r="F183" i="5"/>
  <c r="AC106" i="4"/>
  <c r="AA106" i="4"/>
  <c r="Z106" i="4"/>
  <c r="AB106" i="4"/>
  <c r="F124" i="5"/>
  <c r="F63" i="5"/>
  <c r="F107" i="5"/>
  <c r="Z136" i="4"/>
  <c r="AB136" i="4"/>
  <c r="AC136" i="4"/>
  <c r="AA136" i="4"/>
  <c r="AC101" i="4"/>
  <c r="AA101" i="4"/>
  <c r="AB101" i="4"/>
  <c r="Z101" i="4"/>
  <c r="AB128" i="4"/>
  <c r="AC128" i="4"/>
  <c r="AA128" i="4"/>
  <c r="Z128" i="4"/>
  <c r="F99" i="5"/>
  <c r="F92" i="5"/>
  <c r="AC127" i="4"/>
  <c r="AA127" i="4"/>
  <c r="AB127" i="4"/>
  <c r="Z127" i="4"/>
  <c r="F66" i="5"/>
  <c r="F115" i="5"/>
  <c r="F130" i="5"/>
  <c r="F67" i="5"/>
  <c r="AC88" i="4"/>
  <c r="AB189" i="1"/>
  <c r="AB186" i="1"/>
  <c r="AB188" i="1"/>
  <c r="AB187" i="1"/>
  <c r="AB185" i="1"/>
  <c r="AE154" i="4" s="1"/>
  <c r="Q188" i="1"/>
  <c r="Q187" i="1"/>
  <c r="Q185" i="1"/>
  <c r="Q186" i="1"/>
  <c r="Q189" i="1"/>
  <c r="F84" i="5"/>
  <c r="F80" i="5"/>
  <c r="F19" i="5"/>
  <c r="F46" i="5"/>
  <c r="F123" i="5"/>
  <c r="F58" i="5"/>
  <c r="F15" i="5"/>
  <c r="F16" i="5"/>
  <c r="F29" i="5"/>
  <c r="F42" i="5"/>
  <c r="F26" i="5"/>
  <c r="F75" i="5"/>
  <c r="F73" i="5"/>
  <c r="F18" i="5"/>
  <c r="F103" i="5"/>
  <c r="F118" i="5"/>
  <c r="F37" i="5"/>
  <c r="F129" i="5"/>
  <c r="F98" i="5"/>
  <c r="F71" i="5"/>
  <c r="F28" i="5"/>
  <c r="F56" i="5"/>
  <c r="F41" i="5"/>
  <c r="F48" i="5"/>
  <c r="F117" i="5"/>
  <c r="F34" i="5"/>
  <c r="F17" i="5"/>
  <c r="F64" i="5"/>
  <c r="F11" i="5"/>
  <c r="F78" i="5"/>
  <c r="F87" i="5"/>
  <c r="F4" i="5"/>
  <c r="F121" i="5"/>
  <c r="F31" i="5"/>
  <c r="F7" i="5"/>
  <c r="F57" i="5"/>
  <c r="F2" i="5"/>
  <c r="F27" i="5"/>
  <c r="F122" i="5"/>
  <c r="F90" i="5"/>
  <c r="F79" i="5"/>
  <c r="F59" i="5"/>
  <c r="F44" i="5"/>
  <c r="F177" i="5"/>
  <c r="F9" i="5"/>
  <c r="F68" i="5"/>
  <c r="F76" i="5"/>
  <c r="F14" i="5"/>
  <c r="F55" i="5"/>
  <c r="F12" i="5"/>
  <c r="F62" i="5"/>
  <c r="F141" i="5"/>
  <c r="F53" i="5"/>
  <c r="F50" i="5"/>
  <c r="F134" i="5"/>
  <c r="F108" i="5"/>
  <c r="F100" i="5"/>
  <c r="F85" i="5"/>
  <c r="F138" i="5"/>
  <c r="F21" i="5"/>
  <c r="F13" i="5"/>
  <c r="F45" i="5"/>
  <c r="F47" i="5"/>
  <c r="F91" i="5"/>
  <c r="F6" i="5"/>
  <c r="F81" i="5"/>
  <c r="F30" i="5"/>
  <c r="F3" i="5"/>
  <c r="F109" i="5"/>
  <c r="F125" i="5"/>
  <c r="F97" i="5"/>
  <c r="F5" i="5"/>
  <c r="F35" i="5"/>
  <c r="F8" i="5"/>
  <c r="F23" i="5"/>
  <c r="F49" i="5"/>
  <c r="F22" i="5"/>
  <c r="F61" i="5"/>
  <c r="F32" i="5"/>
  <c r="F86" i="5"/>
  <c r="F54" i="5"/>
  <c r="F140" i="5"/>
  <c r="F43" i="5"/>
  <c r="F39" i="5"/>
  <c r="F77" i="5"/>
  <c r="F24" i="5"/>
  <c r="F25" i="5"/>
  <c r="F135" i="5"/>
  <c r="F60" i="5"/>
  <c r="F40" i="5"/>
  <c r="F94" i="5"/>
  <c r="F10" i="5"/>
  <c r="F96" i="5"/>
  <c r="F102" i="5"/>
  <c r="F20" i="5"/>
  <c r="F120" i="5"/>
  <c r="F33" i="5"/>
  <c r="F159" i="5"/>
  <c r="F119" i="5"/>
  <c r="F38" i="5"/>
  <c r="I161" i="4"/>
  <c r="G176" i="4"/>
  <c r="J175" i="4"/>
  <c r="I165" i="4"/>
  <c r="H172" i="4"/>
  <c r="I172" i="4"/>
  <c r="J172" i="4"/>
  <c r="J148" i="4"/>
  <c r="G148" i="4"/>
  <c r="H148" i="4"/>
  <c r="J156" i="4"/>
  <c r="G156" i="4"/>
  <c r="H156" i="4"/>
  <c r="I177" i="4"/>
  <c r="G175" i="4"/>
  <c r="I175" i="4"/>
  <c r="H175" i="4"/>
  <c r="J176" i="4"/>
  <c r="H176" i="4"/>
  <c r="I176" i="4"/>
  <c r="H151" i="4"/>
  <c r="J151" i="4"/>
  <c r="I151" i="4"/>
  <c r="G158" i="4"/>
  <c r="H158" i="4"/>
  <c r="J158" i="4"/>
  <c r="G166" i="4"/>
  <c r="J166" i="4"/>
  <c r="I166" i="4"/>
  <c r="H166" i="4"/>
  <c r="Z159" i="4"/>
  <c r="AA159" i="4"/>
  <c r="AB159" i="4"/>
  <c r="AC159" i="4"/>
  <c r="J171" i="4"/>
  <c r="J163" i="4"/>
  <c r="I144" i="4"/>
  <c r="I178" i="4"/>
  <c r="I173" i="4"/>
  <c r="G181" i="4"/>
  <c r="I152" i="4"/>
  <c r="H164" i="4"/>
  <c r="J164" i="4"/>
  <c r="I164" i="4"/>
  <c r="H149" i="4"/>
  <c r="G149" i="4"/>
  <c r="I149" i="4"/>
  <c r="J154" i="4"/>
  <c r="G147" i="4"/>
  <c r="G180" i="4"/>
  <c r="H180" i="4"/>
  <c r="I180" i="4"/>
  <c r="G174" i="4"/>
  <c r="J174" i="4"/>
  <c r="H174" i="4"/>
  <c r="H179" i="4"/>
  <c r="J179" i="4"/>
  <c r="G179" i="4"/>
  <c r="G146" i="4"/>
  <c r="H146" i="4"/>
  <c r="I146" i="4"/>
  <c r="G154" i="4"/>
  <c r="H154" i="4"/>
  <c r="I154" i="4"/>
  <c r="I158" i="4"/>
  <c r="J149" i="4"/>
  <c r="I148" i="4"/>
  <c r="H181" i="4"/>
  <c r="I181" i="4"/>
  <c r="J181" i="4"/>
  <c r="G145" i="4"/>
  <c r="J145" i="4"/>
  <c r="H145" i="4"/>
  <c r="I145" i="4"/>
  <c r="G163" i="4"/>
  <c r="I163" i="4"/>
  <c r="H163" i="4"/>
  <c r="J161" i="4"/>
  <c r="G161" i="4"/>
  <c r="H161" i="4"/>
  <c r="J169" i="4"/>
  <c r="H169" i="4"/>
  <c r="G169" i="4"/>
  <c r="H143" i="4"/>
  <c r="I143" i="4"/>
  <c r="J143" i="4"/>
  <c r="I157" i="4"/>
  <c r="G151" i="4"/>
  <c r="I156" i="4"/>
  <c r="I182" i="4"/>
  <c r="I179" i="4"/>
  <c r="G143" i="4"/>
  <c r="J173" i="4"/>
  <c r="H173" i="4"/>
  <c r="G173" i="4"/>
  <c r="J165" i="4"/>
  <c r="H165" i="4"/>
  <c r="G165" i="4"/>
  <c r="H170" i="4"/>
  <c r="J170" i="4"/>
  <c r="G170" i="4"/>
  <c r="I170" i="4"/>
  <c r="J178" i="4"/>
  <c r="H178" i="4"/>
  <c r="G178" i="4"/>
  <c r="J144" i="4"/>
  <c r="G144" i="4"/>
  <c r="H144" i="4"/>
  <c r="I171" i="4"/>
  <c r="H157" i="4"/>
  <c r="J157" i="4"/>
  <c r="G157" i="4"/>
  <c r="J182" i="4"/>
  <c r="H182" i="4"/>
  <c r="G182" i="4"/>
  <c r="I162" i="4"/>
  <c r="J162" i="4"/>
  <c r="G162" i="4"/>
  <c r="H162" i="4"/>
  <c r="H160" i="4"/>
  <c r="J160" i="4"/>
  <c r="I160" i="4"/>
  <c r="H168" i="4"/>
  <c r="I168" i="4"/>
  <c r="J168" i="4"/>
  <c r="G142" i="4"/>
  <c r="H142" i="4"/>
  <c r="I142" i="4"/>
  <c r="I174" i="4"/>
  <c r="J150" i="4"/>
  <c r="G160" i="4"/>
  <c r="G168" i="4"/>
  <c r="G153" i="4"/>
  <c r="J153" i="4"/>
  <c r="H153" i="4"/>
  <c r="I153" i="4"/>
  <c r="G150" i="4"/>
  <c r="I150" i="4"/>
  <c r="H150" i="4"/>
  <c r="AB177" i="4"/>
  <c r="AC177" i="4"/>
  <c r="Z177" i="4"/>
  <c r="AA177" i="4"/>
  <c r="G155" i="4"/>
  <c r="I169" i="4"/>
  <c r="H183" i="4"/>
  <c r="J183" i="4"/>
  <c r="G183" i="4"/>
  <c r="I183" i="4"/>
  <c r="H147" i="4"/>
  <c r="J147" i="4"/>
  <c r="I147" i="4"/>
  <c r="H155" i="4"/>
  <c r="I155" i="4"/>
  <c r="J155" i="4"/>
  <c r="J146" i="4"/>
  <c r="G172" i="4"/>
  <c r="J142" i="4"/>
  <c r="J177" i="4"/>
  <c r="G177" i="4"/>
  <c r="H177" i="4"/>
  <c r="G171" i="4"/>
  <c r="H171" i="4"/>
  <c r="J152" i="4"/>
  <c r="G152" i="4"/>
  <c r="H152" i="4"/>
  <c r="H159" i="4"/>
  <c r="J159" i="4"/>
  <c r="I159" i="4"/>
  <c r="G167" i="4"/>
  <c r="I167" i="4"/>
  <c r="H167" i="4"/>
  <c r="J180" i="4"/>
  <c r="G159" i="4"/>
  <c r="J167" i="4"/>
  <c r="G164" i="4"/>
  <c r="G2" i="4"/>
  <c r="AA97" i="4"/>
  <c r="AB97" i="4"/>
  <c r="Z120" i="4"/>
  <c r="AA120" i="4"/>
  <c r="AC120" i="4"/>
  <c r="AB120" i="4"/>
  <c r="AC90" i="4"/>
  <c r="AB90" i="4"/>
  <c r="AA90" i="4"/>
  <c r="Z90" i="4"/>
  <c r="AC102" i="4"/>
  <c r="AB102" i="4"/>
  <c r="AA102" i="4"/>
  <c r="Z102" i="4"/>
  <c r="AC103" i="4"/>
  <c r="AA103" i="4"/>
  <c r="AB103" i="4"/>
  <c r="Z103" i="4"/>
  <c r="AB75" i="4"/>
  <c r="AA75" i="4"/>
  <c r="Z75" i="4"/>
  <c r="AC75" i="4"/>
  <c r="AC80" i="4"/>
  <c r="Z80" i="4"/>
  <c r="AA80" i="4"/>
  <c r="AB80" i="4"/>
  <c r="AB121" i="4"/>
  <c r="AC121" i="4"/>
  <c r="AA121" i="4"/>
  <c r="Z121" i="4"/>
  <c r="AC117" i="4"/>
  <c r="AB117" i="4"/>
  <c r="Z117" i="4"/>
  <c r="AA117" i="4"/>
  <c r="Z97" i="4"/>
  <c r="AB87" i="4"/>
  <c r="AC87" i="4"/>
  <c r="AA87" i="4"/>
  <c r="Z87" i="4"/>
  <c r="AC55" i="4"/>
  <c r="AB55" i="4"/>
  <c r="AA55" i="4"/>
  <c r="Z55" i="4"/>
  <c r="Z78" i="4"/>
  <c r="AB78" i="4"/>
  <c r="AC78" i="4"/>
  <c r="AA78" i="4"/>
  <c r="AC97" i="4"/>
  <c r="AA134" i="4"/>
  <c r="Z134" i="4"/>
  <c r="AC134" i="4"/>
  <c r="AB134" i="4"/>
  <c r="Z141" i="4"/>
  <c r="AC141" i="4"/>
  <c r="AB141" i="4"/>
  <c r="AA141" i="4"/>
  <c r="AB138" i="4"/>
  <c r="AA138" i="4"/>
  <c r="AC138" i="4"/>
  <c r="Z138" i="4"/>
  <c r="AB84" i="4"/>
  <c r="AC84" i="4"/>
  <c r="Z84" i="4"/>
  <c r="AA84" i="4"/>
  <c r="AC123" i="4"/>
  <c r="AA123" i="4"/>
  <c r="Z123" i="4"/>
  <c r="AB123" i="4"/>
  <c r="AB108" i="4"/>
  <c r="Z108" i="4"/>
  <c r="AC108" i="4"/>
  <c r="AA108" i="4"/>
  <c r="AB135" i="4"/>
  <c r="AC135" i="4"/>
  <c r="Z135" i="4"/>
  <c r="AA135" i="4"/>
  <c r="Z119" i="4"/>
  <c r="AC119" i="4"/>
  <c r="AB119" i="4"/>
  <c r="AA119" i="4"/>
  <c r="AB86" i="4"/>
  <c r="AA86" i="4"/>
  <c r="AC86" i="4"/>
  <c r="Z86" i="4"/>
  <c r="J2" i="4"/>
  <c r="I2" i="4"/>
  <c r="AC43" i="4"/>
  <c r="AB43" i="4"/>
  <c r="AA43" i="4"/>
  <c r="Z43" i="4"/>
  <c r="AC2" i="4"/>
  <c r="AB2" i="4"/>
  <c r="AA2" i="4"/>
  <c r="Z2" i="4"/>
  <c r="AC40" i="4"/>
  <c r="AB40" i="4"/>
  <c r="AA40" i="4"/>
  <c r="Z40" i="4"/>
  <c r="AC24" i="4"/>
  <c r="AB24" i="4"/>
  <c r="AA24" i="4"/>
  <c r="Z24" i="4"/>
  <c r="AC49" i="4"/>
  <c r="AA49" i="4"/>
  <c r="Z49" i="4"/>
  <c r="AB49" i="4"/>
  <c r="AB19" i="4"/>
  <c r="AC19" i="4"/>
  <c r="AA19" i="4"/>
  <c r="Z19" i="4"/>
  <c r="AB11" i="4"/>
  <c r="AC11" i="4"/>
  <c r="AA11" i="4"/>
  <c r="Z11" i="4"/>
  <c r="AC104" i="4"/>
  <c r="AB104" i="4"/>
  <c r="AA104" i="4"/>
  <c r="Z104" i="4"/>
  <c r="AC16" i="4"/>
  <c r="AB16" i="4"/>
  <c r="AA16" i="4"/>
  <c r="Z16" i="4"/>
  <c r="AB31" i="4"/>
  <c r="AC31" i="4"/>
  <c r="AA31" i="4"/>
  <c r="Z31" i="4"/>
  <c r="AC46" i="4"/>
  <c r="AB46" i="4"/>
  <c r="AA46" i="4"/>
  <c r="Z46" i="4"/>
  <c r="AC132" i="4"/>
  <c r="AB132" i="4"/>
  <c r="AA132" i="4"/>
  <c r="Z132" i="4"/>
  <c r="AC113" i="4"/>
  <c r="AA113" i="4"/>
  <c r="Z113" i="4"/>
  <c r="AB113" i="4"/>
  <c r="AB15" i="4"/>
  <c r="AC15" i="4"/>
  <c r="AA15" i="4"/>
  <c r="Z15" i="4"/>
  <c r="AC56" i="4"/>
  <c r="AB56" i="4"/>
  <c r="AA56" i="4"/>
  <c r="Z56" i="4"/>
  <c r="AC38" i="4"/>
  <c r="AB38" i="4"/>
  <c r="AA38" i="4"/>
  <c r="Z38" i="4"/>
  <c r="AC61" i="4"/>
  <c r="AA61" i="4"/>
  <c r="Z61" i="4"/>
  <c r="AB61" i="4"/>
  <c r="AB29" i="4"/>
  <c r="AC29" i="4"/>
  <c r="AA29" i="4"/>
  <c r="Z29" i="4"/>
  <c r="AC41" i="4"/>
  <c r="AA41" i="4"/>
  <c r="Z41" i="4"/>
  <c r="AB41" i="4"/>
  <c r="AC129" i="4"/>
  <c r="AA129" i="4"/>
  <c r="Z129" i="4"/>
  <c r="AB129" i="4"/>
  <c r="AC92" i="4"/>
  <c r="AB92" i="4"/>
  <c r="AA92" i="4"/>
  <c r="Z92" i="4"/>
  <c r="AC36" i="4"/>
  <c r="AB36" i="4"/>
  <c r="AA36" i="4"/>
  <c r="Z36" i="4"/>
  <c r="AC125" i="4"/>
  <c r="AA125" i="4"/>
  <c r="Z125" i="4"/>
  <c r="AB125" i="4"/>
  <c r="AC81" i="4"/>
  <c r="AA81" i="4"/>
  <c r="Z81" i="4"/>
  <c r="AB81" i="4"/>
  <c r="AC107" i="4"/>
  <c r="AA107" i="4"/>
  <c r="Z107" i="4"/>
  <c r="AB107" i="4"/>
  <c r="AC66" i="4"/>
  <c r="AB66" i="4"/>
  <c r="AA66" i="4"/>
  <c r="Z66" i="4"/>
  <c r="AC8" i="4"/>
  <c r="AB8" i="4"/>
  <c r="AA8" i="4"/>
  <c r="Z8" i="4"/>
  <c r="AC63" i="4"/>
  <c r="AA63" i="4"/>
  <c r="Z63" i="4"/>
  <c r="AB63" i="4"/>
  <c r="AC62" i="4"/>
  <c r="AB62" i="4"/>
  <c r="AA62" i="4"/>
  <c r="Z62" i="4"/>
  <c r="AC6" i="4"/>
  <c r="AB6" i="4"/>
  <c r="AA6" i="4"/>
  <c r="Z6" i="4"/>
  <c r="AC74" i="4"/>
  <c r="AB74" i="4"/>
  <c r="AA74" i="4"/>
  <c r="Z74" i="4"/>
  <c r="AB25" i="4"/>
  <c r="AC25" i="4"/>
  <c r="AA25" i="4"/>
  <c r="Z25" i="4"/>
  <c r="AC37" i="4"/>
  <c r="AA37" i="4"/>
  <c r="Z37" i="4"/>
  <c r="AB37" i="4"/>
  <c r="AC76" i="4"/>
  <c r="AB76" i="4"/>
  <c r="AA76" i="4"/>
  <c r="Z76" i="4"/>
  <c r="AC44" i="4"/>
  <c r="AB44" i="4"/>
  <c r="AA44" i="4"/>
  <c r="Z44" i="4"/>
  <c r="AB23" i="4"/>
  <c r="AC23" i="4"/>
  <c r="AA23" i="4"/>
  <c r="Z23" i="4"/>
  <c r="AC94" i="4"/>
  <c r="AB94" i="4"/>
  <c r="AA94" i="4"/>
  <c r="Z94" i="4"/>
  <c r="AC77" i="4"/>
  <c r="AA77" i="4"/>
  <c r="Z77" i="4"/>
  <c r="AB77" i="4"/>
  <c r="AB9" i="4"/>
  <c r="AC9" i="4"/>
  <c r="AA9" i="4"/>
  <c r="Z9" i="4"/>
  <c r="AC53" i="4"/>
  <c r="AA53" i="4"/>
  <c r="Z53" i="4"/>
  <c r="AB53" i="4"/>
  <c r="AC58" i="4"/>
  <c r="AB58" i="4"/>
  <c r="AA58" i="4"/>
  <c r="Z58" i="4"/>
  <c r="AC60" i="4"/>
  <c r="AB60" i="4"/>
  <c r="AA60" i="4"/>
  <c r="Z60" i="4"/>
  <c r="AC4" i="4"/>
  <c r="AB4" i="4"/>
  <c r="AA4" i="4"/>
  <c r="Z4" i="4"/>
  <c r="AB7" i="4"/>
  <c r="AC7" i="4"/>
  <c r="AA7" i="4"/>
  <c r="Z7" i="4"/>
  <c r="AC82" i="4"/>
  <c r="AB82" i="4"/>
  <c r="AA82" i="4"/>
  <c r="Z82" i="4"/>
  <c r="AC10" i="4"/>
  <c r="AB10" i="4"/>
  <c r="AA10" i="4"/>
  <c r="Z10" i="4"/>
  <c r="AC130" i="4"/>
  <c r="AB130" i="4"/>
  <c r="AA130" i="4"/>
  <c r="Z130" i="4"/>
  <c r="AC139" i="4"/>
  <c r="AA139" i="4"/>
  <c r="Z139" i="4"/>
  <c r="AB139" i="4"/>
  <c r="AC131" i="4"/>
  <c r="AA131" i="4"/>
  <c r="Z131" i="4"/>
  <c r="AB131" i="4"/>
  <c r="AC109" i="4"/>
  <c r="AA109" i="4"/>
  <c r="Z109" i="4"/>
  <c r="AB109" i="4"/>
  <c r="AC48" i="4"/>
  <c r="AB48" i="4"/>
  <c r="AA48" i="4"/>
  <c r="Z48" i="4"/>
  <c r="AC18" i="4"/>
  <c r="AB18" i="4"/>
  <c r="AA18" i="4"/>
  <c r="Z18" i="4"/>
  <c r="AC51" i="4"/>
  <c r="AA51" i="4"/>
  <c r="Z51" i="4"/>
  <c r="AB51" i="4"/>
  <c r="AC64" i="4"/>
  <c r="AB64" i="4"/>
  <c r="AA64" i="4"/>
  <c r="Z64" i="4"/>
  <c r="AC32" i="4"/>
  <c r="AB32" i="4"/>
  <c r="AA32" i="4"/>
  <c r="Z32" i="4"/>
  <c r="AC133" i="4"/>
  <c r="AA133" i="4"/>
  <c r="Z133" i="4"/>
  <c r="AB133" i="4"/>
  <c r="AC91" i="4"/>
  <c r="AA91" i="4"/>
  <c r="Z91" i="4"/>
  <c r="AB91" i="4"/>
  <c r="AB27" i="4"/>
  <c r="AC27" i="4"/>
  <c r="AA27" i="4"/>
  <c r="Z27" i="4"/>
  <c r="AC59" i="4"/>
  <c r="AA59" i="4"/>
  <c r="Z59" i="4"/>
  <c r="AB59" i="4"/>
  <c r="AC96" i="4"/>
  <c r="AB96" i="4"/>
  <c r="AA96" i="4"/>
  <c r="Z96" i="4"/>
  <c r="AC65" i="4"/>
  <c r="AA65" i="4"/>
  <c r="Z65" i="4"/>
  <c r="AB65" i="4"/>
  <c r="AC54" i="4"/>
  <c r="AB54" i="4"/>
  <c r="AA54" i="4"/>
  <c r="Z54" i="4"/>
  <c r="AC57" i="4"/>
  <c r="AA57" i="4"/>
  <c r="Z57" i="4"/>
  <c r="AB57" i="4"/>
  <c r="AC116" i="4"/>
  <c r="AB116" i="4"/>
  <c r="AA116" i="4"/>
  <c r="Z116" i="4"/>
  <c r="AC79" i="4"/>
  <c r="AA79" i="4"/>
  <c r="Z79" i="4"/>
  <c r="AB79" i="4"/>
  <c r="AC98" i="4"/>
  <c r="AB98" i="4"/>
  <c r="AA98" i="4"/>
  <c r="Z98" i="4"/>
  <c r="AC70" i="4"/>
  <c r="AB70" i="4"/>
  <c r="AA70" i="4"/>
  <c r="Z70" i="4"/>
  <c r="AC30" i="4"/>
  <c r="AB30" i="4"/>
  <c r="AA30" i="4"/>
  <c r="Z30" i="4"/>
  <c r="AC45" i="4"/>
  <c r="AA45" i="4"/>
  <c r="Z45" i="4"/>
  <c r="AB45" i="4"/>
  <c r="AB5" i="4"/>
  <c r="AC5" i="4"/>
  <c r="AA5" i="4"/>
  <c r="Z5" i="4"/>
  <c r="AC122" i="4"/>
  <c r="AB122" i="4"/>
  <c r="AA122" i="4"/>
  <c r="Z122" i="4"/>
  <c r="AC140" i="4"/>
  <c r="AB140" i="4"/>
  <c r="AA140" i="4"/>
  <c r="Z140" i="4"/>
  <c r="AC68" i="4"/>
  <c r="AB68" i="4"/>
  <c r="AA68" i="4"/>
  <c r="Z68" i="4"/>
  <c r="AC20" i="4"/>
  <c r="AB20" i="4"/>
  <c r="AA20" i="4"/>
  <c r="Z20" i="4"/>
  <c r="AC39" i="4"/>
  <c r="AB39" i="4"/>
  <c r="AA39" i="4"/>
  <c r="Z39" i="4"/>
  <c r="AB17" i="4"/>
  <c r="AC17" i="4"/>
  <c r="AA17" i="4"/>
  <c r="Z17" i="4"/>
  <c r="AB35" i="4"/>
  <c r="AC35" i="4"/>
  <c r="AA35" i="4"/>
  <c r="Z35" i="4"/>
  <c r="AC72" i="4"/>
  <c r="AB72" i="4"/>
  <c r="AA72" i="4"/>
  <c r="Z72" i="4"/>
  <c r="AB33" i="4"/>
  <c r="AC33" i="4"/>
  <c r="AA33" i="4"/>
  <c r="Z33" i="4"/>
  <c r="AC118" i="4"/>
  <c r="AB118" i="4"/>
  <c r="AA118" i="4"/>
  <c r="Z118" i="4"/>
  <c r="AC22" i="4"/>
  <c r="AB22" i="4"/>
  <c r="AA22" i="4"/>
  <c r="Z22" i="4"/>
  <c r="AB13" i="4"/>
  <c r="AC13" i="4"/>
  <c r="AA13" i="4"/>
  <c r="Z13" i="4"/>
  <c r="AC89" i="4"/>
  <c r="AA89" i="4"/>
  <c r="Z89" i="4"/>
  <c r="AB89" i="4"/>
  <c r="AC34" i="4"/>
  <c r="AB34" i="4"/>
  <c r="AA34" i="4"/>
  <c r="Z34" i="4"/>
  <c r="AC26" i="4"/>
  <c r="AB26" i="4"/>
  <c r="AA26" i="4"/>
  <c r="Z26" i="4"/>
  <c r="AC52" i="4"/>
  <c r="AB52" i="4"/>
  <c r="AA52" i="4"/>
  <c r="Z52" i="4"/>
  <c r="AC12" i="4"/>
  <c r="AB12" i="4"/>
  <c r="AA12" i="4"/>
  <c r="Z12" i="4"/>
  <c r="AC47" i="4"/>
  <c r="AB47" i="4"/>
  <c r="AA47" i="4"/>
  <c r="Z47" i="4"/>
  <c r="AC14" i="4"/>
  <c r="AB14" i="4"/>
  <c r="AA14" i="4"/>
  <c r="Z14" i="4"/>
  <c r="AC73" i="4"/>
  <c r="AA73" i="4"/>
  <c r="Z73" i="4"/>
  <c r="AB73" i="4"/>
  <c r="AC85" i="4"/>
  <c r="AA85" i="4"/>
  <c r="Z85" i="4"/>
  <c r="AB85" i="4"/>
  <c r="AB21" i="4"/>
  <c r="AC21" i="4"/>
  <c r="AA21" i="4"/>
  <c r="Z21" i="4"/>
  <c r="AC100" i="4"/>
  <c r="AB100" i="4"/>
  <c r="AA100" i="4"/>
  <c r="Z100" i="4"/>
  <c r="AC28" i="4"/>
  <c r="AB28" i="4"/>
  <c r="AA28" i="4"/>
  <c r="Z28" i="4"/>
  <c r="AC71" i="4"/>
  <c r="AA71" i="4"/>
  <c r="Z71" i="4"/>
  <c r="AB71" i="4"/>
  <c r="AC42" i="4"/>
  <c r="AB42" i="4"/>
  <c r="AA42" i="4"/>
  <c r="Z42" i="4"/>
  <c r="AC67" i="4"/>
  <c r="AA67" i="4"/>
  <c r="Z67" i="4"/>
  <c r="AB67" i="4"/>
  <c r="AC50" i="4"/>
  <c r="AB50" i="4"/>
  <c r="AA50" i="4"/>
  <c r="Z50" i="4"/>
  <c r="AB3" i="4"/>
  <c r="AC3" i="4"/>
  <c r="AA3" i="4"/>
  <c r="Z3" i="4"/>
  <c r="AC105" i="4"/>
  <c r="AA105" i="4"/>
  <c r="Z105" i="4"/>
  <c r="AB105" i="4"/>
  <c r="H123" i="4"/>
  <c r="J123" i="4"/>
  <c r="G123" i="4"/>
  <c r="I123" i="4"/>
  <c r="I53" i="4"/>
  <c r="H53" i="4"/>
  <c r="G53" i="4"/>
  <c r="J53" i="4"/>
  <c r="J78" i="4"/>
  <c r="G78" i="4"/>
  <c r="H78" i="4"/>
  <c r="I78" i="4"/>
  <c r="H94" i="4"/>
  <c r="J94" i="4"/>
  <c r="G94" i="4"/>
  <c r="I94" i="4"/>
  <c r="J98" i="4"/>
  <c r="I98" i="4"/>
  <c r="G98" i="4"/>
  <c r="H98" i="4"/>
  <c r="J9" i="4"/>
  <c r="H9" i="4"/>
  <c r="I9" i="4"/>
  <c r="G9" i="4"/>
  <c r="H124" i="4"/>
  <c r="G124" i="4"/>
  <c r="I124" i="4"/>
  <c r="J124" i="4"/>
  <c r="J116" i="4"/>
  <c r="G116" i="4"/>
  <c r="H116" i="4"/>
  <c r="I116" i="4"/>
  <c r="H97" i="4"/>
  <c r="G97" i="4"/>
  <c r="I97" i="4"/>
  <c r="J97" i="4"/>
  <c r="J126" i="4"/>
  <c r="G126" i="4"/>
  <c r="I126" i="4"/>
  <c r="H126" i="4"/>
  <c r="J118" i="4"/>
  <c r="H118" i="4"/>
  <c r="I118" i="4"/>
  <c r="G118" i="4"/>
  <c r="H14" i="4"/>
  <c r="G14" i="4"/>
  <c r="I14" i="4"/>
  <c r="J14" i="4"/>
  <c r="H89" i="4"/>
  <c r="I89" i="4"/>
  <c r="G89" i="4"/>
  <c r="J89" i="4"/>
  <c r="H110" i="4"/>
  <c r="I110" i="4"/>
  <c r="G110" i="4"/>
  <c r="J110" i="4"/>
  <c r="J13" i="4"/>
  <c r="H13" i="4"/>
  <c r="G13" i="4"/>
  <c r="I13" i="4"/>
  <c r="I56" i="4"/>
  <c r="H56" i="4"/>
  <c r="J56" i="4"/>
  <c r="G56" i="4"/>
  <c r="J102" i="4"/>
  <c r="I102" i="4"/>
  <c r="H102" i="4"/>
  <c r="G102" i="4"/>
  <c r="J27" i="4"/>
  <c r="I27" i="4"/>
  <c r="H27" i="4"/>
  <c r="G27" i="4"/>
  <c r="I83" i="4"/>
  <c r="J83" i="4"/>
  <c r="G83" i="4"/>
  <c r="H83" i="4"/>
  <c r="I8" i="4"/>
  <c r="G8" i="4"/>
  <c r="J8" i="4"/>
  <c r="H8" i="4"/>
  <c r="J87" i="4"/>
  <c r="G87" i="4"/>
  <c r="I87" i="4"/>
  <c r="H87" i="4"/>
  <c r="H23" i="4"/>
  <c r="G23" i="4"/>
  <c r="I23" i="4"/>
  <c r="J23" i="4"/>
  <c r="G51" i="4"/>
  <c r="I51" i="4"/>
  <c r="J51" i="4"/>
  <c r="H51" i="4"/>
  <c r="H59" i="4"/>
  <c r="J59" i="4"/>
  <c r="I59" i="4"/>
  <c r="G59" i="4"/>
  <c r="J117" i="4"/>
  <c r="H117" i="4"/>
  <c r="I117" i="4"/>
  <c r="G117" i="4"/>
  <c r="H109" i="4"/>
  <c r="J109" i="4"/>
  <c r="G109" i="4"/>
  <c r="I109" i="4"/>
  <c r="I138" i="4"/>
  <c r="H138" i="4"/>
  <c r="J138" i="4"/>
  <c r="G138" i="4"/>
  <c r="H85" i="4"/>
  <c r="I85" i="4"/>
  <c r="J85" i="4"/>
  <c r="G85" i="4"/>
  <c r="I108" i="4"/>
  <c r="H108" i="4"/>
  <c r="J108" i="4"/>
  <c r="G108" i="4"/>
  <c r="H141" i="4"/>
  <c r="J141" i="4"/>
  <c r="G141" i="4"/>
  <c r="I141" i="4"/>
  <c r="G67" i="4"/>
  <c r="H67" i="4"/>
  <c r="J67" i="4"/>
  <c r="I67" i="4"/>
  <c r="I93" i="4"/>
  <c r="G93" i="4"/>
  <c r="H93" i="4"/>
  <c r="J93" i="4"/>
  <c r="J133" i="4"/>
  <c r="H133" i="4"/>
  <c r="I133" i="4"/>
  <c r="G133" i="4"/>
  <c r="H44" i="4"/>
  <c r="J44" i="4"/>
  <c r="I44" i="4"/>
  <c r="G44" i="4"/>
  <c r="J91" i="4"/>
  <c r="G91" i="4"/>
  <c r="H91" i="4"/>
  <c r="I91" i="4"/>
  <c r="G16" i="4"/>
  <c r="H16" i="4"/>
  <c r="J16" i="4"/>
  <c r="I16" i="4"/>
  <c r="J72" i="4"/>
  <c r="I72" i="4"/>
  <c r="G72" i="4"/>
  <c r="H72" i="4"/>
  <c r="H37" i="4"/>
  <c r="J37" i="4"/>
  <c r="G37" i="4"/>
  <c r="I37" i="4"/>
  <c r="H79" i="4"/>
  <c r="J79" i="4"/>
  <c r="G79" i="4"/>
  <c r="I79" i="4"/>
  <c r="H15" i="4"/>
  <c r="G15" i="4"/>
  <c r="J15" i="4"/>
  <c r="I15" i="4"/>
  <c r="J84" i="4"/>
  <c r="G84" i="4"/>
  <c r="I84" i="4"/>
  <c r="H84" i="4"/>
  <c r="H11" i="4"/>
  <c r="I11" i="4"/>
  <c r="J11" i="4"/>
  <c r="G11" i="4"/>
  <c r="G101" i="4"/>
  <c r="H101" i="4"/>
  <c r="I101" i="4"/>
  <c r="J101" i="4"/>
  <c r="G111" i="4"/>
  <c r="J111" i="4"/>
  <c r="H111" i="4"/>
  <c r="I111" i="4"/>
  <c r="I95" i="4"/>
  <c r="J95" i="4"/>
  <c r="G95" i="4"/>
  <c r="H95" i="4"/>
  <c r="J121" i="4"/>
  <c r="I121" i="4"/>
  <c r="H121" i="4"/>
  <c r="G121" i="4"/>
  <c r="G122" i="4"/>
  <c r="I122" i="4"/>
  <c r="H122" i="4"/>
  <c r="J122" i="4"/>
  <c r="H134" i="4"/>
  <c r="I134" i="4"/>
  <c r="G134" i="4"/>
  <c r="J134" i="4"/>
  <c r="G131" i="4"/>
  <c r="H131" i="4"/>
  <c r="J131" i="4"/>
  <c r="I131" i="4"/>
  <c r="H5" i="4"/>
  <c r="I5" i="4"/>
  <c r="G5" i="4"/>
  <c r="J5" i="4"/>
  <c r="G71" i="4"/>
  <c r="H71" i="4"/>
  <c r="J71" i="4"/>
  <c r="I71" i="4"/>
  <c r="J40" i="4"/>
  <c r="I40" i="4"/>
  <c r="G40" i="4"/>
  <c r="H40" i="4"/>
  <c r="J46" i="4"/>
  <c r="H46" i="4"/>
  <c r="G46" i="4"/>
  <c r="I46" i="4"/>
  <c r="H32" i="4"/>
  <c r="J32" i="4"/>
  <c r="I32" i="4"/>
  <c r="G32" i="4"/>
  <c r="J129" i="4"/>
  <c r="I129" i="4"/>
  <c r="H129" i="4"/>
  <c r="G129" i="4"/>
  <c r="G128" i="4"/>
  <c r="H128" i="4"/>
  <c r="J128" i="4"/>
  <c r="I128" i="4"/>
  <c r="H63" i="4"/>
  <c r="I63" i="4"/>
  <c r="J63" i="4"/>
  <c r="G63" i="4"/>
  <c r="H12" i="4"/>
  <c r="J12" i="4"/>
  <c r="I12" i="4"/>
  <c r="G12" i="4"/>
  <c r="G99" i="4"/>
  <c r="H99" i="4"/>
  <c r="J99" i="4"/>
  <c r="I99" i="4"/>
  <c r="G3" i="4"/>
  <c r="H3" i="4"/>
  <c r="J3" i="4"/>
  <c r="I3" i="4"/>
  <c r="J74" i="4"/>
  <c r="H74" i="4"/>
  <c r="G74" i="4"/>
  <c r="I74" i="4"/>
  <c r="J77" i="4"/>
  <c r="H77" i="4"/>
  <c r="G77" i="4"/>
  <c r="I77" i="4"/>
  <c r="H34" i="4"/>
  <c r="J34" i="4"/>
  <c r="G34" i="4"/>
  <c r="I34" i="4"/>
  <c r="I92" i="4"/>
  <c r="H92" i="4"/>
  <c r="J92" i="4"/>
  <c r="G92" i="4"/>
  <c r="G115" i="4"/>
  <c r="I115" i="4"/>
  <c r="J115" i="4"/>
  <c r="H115" i="4"/>
  <c r="J29" i="4"/>
  <c r="I29" i="4"/>
  <c r="H29" i="4"/>
  <c r="G29" i="4"/>
  <c r="H66" i="4"/>
  <c r="J66" i="4"/>
  <c r="G66" i="4"/>
  <c r="I66" i="4"/>
  <c r="H114" i="4"/>
  <c r="G114" i="4"/>
  <c r="I114" i="4"/>
  <c r="J114" i="4"/>
  <c r="J135" i="4"/>
  <c r="G135" i="4"/>
  <c r="H135" i="4"/>
  <c r="I135" i="4"/>
  <c r="I60" i="4"/>
  <c r="H60" i="4"/>
  <c r="G60" i="4"/>
  <c r="J60" i="4"/>
  <c r="H120" i="4"/>
  <c r="I120" i="4"/>
  <c r="G120" i="4"/>
  <c r="J120" i="4"/>
  <c r="G50" i="4"/>
  <c r="I50" i="4"/>
  <c r="H50" i="4"/>
  <c r="J50" i="4"/>
  <c r="J17" i="4"/>
  <c r="H17" i="4"/>
  <c r="G17" i="4"/>
  <c r="I17" i="4"/>
  <c r="J55" i="4"/>
  <c r="G55" i="4"/>
  <c r="I55" i="4"/>
  <c r="H55" i="4"/>
  <c r="H140" i="4"/>
  <c r="J140" i="4"/>
  <c r="I140" i="4"/>
  <c r="G140" i="4"/>
  <c r="G33" i="4"/>
  <c r="I33" i="4"/>
  <c r="H33" i="4"/>
  <c r="J33" i="4"/>
  <c r="G125" i="4"/>
  <c r="I125" i="4"/>
  <c r="H125" i="4"/>
  <c r="J125" i="4"/>
  <c r="I38" i="4"/>
  <c r="H38" i="4"/>
  <c r="J38" i="4"/>
  <c r="G38" i="4"/>
  <c r="I31" i="4"/>
  <c r="J31" i="4"/>
  <c r="H31" i="4"/>
  <c r="G31" i="4"/>
  <c r="H75" i="4"/>
  <c r="I75" i="4"/>
  <c r="J75" i="4"/>
  <c r="G75" i="4"/>
  <c r="J104" i="4"/>
  <c r="I104" i="4"/>
  <c r="G104" i="4"/>
  <c r="H104" i="4"/>
  <c r="I88" i="4"/>
  <c r="H88" i="4"/>
  <c r="J88" i="4"/>
  <c r="G88" i="4"/>
  <c r="I80" i="4"/>
  <c r="H80" i="4"/>
  <c r="J80" i="4"/>
  <c r="G80" i="4"/>
  <c r="J28" i="4"/>
  <c r="H28" i="4"/>
  <c r="G28" i="4"/>
  <c r="I28" i="4"/>
  <c r="H107" i="4"/>
  <c r="I107" i="4"/>
  <c r="J107" i="4"/>
  <c r="G107" i="4"/>
  <c r="H82" i="4"/>
  <c r="G82" i="4"/>
  <c r="I82" i="4"/>
  <c r="J82" i="4"/>
  <c r="H96" i="4"/>
  <c r="G96" i="4"/>
  <c r="J96" i="4"/>
  <c r="I96" i="4"/>
  <c r="G76" i="4"/>
  <c r="H76" i="4"/>
  <c r="I76" i="4"/>
  <c r="J76" i="4"/>
  <c r="J69" i="4"/>
  <c r="G69" i="4"/>
  <c r="I69" i="4"/>
  <c r="H69" i="4"/>
  <c r="H26" i="4"/>
  <c r="J26" i="4"/>
  <c r="I26" i="4"/>
  <c r="G26" i="4"/>
  <c r="G68" i="4"/>
  <c r="I68" i="4"/>
  <c r="J68" i="4"/>
  <c r="H68" i="4"/>
  <c r="G64" i="4"/>
  <c r="H64" i="4"/>
  <c r="I64" i="4"/>
  <c r="J64" i="4"/>
  <c r="H139" i="4"/>
  <c r="I139" i="4"/>
  <c r="J139" i="4"/>
  <c r="G139" i="4"/>
  <c r="H70" i="4"/>
  <c r="I70" i="4"/>
  <c r="J70" i="4"/>
  <c r="G70" i="4"/>
  <c r="H73" i="4"/>
  <c r="I73" i="4"/>
  <c r="J73" i="4"/>
  <c r="G73" i="4"/>
  <c r="H24" i="4"/>
  <c r="J24" i="4"/>
  <c r="I24" i="4"/>
  <c r="G24" i="4"/>
  <c r="G65" i="4"/>
  <c r="H65" i="4"/>
  <c r="J65" i="4"/>
  <c r="I65" i="4"/>
  <c r="G113" i="4"/>
  <c r="J113" i="4"/>
  <c r="H113" i="4"/>
  <c r="I113" i="4"/>
  <c r="H2" i="4"/>
  <c r="H54" i="4"/>
  <c r="J54" i="4"/>
  <c r="G54" i="4"/>
  <c r="I54" i="4"/>
  <c r="J100" i="4"/>
  <c r="G100" i="4"/>
  <c r="I100" i="4"/>
  <c r="H100" i="4"/>
  <c r="H127" i="4"/>
  <c r="I127" i="4"/>
  <c r="J127" i="4"/>
  <c r="G127" i="4"/>
  <c r="G58" i="4"/>
  <c r="I58" i="4"/>
  <c r="H58" i="4"/>
  <c r="J58" i="4"/>
  <c r="I112" i="4"/>
  <c r="G112" i="4"/>
  <c r="H112" i="4"/>
  <c r="J112" i="4"/>
  <c r="J41" i="4"/>
  <c r="I41" i="4"/>
  <c r="H41" i="4"/>
  <c r="G41" i="4"/>
  <c r="H6" i="4"/>
  <c r="J6" i="4"/>
  <c r="I6" i="4"/>
  <c r="G6" i="4"/>
  <c r="J47" i="4"/>
  <c r="H47" i="4"/>
  <c r="G47" i="4"/>
  <c r="I47" i="4"/>
  <c r="H36" i="4"/>
  <c r="J36" i="4"/>
  <c r="G36" i="4"/>
  <c r="I36" i="4"/>
  <c r="J132" i="4"/>
  <c r="G132" i="4"/>
  <c r="I132" i="4"/>
  <c r="H132" i="4"/>
  <c r="H22" i="4"/>
  <c r="J22" i="4"/>
  <c r="I22" i="4"/>
  <c r="G22" i="4"/>
  <c r="I19" i="4"/>
  <c r="J19" i="4"/>
  <c r="G19" i="4"/>
  <c r="H19" i="4"/>
  <c r="G35" i="4"/>
  <c r="H35" i="4"/>
  <c r="J35" i="4"/>
  <c r="I35" i="4"/>
  <c r="I86" i="4"/>
  <c r="G86" i="4"/>
  <c r="J86" i="4"/>
  <c r="H86" i="4"/>
  <c r="G62" i="4"/>
  <c r="H62" i="4"/>
  <c r="I62" i="4"/>
  <c r="J62" i="4"/>
  <c r="J45" i="4"/>
  <c r="I45" i="4"/>
  <c r="H45" i="4"/>
  <c r="G45" i="4"/>
  <c r="J10" i="4"/>
  <c r="I10" i="4"/>
  <c r="H10" i="4"/>
  <c r="G10" i="4"/>
  <c r="J61" i="4"/>
  <c r="G61" i="4"/>
  <c r="I61" i="4"/>
  <c r="H61" i="4"/>
  <c r="G7" i="4"/>
  <c r="J7" i="4"/>
  <c r="I7" i="4"/>
  <c r="H7" i="4"/>
  <c r="G21" i="4"/>
  <c r="H21" i="4"/>
  <c r="J21" i="4"/>
  <c r="I21" i="4"/>
  <c r="I81" i="4"/>
  <c r="H81" i="4"/>
  <c r="G81" i="4"/>
  <c r="J81" i="4"/>
  <c r="I130" i="4"/>
  <c r="H130" i="4"/>
  <c r="J130" i="4"/>
  <c r="G130" i="4"/>
  <c r="H4" i="4"/>
  <c r="G4" i="4"/>
  <c r="I4" i="4"/>
  <c r="J4" i="4"/>
  <c r="J52" i="4"/>
  <c r="G52" i="4"/>
  <c r="H52" i="4"/>
  <c r="I52" i="4"/>
  <c r="G18" i="4"/>
  <c r="J18" i="4"/>
  <c r="I18" i="4"/>
  <c r="H18" i="4"/>
  <c r="I48" i="4"/>
  <c r="G48" i="4"/>
  <c r="H48" i="4"/>
  <c r="J48" i="4"/>
  <c r="J136" i="4"/>
  <c r="I136" i="4"/>
  <c r="H136" i="4"/>
  <c r="G136" i="4"/>
  <c r="H43" i="4"/>
  <c r="I43" i="4"/>
  <c r="J43" i="4"/>
  <c r="G43" i="4"/>
  <c r="J42" i="4"/>
  <c r="H42" i="4"/>
  <c r="G42" i="4"/>
  <c r="I42" i="4"/>
  <c r="H20" i="4"/>
  <c r="G20" i="4"/>
  <c r="J20" i="4"/>
  <c r="I20" i="4"/>
  <c r="J57" i="4"/>
  <c r="H57" i="4"/>
  <c r="I57" i="4"/>
  <c r="G57" i="4"/>
  <c r="J106" i="4"/>
  <c r="I106" i="4"/>
  <c r="H106" i="4"/>
  <c r="G106" i="4"/>
  <c r="J137" i="4"/>
  <c r="H137" i="4"/>
  <c r="G137" i="4"/>
  <c r="I137" i="4"/>
  <c r="J25" i="4"/>
  <c r="G25" i="4"/>
  <c r="I25" i="4"/>
  <c r="H25" i="4"/>
  <c r="J90" i="4"/>
  <c r="G90" i="4"/>
  <c r="I90" i="4"/>
  <c r="H90" i="4"/>
  <c r="G119" i="4"/>
  <c r="H119" i="4"/>
  <c r="I119" i="4"/>
  <c r="J119" i="4"/>
  <c r="I49" i="4"/>
  <c r="H49" i="4"/>
  <c r="G49" i="4"/>
  <c r="J49" i="4"/>
  <c r="I105" i="4"/>
  <c r="J105" i="4"/>
  <c r="G105" i="4"/>
  <c r="H105" i="4"/>
  <c r="H30" i="4"/>
  <c r="I30" i="4"/>
  <c r="G30" i="4"/>
  <c r="J30" i="4"/>
  <c r="H103" i="4"/>
  <c r="J103" i="4"/>
  <c r="I103" i="4"/>
  <c r="G103" i="4"/>
  <c r="J39" i="4"/>
  <c r="I39" i="4"/>
  <c r="G39" i="4"/>
  <c r="H39" i="4"/>
  <c r="I186" i="3"/>
  <c r="I189" i="3"/>
  <c r="I188" i="3"/>
  <c r="I187" i="3"/>
  <c r="I185" i="3"/>
  <c r="B185" i="3"/>
  <c r="B186" i="3"/>
  <c r="B187" i="3"/>
  <c r="B189" i="3"/>
  <c r="B188" i="3"/>
  <c r="AE152" i="4" l="1"/>
  <c r="AE166" i="4"/>
  <c r="AE164" i="4"/>
  <c r="AE165" i="4"/>
  <c r="AE171" i="4"/>
  <c r="AE182" i="4"/>
  <c r="AE156" i="4"/>
  <c r="AE143" i="4"/>
  <c r="AE160" i="4"/>
  <c r="AE169" i="4"/>
  <c r="AE158" i="4"/>
  <c r="AE183" i="4"/>
  <c r="AE155" i="4"/>
  <c r="AE153" i="4"/>
  <c r="AE163" i="4"/>
  <c r="AE181" i="4"/>
  <c r="AE175" i="4"/>
  <c r="AE167" i="4"/>
  <c r="AE145" i="4"/>
  <c r="AE112" i="4"/>
  <c r="AE101" i="4"/>
  <c r="AE124" i="4"/>
  <c r="AE127" i="4"/>
  <c r="AE88" i="4"/>
  <c r="AE95" i="4"/>
  <c r="AE128" i="4"/>
  <c r="AE69" i="4"/>
  <c r="AE83" i="4"/>
  <c r="AE126" i="4"/>
  <c r="AE111" i="4"/>
  <c r="AE106" i="4"/>
  <c r="AE137" i="4"/>
  <c r="AE115" i="4"/>
  <c r="AE110" i="4"/>
  <c r="AE99" i="4"/>
  <c r="AE93" i="4"/>
  <c r="AE136" i="4"/>
  <c r="AE172" i="4"/>
  <c r="AE180" i="4"/>
  <c r="AE168" i="4"/>
  <c r="AE176" i="4"/>
  <c r="AE162" i="4"/>
  <c r="AE142" i="4"/>
  <c r="AE179" i="4"/>
  <c r="AE161" i="4"/>
  <c r="AE157" i="4"/>
  <c r="AE151" i="4"/>
  <c r="AE149" i="4"/>
  <c r="AE173" i="4"/>
  <c r="AE148" i="4"/>
  <c r="AE170" i="4"/>
  <c r="AE146" i="4"/>
  <c r="AE147" i="4"/>
  <c r="AE150" i="4"/>
  <c r="AE178" i="4"/>
  <c r="AE144" i="4"/>
  <c r="AE174" i="4"/>
  <c r="AE114" i="4"/>
  <c r="F193" i="5"/>
  <c r="F187" i="5" a="1"/>
  <c r="F187" i="5" s="1"/>
  <c r="F186" i="5" a="1"/>
  <c r="F186" i="5" s="1"/>
  <c r="F191" i="5" a="1"/>
  <c r="F191" i="5" s="1"/>
  <c r="F190" i="5" a="1"/>
  <c r="F190" i="5" s="1"/>
  <c r="F189" i="5" a="1"/>
  <c r="F189" i="5" s="1"/>
  <c r="F188" i="5" a="1"/>
  <c r="F188" i="5" s="1"/>
  <c r="AE177" i="4"/>
  <c r="L83" i="4"/>
  <c r="AE159" i="4"/>
  <c r="L178" i="4"/>
  <c r="L154" i="4"/>
  <c r="L170" i="4"/>
  <c r="L152" i="4"/>
  <c r="L155" i="4"/>
  <c r="L145" i="4"/>
  <c r="L168" i="4"/>
  <c r="L176" i="4"/>
  <c r="L158" i="4"/>
  <c r="L177" i="4"/>
  <c r="L162" i="4"/>
  <c r="L142" i="4"/>
  <c r="L156" i="4"/>
  <c r="L181" i="4"/>
  <c r="L147" i="4"/>
  <c r="L182" i="4"/>
  <c r="L150" i="4"/>
  <c r="L149" i="4"/>
  <c r="L161" i="4"/>
  <c r="L166" i="4"/>
  <c r="L160" i="4"/>
  <c r="L148" i="4"/>
  <c r="L179" i="4"/>
  <c r="L153" i="4"/>
  <c r="L180" i="4"/>
  <c r="L157" i="4"/>
  <c r="L172" i="4"/>
  <c r="L144" i="4"/>
  <c r="L169" i="4"/>
  <c r="L146" i="4"/>
  <c r="L159" i="4"/>
  <c r="L171" i="4"/>
  <c r="L175" i="4"/>
  <c r="L163" i="4"/>
  <c r="L164" i="4"/>
  <c r="L173" i="4"/>
  <c r="L174" i="4"/>
  <c r="L167" i="4"/>
  <c r="L143" i="4"/>
  <c r="L165" i="4"/>
  <c r="L151" i="4"/>
  <c r="L183" i="4"/>
  <c r="D143" i="3"/>
  <c r="D151" i="3"/>
  <c r="D159" i="3"/>
  <c r="D167" i="3"/>
  <c r="D175" i="3"/>
  <c r="D183" i="3"/>
  <c r="D142" i="3"/>
  <c r="D163" i="3"/>
  <c r="D148" i="3"/>
  <c r="D156" i="3"/>
  <c r="D164" i="3"/>
  <c r="D172" i="3"/>
  <c r="D180" i="3"/>
  <c r="D174" i="3"/>
  <c r="D147" i="3"/>
  <c r="D179" i="3"/>
  <c r="D145" i="3"/>
  <c r="D153" i="3"/>
  <c r="D161" i="3"/>
  <c r="D169" i="3"/>
  <c r="D177" i="3"/>
  <c r="D150" i="3"/>
  <c r="D158" i="3"/>
  <c r="D166" i="3"/>
  <c r="D182" i="3"/>
  <c r="D155" i="3"/>
  <c r="D171" i="3"/>
  <c r="D144" i="3"/>
  <c r="D152" i="3"/>
  <c r="D160" i="3"/>
  <c r="D168" i="3"/>
  <c r="D176" i="3"/>
  <c r="D149" i="3"/>
  <c r="D157" i="3"/>
  <c r="D165" i="3"/>
  <c r="D173" i="3"/>
  <c r="D181" i="3"/>
  <c r="D146" i="3"/>
  <c r="D154" i="3"/>
  <c r="D162" i="3"/>
  <c r="D170" i="3"/>
  <c r="D178" i="3"/>
  <c r="C148" i="3"/>
  <c r="C156" i="3"/>
  <c r="C164" i="3"/>
  <c r="C172" i="3"/>
  <c r="C180" i="3"/>
  <c r="C171" i="3"/>
  <c r="C152" i="3"/>
  <c r="C160" i="3"/>
  <c r="C168" i="3"/>
  <c r="C176" i="3"/>
  <c r="C145" i="3"/>
  <c r="C153" i="3"/>
  <c r="C161" i="3"/>
  <c r="C169" i="3"/>
  <c r="C177" i="3"/>
  <c r="C155" i="3"/>
  <c r="C144" i="3"/>
  <c r="C142" i="3"/>
  <c r="C150" i="3"/>
  <c r="C158" i="3"/>
  <c r="C166" i="3"/>
  <c r="C174" i="3"/>
  <c r="C182" i="3"/>
  <c r="C147" i="3"/>
  <c r="C163" i="3"/>
  <c r="C179" i="3"/>
  <c r="C149" i="3"/>
  <c r="C157" i="3"/>
  <c r="C165" i="3"/>
  <c r="C173" i="3"/>
  <c r="C181" i="3"/>
  <c r="C146" i="3"/>
  <c r="C154" i="3"/>
  <c r="C162" i="3"/>
  <c r="C170" i="3"/>
  <c r="C178" i="3"/>
  <c r="C143" i="3"/>
  <c r="C151" i="3"/>
  <c r="C159" i="3"/>
  <c r="C167" i="3"/>
  <c r="C175" i="3"/>
  <c r="C183" i="3"/>
  <c r="L135" i="4"/>
  <c r="L106" i="4"/>
  <c r="L59" i="4"/>
  <c r="AE78" i="4"/>
  <c r="L130" i="4"/>
  <c r="L98" i="4"/>
  <c r="L68" i="4"/>
  <c r="L94" i="4"/>
  <c r="L15" i="4"/>
  <c r="L112" i="4"/>
  <c r="AE98" i="4"/>
  <c r="L134" i="4"/>
  <c r="L84" i="4"/>
  <c r="L20" i="4"/>
  <c r="L75" i="4"/>
  <c r="L124" i="4"/>
  <c r="L81" i="4"/>
  <c r="L82" i="4"/>
  <c r="L86" i="4"/>
  <c r="L67" i="4"/>
  <c r="L9" i="4"/>
  <c r="L131" i="4"/>
  <c r="L117" i="4"/>
  <c r="L14" i="4"/>
  <c r="L27" i="4"/>
  <c r="L47" i="4"/>
  <c r="AE87" i="4"/>
  <c r="AE138" i="4"/>
  <c r="AE86" i="4"/>
  <c r="AE141" i="4"/>
  <c r="AE97" i="4"/>
  <c r="AE120" i="4"/>
  <c r="AE103" i="4"/>
  <c r="AE134" i="4"/>
  <c r="AE123" i="4"/>
  <c r="AE121" i="4"/>
  <c r="AE135" i="4"/>
  <c r="AE108" i="4"/>
  <c r="AE119" i="4"/>
  <c r="AE102" i="4"/>
  <c r="AE90" i="4"/>
  <c r="AE117" i="4"/>
  <c r="AE75" i="4"/>
  <c r="AE84" i="4"/>
  <c r="AE80" i="4"/>
  <c r="AE55" i="4"/>
  <c r="AE71" i="4"/>
  <c r="AE33" i="4"/>
  <c r="AE65" i="4"/>
  <c r="AE62" i="4"/>
  <c r="AE63" i="4"/>
  <c r="AE47" i="4"/>
  <c r="AE118" i="4"/>
  <c r="AE44" i="4"/>
  <c r="AE50" i="4"/>
  <c r="AE48" i="4"/>
  <c r="AE140" i="4"/>
  <c r="AE12" i="4"/>
  <c r="AE43" i="4"/>
  <c r="AE109" i="4"/>
  <c r="AE28" i="4"/>
  <c r="AE13" i="4"/>
  <c r="AE8" i="4"/>
  <c r="AE81" i="4"/>
  <c r="AE20" i="4"/>
  <c r="AE5" i="4"/>
  <c r="AE56" i="4"/>
  <c r="AE79" i="4"/>
  <c r="AE24" i="4"/>
  <c r="AE3" i="4"/>
  <c r="AE77" i="4"/>
  <c r="AE37" i="4"/>
  <c r="AE25" i="4"/>
  <c r="AE89" i="4"/>
  <c r="AE92" i="4"/>
  <c r="AE129" i="4"/>
  <c r="AE122" i="4"/>
  <c r="AE41" i="4"/>
  <c r="AE45" i="4"/>
  <c r="AE30" i="4"/>
  <c r="AE70" i="4"/>
  <c r="AE113" i="4"/>
  <c r="AE132" i="4"/>
  <c r="AE54" i="4"/>
  <c r="AE11" i="4"/>
  <c r="AE19" i="4"/>
  <c r="AE40" i="4"/>
  <c r="AE2" i="4"/>
  <c r="AE18" i="4"/>
  <c r="L41" i="4"/>
  <c r="L95" i="4"/>
  <c r="L60" i="4"/>
  <c r="L77" i="4"/>
  <c r="L61" i="4"/>
  <c r="L66" i="4"/>
  <c r="L4" i="4"/>
  <c r="L132" i="4"/>
  <c r="L103" i="4"/>
  <c r="L126" i="4"/>
  <c r="L71" i="4"/>
  <c r="L90" i="4"/>
  <c r="L129" i="4"/>
  <c r="L12" i="4"/>
  <c r="L87" i="4"/>
  <c r="L39" i="4"/>
  <c r="L38" i="4"/>
  <c r="L58" i="4"/>
  <c r="L54" i="4"/>
  <c r="L65" i="4"/>
  <c r="L105" i="4"/>
  <c r="L107" i="4"/>
  <c r="L63" i="4"/>
  <c r="AE7" i="4"/>
  <c r="AE17" i="4"/>
  <c r="AE49" i="4"/>
  <c r="AE14" i="4"/>
  <c r="AE15" i="4"/>
  <c r="AE38" i="4"/>
  <c r="AE22" i="4"/>
  <c r="AE26" i="4"/>
  <c r="AE85" i="4"/>
  <c r="AE72" i="4"/>
  <c r="AE82" i="4"/>
  <c r="AE133" i="4"/>
  <c r="AE36" i="4"/>
  <c r="AE42" i="4"/>
  <c r="AE64" i="4"/>
  <c r="AE116" i="4"/>
  <c r="AE139" i="4"/>
  <c r="AE67" i="4"/>
  <c r="AE76" i="4"/>
  <c r="AE27" i="4"/>
  <c r="AE53" i="4"/>
  <c r="AE4" i="4"/>
  <c r="AE105" i="4"/>
  <c r="AE125" i="4"/>
  <c r="AE60" i="4"/>
  <c r="AE39" i="4"/>
  <c r="AE57" i="4"/>
  <c r="AE94" i="4"/>
  <c r="AE6" i="4"/>
  <c r="AE23" i="4"/>
  <c r="AE61" i="4"/>
  <c r="AE104" i="4"/>
  <c r="AE29" i="4"/>
  <c r="AE34" i="4"/>
  <c r="AE91" i="4"/>
  <c r="AE52" i="4"/>
  <c r="AE21" i="4"/>
  <c r="AE131" i="4"/>
  <c r="AE16" i="4"/>
  <c r="AE68" i="4"/>
  <c r="AE32" i="4"/>
  <c r="AE66" i="4"/>
  <c r="AE96" i="4"/>
  <c r="AE9" i="4"/>
  <c r="AE73" i="4"/>
  <c r="AE31" i="4"/>
  <c r="AE46" i="4"/>
  <c r="AE51" i="4"/>
  <c r="AE59" i="4"/>
  <c r="AE107" i="4"/>
  <c r="AE35" i="4"/>
  <c r="AE130" i="4"/>
  <c r="AE100" i="4"/>
  <c r="AE10" i="4"/>
  <c r="AE74" i="4"/>
  <c r="AE58" i="4"/>
  <c r="L2" i="4"/>
  <c r="L40" i="4"/>
  <c r="L53" i="4"/>
  <c r="L115" i="4"/>
  <c r="L57" i="4"/>
  <c r="L45" i="4"/>
  <c r="L37" i="4"/>
  <c r="L29" i="4"/>
  <c r="L96" i="4"/>
  <c r="L26" i="4"/>
  <c r="L33" i="4"/>
  <c r="L111" i="4"/>
  <c r="L101" i="4"/>
  <c r="L55" i="4"/>
  <c r="L128" i="4"/>
  <c r="L108" i="4"/>
  <c r="L10" i="4"/>
  <c r="L139" i="4"/>
  <c r="L102" i="4"/>
  <c r="L32" i="4"/>
  <c r="L43" i="4"/>
  <c r="L104" i="4"/>
  <c r="L109" i="4"/>
  <c r="L51" i="4"/>
  <c r="L64" i="4"/>
  <c r="L44" i="4"/>
  <c r="L21" i="4"/>
  <c r="L91" i="4"/>
  <c r="L42" i="4"/>
  <c r="L49" i="4"/>
  <c r="L113" i="4"/>
  <c r="L36" i="4"/>
  <c r="L100" i="4"/>
  <c r="L7" i="4"/>
  <c r="L110" i="4"/>
  <c r="L23" i="4"/>
  <c r="L78" i="4"/>
  <c r="L118" i="4"/>
  <c r="L121" i="4"/>
  <c r="L123" i="4"/>
  <c r="L18" i="4"/>
  <c r="L85" i="4"/>
  <c r="L93" i="4"/>
  <c r="L8" i="4"/>
  <c r="L97" i="4"/>
  <c r="L56" i="4"/>
  <c r="L31" i="4"/>
  <c r="L76" i="4"/>
  <c r="L24" i="4"/>
  <c r="L28" i="4"/>
  <c r="L133" i="4"/>
  <c r="L92" i="4"/>
  <c r="L17" i="4"/>
  <c r="L5" i="4"/>
  <c r="L89" i="4"/>
  <c r="L48" i="4"/>
  <c r="L72" i="4"/>
  <c r="L25" i="4"/>
  <c r="L3" i="4"/>
  <c r="L127" i="4"/>
  <c r="L140" i="4"/>
  <c r="L88" i="4"/>
  <c r="L13" i="4"/>
  <c r="L62" i="4"/>
  <c r="L46" i="4"/>
  <c r="L114" i="4"/>
  <c r="L6" i="4"/>
  <c r="L138" i="4"/>
  <c r="L141" i="4"/>
  <c r="L136" i="4"/>
  <c r="L69" i="4"/>
  <c r="L116" i="4"/>
  <c r="L16" i="4"/>
  <c r="L125" i="4"/>
  <c r="L34" i="4"/>
  <c r="L119" i="4"/>
  <c r="L79" i="4"/>
  <c r="L137" i="4"/>
  <c r="L122" i="4"/>
  <c r="L70" i="4"/>
  <c r="L11" i="4"/>
  <c r="L120" i="4"/>
  <c r="L19" i="4"/>
  <c r="L99" i="4"/>
  <c r="L22" i="4"/>
  <c r="L80" i="4"/>
  <c r="L30" i="4"/>
  <c r="L35" i="4"/>
  <c r="L50" i="4"/>
  <c r="L73" i="4"/>
  <c r="L74" i="4"/>
  <c r="L52" i="4"/>
  <c r="D134" i="3"/>
  <c r="D72" i="3"/>
  <c r="D20" i="3"/>
  <c r="D27" i="3"/>
  <c r="D115" i="3"/>
  <c r="D67" i="3"/>
  <c r="D138" i="3"/>
  <c r="D50" i="3"/>
  <c r="D98" i="3"/>
  <c r="D140" i="3"/>
  <c r="D69" i="3"/>
  <c r="D21" i="3"/>
  <c r="D26" i="3"/>
  <c r="D64" i="3"/>
  <c r="D36" i="3"/>
  <c r="D59" i="3"/>
  <c r="D135" i="3"/>
  <c r="D7" i="3"/>
  <c r="D114" i="3"/>
  <c r="D58" i="3"/>
  <c r="D83" i="3"/>
  <c r="D62" i="3"/>
  <c r="D28" i="3"/>
  <c r="D70" i="3"/>
  <c r="D22" i="3"/>
  <c r="D73" i="3"/>
  <c r="D40" i="3"/>
  <c r="D131" i="3"/>
  <c r="D113" i="3"/>
  <c r="D94" i="3"/>
  <c r="D42" i="3"/>
  <c r="D118" i="3"/>
  <c r="D106" i="3"/>
  <c r="D99" i="3"/>
  <c r="D37" i="3"/>
  <c r="D77" i="3"/>
  <c r="D119" i="3"/>
  <c r="D133" i="3"/>
  <c r="D18" i="3"/>
  <c r="D2" i="3"/>
  <c r="D49" i="3"/>
  <c r="D95" i="3"/>
  <c r="D61" i="3"/>
  <c r="D35" i="3"/>
  <c r="D54" i="3"/>
  <c r="D39" i="3"/>
  <c r="D100" i="3"/>
  <c r="D23" i="3"/>
  <c r="D74" i="3"/>
  <c r="D41" i="3"/>
  <c r="D136" i="3"/>
  <c r="D97" i="3"/>
  <c r="D139" i="3"/>
  <c r="D137" i="3"/>
  <c r="D6" i="3"/>
  <c r="D93" i="3"/>
  <c r="D60" i="3"/>
  <c r="D33" i="3"/>
  <c r="D85" i="3"/>
  <c r="D44" i="3"/>
  <c r="D45" i="3"/>
  <c r="D30" i="3"/>
  <c r="D79" i="3"/>
  <c r="D103" i="3"/>
  <c r="D78" i="3"/>
  <c r="D109" i="3"/>
  <c r="D63" i="3"/>
  <c r="D91" i="3"/>
  <c r="D126" i="3"/>
  <c r="D105" i="3"/>
  <c r="D38" i="3"/>
  <c r="D141" i="3"/>
  <c r="D102" i="3"/>
  <c r="D122" i="3"/>
  <c r="D88" i="3"/>
  <c r="D84" i="3"/>
  <c r="D16" i="3"/>
  <c r="D76" i="3"/>
  <c r="D123" i="3"/>
  <c r="D4" i="3"/>
  <c r="D82" i="3"/>
  <c r="D5" i="3"/>
  <c r="D3" i="3"/>
  <c r="D68" i="3"/>
  <c r="D132" i="3"/>
  <c r="D125" i="3"/>
  <c r="D127" i="3"/>
  <c r="D31" i="3"/>
  <c r="D51" i="3"/>
  <c r="D48" i="3"/>
  <c r="D87" i="3"/>
  <c r="D13" i="3"/>
  <c r="D57" i="3"/>
  <c r="D117" i="3"/>
  <c r="D108" i="3"/>
  <c r="D86" i="3"/>
  <c r="D80" i="3"/>
  <c r="D65" i="3"/>
  <c r="D124" i="3"/>
  <c r="D32" i="3"/>
  <c r="D71" i="3"/>
  <c r="D15" i="3"/>
  <c r="D11" i="3"/>
  <c r="D29" i="3"/>
  <c r="D121" i="3"/>
  <c r="D92" i="3"/>
  <c r="D24" i="3"/>
  <c r="D110" i="3"/>
  <c r="D116" i="3"/>
  <c r="D128" i="3"/>
  <c r="E186" i="3"/>
  <c r="E188" i="3"/>
  <c r="E187" i="3"/>
  <c r="E185" i="3"/>
  <c r="E189" i="3"/>
  <c r="D96" i="3"/>
  <c r="D130" i="3"/>
  <c r="D8" i="3"/>
  <c r="D52" i="3"/>
  <c r="C56" i="3"/>
  <c r="C120" i="3"/>
  <c r="C44" i="3"/>
  <c r="C25" i="3"/>
  <c r="C89" i="3"/>
  <c r="C43" i="3"/>
  <c r="C52" i="3"/>
  <c r="C87" i="3"/>
  <c r="C50" i="3"/>
  <c r="C114" i="3"/>
  <c r="C83" i="3"/>
  <c r="C132" i="3"/>
  <c r="C53" i="3"/>
  <c r="C117" i="3"/>
  <c r="C38" i="3"/>
  <c r="C102" i="3"/>
  <c r="C63" i="3"/>
  <c r="C138" i="3"/>
  <c r="C88" i="3"/>
  <c r="C57" i="3"/>
  <c r="C140" i="3"/>
  <c r="C19" i="3"/>
  <c r="C85" i="3"/>
  <c r="C134" i="3"/>
  <c r="C104" i="3"/>
  <c r="C64" i="3"/>
  <c r="C128" i="3"/>
  <c r="C76" i="3"/>
  <c r="C33" i="3"/>
  <c r="C97" i="3"/>
  <c r="C67" i="3"/>
  <c r="C68" i="3"/>
  <c r="C103" i="3"/>
  <c r="C58" i="3"/>
  <c r="C122" i="3"/>
  <c r="C99" i="3"/>
  <c r="C23" i="3"/>
  <c r="C61" i="3"/>
  <c r="C125" i="3"/>
  <c r="C46" i="3"/>
  <c r="C110" i="3"/>
  <c r="C79" i="3"/>
  <c r="C16" i="3"/>
  <c r="C11" i="3"/>
  <c r="C49" i="3"/>
  <c r="C115" i="3"/>
  <c r="C10" i="3"/>
  <c r="C12" i="3"/>
  <c r="C77" i="3"/>
  <c r="C62" i="3"/>
  <c r="C111" i="3"/>
  <c r="C51" i="3"/>
  <c r="C121" i="3"/>
  <c r="C18" i="3"/>
  <c r="C36" i="3"/>
  <c r="C70" i="3"/>
  <c r="C2" i="3"/>
  <c r="C8" i="3"/>
  <c r="C72" i="3"/>
  <c r="C136" i="3"/>
  <c r="C100" i="3"/>
  <c r="C41" i="3"/>
  <c r="C105" i="3"/>
  <c r="C91" i="3"/>
  <c r="C92" i="3"/>
  <c r="C119" i="3"/>
  <c r="C66" i="3"/>
  <c r="C130" i="3"/>
  <c r="C123" i="3"/>
  <c r="C5" i="3"/>
  <c r="C69" i="3"/>
  <c r="C133" i="3"/>
  <c r="C54" i="3"/>
  <c r="C118" i="3"/>
  <c r="C95" i="3"/>
  <c r="C80" i="3"/>
  <c r="C124" i="3"/>
  <c r="C113" i="3"/>
  <c r="C116" i="3"/>
  <c r="C74" i="3"/>
  <c r="C13" i="3"/>
  <c r="C141" i="3"/>
  <c r="C126" i="3"/>
  <c r="C24" i="3"/>
  <c r="C15" i="3"/>
  <c r="C139" i="3"/>
  <c r="C82" i="3"/>
  <c r="C21" i="3"/>
  <c r="C6" i="3"/>
  <c r="C127" i="3"/>
  <c r="C32" i="3"/>
  <c r="C96" i="3"/>
  <c r="C75" i="3"/>
  <c r="C135" i="3"/>
  <c r="C65" i="3"/>
  <c r="C129" i="3"/>
  <c r="C4" i="3"/>
  <c r="C31" i="3"/>
  <c r="C26" i="3"/>
  <c r="C90" i="3"/>
  <c r="C27" i="3"/>
  <c r="C60" i="3"/>
  <c r="C29" i="3"/>
  <c r="C93" i="3"/>
  <c r="C14" i="3"/>
  <c r="C78" i="3"/>
  <c r="C7" i="3"/>
  <c r="C40" i="3"/>
  <c r="C81" i="3"/>
  <c r="C42" i="3"/>
  <c r="C45" i="3"/>
  <c r="C47" i="3"/>
  <c r="C112" i="3"/>
  <c r="C3" i="3"/>
  <c r="C106" i="3"/>
  <c r="C35" i="3"/>
  <c r="C55" i="3"/>
  <c r="C71" i="3"/>
  <c r="C34" i="3"/>
  <c r="C39" i="3"/>
  <c r="C48" i="3"/>
  <c r="C137" i="3"/>
  <c r="C98" i="3"/>
  <c r="C101" i="3"/>
  <c r="C109" i="3"/>
  <c r="C107" i="3"/>
  <c r="C20" i="3"/>
  <c r="C22" i="3"/>
  <c r="C84" i="3"/>
  <c r="C17" i="3"/>
  <c r="C108" i="3"/>
  <c r="C131" i="3"/>
  <c r="C28" i="3"/>
  <c r="C59" i="3"/>
  <c r="C30" i="3"/>
  <c r="C9" i="3"/>
  <c r="C86" i="3"/>
  <c r="C94" i="3"/>
  <c r="C73" i="3"/>
  <c r="C37" i="3"/>
  <c r="D104" i="3"/>
  <c r="D19" i="3"/>
  <c r="D90" i="3"/>
  <c r="D43" i="3"/>
  <c r="D9" i="3"/>
  <c r="D17" i="3"/>
  <c r="D34" i="3"/>
  <c r="D10" i="3"/>
  <c r="D89" i="3"/>
  <c r="D56" i="3"/>
  <c r="D25" i="3"/>
  <c r="D111" i="3"/>
  <c r="D101" i="3"/>
  <c r="D14" i="3"/>
  <c r="D120" i="3"/>
  <c r="D47" i="3"/>
  <c r="D107" i="3"/>
  <c r="D112" i="3"/>
  <c r="D12" i="3"/>
  <c r="D66" i="3"/>
  <c r="D46" i="3"/>
  <c r="D129" i="3"/>
  <c r="D81" i="3"/>
  <c r="D75" i="3"/>
  <c r="D55" i="3"/>
  <c r="D53" i="3"/>
  <c r="G2" i="5" l="1"/>
  <c r="H2" i="5" s="1"/>
  <c r="F183" i="3"/>
  <c r="F165" i="3"/>
  <c r="F167" i="3"/>
  <c r="F169" i="3"/>
  <c r="F163" i="3"/>
  <c r="F179" i="3"/>
  <c r="F175" i="3"/>
  <c r="F181" i="3"/>
  <c r="F148" i="3"/>
  <c r="F171" i="3"/>
  <c r="F155" i="3"/>
  <c r="F145" i="3"/>
  <c r="F153" i="3"/>
  <c r="F162" i="3"/>
  <c r="F173" i="3"/>
  <c r="F182" i="3"/>
  <c r="F147" i="3"/>
  <c r="F156" i="3"/>
  <c r="F154" i="3"/>
  <c r="F170" i="3"/>
  <c r="F160" i="3"/>
  <c r="F144" i="3"/>
  <c r="F166" i="3"/>
  <c r="F149" i="3"/>
  <c r="F168" i="3"/>
  <c r="F93" i="3"/>
  <c r="F106" i="3"/>
  <c r="F101" i="3"/>
  <c r="F83" i="3"/>
  <c r="F176" i="3"/>
  <c r="F151" i="3"/>
  <c r="F157" i="3"/>
  <c r="F164" i="3"/>
  <c r="F180" i="3"/>
  <c r="F146" i="3"/>
  <c r="F143" i="3"/>
  <c r="F150" i="3"/>
  <c r="F142" i="3"/>
  <c r="F161" i="3"/>
  <c r="F158" i="3"/>
  <c r="F172" i="3"/>
  <c r="F152" i="3"/>
  <c r="F178" i="3"/>
  <c r="F174" i="3"/>
  <c r="F128" i="3"/>
  <c r="F114" i="3"/>
  <c r="F69" i="3"/>
  <c r="F126" i="3"/>
  <c r="F110" i="3"/>
  <c r="F115" i="3"/>
  <c r="F88" i="3"/>
  <c r="F124" i="3"/>
  <c r="F99" i="3"/>
  <c r="F137" i="3"/>
  <c r="F95" i="3"/>
  <c r="F127" i="3"/>
  <c r="F136" i="3"/>
  <c r="F111" i="3"/>
  <c r="F112" i="3"/>
  <c r="G88" i="5"/>
  <c r="H88" i="5" s="1"/>
  <c r="G138" i="5"/>
  <c r="H138" i="5" s="1"/>
  <c r="G142" i="5"/>
  <c r="H142" i="5" s="1"/>
  <c r="G144" i="5"/>
  <c r="H144" i="5" s="1"/>
  <c r="G146" i="5"/>
  <c r="H146" i="5" s="1"/>
  <c r="G148" i="5"/>
  <c r="H148" i="5" s="1"/>
  <c r="G150" i="5"/>
  <c r="H150" i="5" s="1"/>
  <c r="G152" i="5"/>
  <c r="H152" i="5" s="1"/>
  <c r="G154" i="5"/>
  <c r="H154" i="5" s="1"/>
  <c r="G156" i="5"/>
  <c r="H156" i="5" s="1"/>
  <c r="G158" i="5"/>
  <c r="H158" i="5" s="1"/>
  <c r="G139" i="5"/>
  <c r="H139" i="5" s="1"/>
  <c r="G145" i="5"/>
  <c r="H145" i="5" s="1"/>
  <c r="G149" i="5"/>
  <c r="H149" i="5" s="1"/>
  <c r="G153" i="5"/>
  <c r="H153" i="5" s="1"/>
  <c r="G157" i="5"/>
  <c r="H157" i="5" s="1"/>
  <c r="G95" i="5"/>
  <c r="H95" i="5" s="1"/>
  <c r="G101" i="5"/>
  <c r="H101" i="5" s="1"/>
  <c r="G128" i="5"/>
  <c r="H128" i="5" s="1"/>
  <c r="G137" i="5"/>
  <c r="H137" i="5" s="1"/>
  <c r="G143" i="5"/>
  <c r="H143" i="5" s="1"/>
  <c r="G147" i="5"/>
  <c r="H147" i="5" s="1"/>
  <c r="G151" i="5"/>
  <c r="H151" i="5" s="1"/>
  <c r="G155" i="5"/>
  <c r="H155" i="5" s="1"/>
  <c r="G159" i="5"/>
  <c r="H159" i="5" s="1"/>
  <c r="G36" i="5"/>
  <c r="H36" i="5" s="1"/>
  <c r="G52" i="5"/>
  <c r="H52" i="5" s="1"/>
  <c r="G65" i="5"/>
  <c r="H65" i="5" s="1"/>
  <c r="G67" i="5"/>
  <c r="H67" i="5" s="1"/>
  <c r="G70" i="5"/>
  <c r="H70" i="5" s="1"/>
  <c r="G74" i="5"/>
  <c r="H74" i="5" s="1"/>
  <c r="G83" i="5"/>
  <c r="H83" i="5" s="1"/>
  <c r="G92" i="5"/>
  <c r="H92" i="5" s="1"/>
  <c r="G94" i="5"/>
  <c r="H94" i="5" s="1"/>
  <c r="G97" i="5"/>
  <c r="H97" i="5" s="1"/>
  <c r="G99" i="5"/>
  <c r="H99" i="5" s="1"/>
  <c r="G104" i="5"/>
  <c r="H104" i="5" s="1"/>
  <c r="G106" i="5"/>
  <c r="H106" i="5" s="1"/>
  <c r="G109" i="5"/>
  <c r="H109" i="5" s="1"/>
  <c r="G111" i="5"/>
  <c r="H111" i="5" s="1"/>
  <c r="G113" i="5"/>
  <c r="H113" i="5" s="1"/>
  <c r="G115" i="5"/>
  <c r="H115" i="5" s="1"/>
  <c r="G124" i="5"/>
  <c r="H124" i="5" s="1"/>
  <c r="G127" i="5"/>
  <c r="H127" i="5" s="1"/>
  <c r="G130" i="5"/>
  <c r="H130" i="5" s="1"/>
  <c r="G132" i="5"/>
  <c r="H132" i="5" s="1"/>
  <c r="G134" i="5"/>
  <c r="H134" i="5" s="1"/>
  <c r="G136" i="5"/>
  <c r="H136" i="5" s="1"/>
  <c r="G160" i="5"/>
  <c r="H160" i="5" s="1"/>
  <c r="G162" i="5"/>
  <c r="H162" i="5" s="1"/>
  <c r="G164" i="5"/>
  <c r="H164" i="5" s="1"/>
  <c r="G166" i="5"/>
  <c r="H166" i="5" s="1"/>
  <c r="G168" i="5"/>
  <c r="H168" i="5" s="1"/>
  <c r="G170" i="5"/>
  <c r="H170" i="5" s="1"/>
  <c r="G172" i="5"/>
  <c r="H172" i="5" s="1"/>
  <c r="G174" i="5"/>
  <c r="H174" i="5" s="1"/>
  <c r="G176" i="5"/>
  <c r="H176" i="5" s="1"/>
  <c r="G178" i="5"/>
  <c r="H178" i="5" s="1"/>
  <c r="G180" i="5"/>
  <c r="H180" i="5" s="1"/>
  <c r="G182" i="5"/>
  <c r="H182" i="5" s="1"/>
  <c r="G51" i="5"/>
  <c r="H51" i="5" s="1"/>
  <c r="G66" i="5"/>
  <c r="H66" i="5" s="1"/>
  <c r="G72" i="5"/>
  <c r="H72" i="5" s="1"/>
  <c r="G84" i="5"/>
  <c r="H84" i="5" s="1"/>
  <c r="G93" i="5"/>
  <c r="H93" i="5" s="1"/>
  <c r="G98" i="5"/>
  <c r="H98" i="5" s="1"/>
  <c r="G105" i="5"/>
  <c r="H105" i="5" s="1"/>
  <c r="G110" i="5"/>
  <c r="H110" i="5" s="1"/>
  <c r="G114" i="5"/>
  <c r="H114" i="5" s="1"/>
  <c r="G126" i="5"/>
  <c r="H126" i="5" s="1"/>
  <c r="G131" i="5"/>
  <c r="H131" i="5" s="1"/>
  <c r="G135" i="5"/>
  <c r="H135" i="5" s="1"/>
  <c r="G161" i="5"/>
  <c r="H161" i="5" s="1"/>
  <c r="G165" i="5"/>
  <c r="H165" i="5" s="1"/>
  <c r="G169" i="5"/>
  <c r="H169" i="5" s="1"/>
  <c r="G173" i="5"/>
  <c r="H173" i="5" s="1"/>
  <c r="G177" i="5"/>
  <c r="H177" i="5" s="1"/>
  <c r="G181" i="5"/>
  <c r="H181" i="5" s="1"/>
  <c r="G63" i="5"/>
  <c r="H63" i="5" s="1"/>
  <c r="G69" i="5"/>
  <c r="H69" i="5" s="1"/>
  <c r="G82" i="5"/>
  <c r="H82" i="5" s="1"/>
  <c r="G89" i="5"/>
  <c r="H89" i="5" s="1"/>
  <c r="G107" i="5"/>
  <c r="H107" i="5" s="1"/>
  <c r="G112" i="5"/>
  <c r="H112" i="5" s="1"/>
  <c r="G116" i="5"/>
  <c r="H116" i="5" s="1"/>
  <c r="G133" i="5"/>
  <c r="H133" i="5" s="1"/>
  <c r="G163" i="5"/>
  <c r="H163" i="5" s="1"/>
  <c r="G167" i="5"/>
  <c r="H167" i="5" s="1"/>
  <c r="G171" i="5"/>
  <c r="H171" i="5" s="1"/>
  <c r="G175" i="5"/>
  <c r="H175" i="5" s="1"/>
  <c r="G179" i="5"/>
  <c r="H179" i="5" s="1"/>
  <c r="G183" i="5"/>
  <c r="H183" i="5" s="1"/>
  <c r="G122" i="5"/>
  <c r="H122" i="5" s="1"/>
  <c r="G120" i="5"/>
  <c r="H120" i="5" s="1"/>
  <c r="G129" i="5"/>
  <c r="H129" i="5" s="1"/>
  <c r="G71" i="5"/>
  <c r="H71" i="5" s="1"/>
  <c r="G100" i="5"/>
  <c r="H100" i="5" s="1"/>
  <c r="G140" i="5"/>
  <c r="H140" i="5" s="1"/>
  <c r="G13" i="5"/>
  <c r="H13" i="5" s="1"/>
  <c r="G141" i="5"/>
  <c r="H141" i="5" s="1"/>
  <c r="G78" i="5"/>
  <c r="H78" i="5" s="1"/>
  <c r="G10" i="5"/>
  <c r="H10" i="5" s="1"/>
  <c r="G18" i="5"/>
  <c r="H18" i="5" s="1"/>
  <c r="G26" i="5"/>
  <c r="H26" i="5" s="1"/>
  <c r="G34" i="5"/>
  <c r="H34" i="5" s="1"/>
  <c r="G42" i="5"/>
  <c r="H42" i="5" s="1"/>
  <c r="G50" i="5"/>
  <c r="H50" i="5" s="1"/>
  <c r="G58" i="5"/>
  <c r="H58" i="5" s="1"/>
  <c r="G90" i="5"/>
  <c r="H90" i="5" s="1"/>
  <c r="G21" i="5"/>
  <c r="H21" i="5" s="1"/>
  <c r="G45" i="5"/>
  <c r="H45" i="5" s="1"/>
  <c r="G77" i="5"/>
  <c r="H77" i="5" s="1"/>
  <c r="G125" i="5"/>
  <c r="H125" i="5" s="1"/>
  <c r="G22" i="5"/>
  <c r="H22" i="5" s="1"/>
  <c r="G38" i="5"/>
  <c r="H38" i="5" s="1"/>
  <c r="G54" i="5"/>
  <c r="H54" i="5" s="1"/>
  <c r="G86" i="5"/>
  <c r="H86" i="5" s="1"/>
  <c r="G15" i="5"/>
  <c r="H15" i="5" s="1"/>
  <c r="G39" i="5"/>
  <c r="H39" i="5" s="1"/>
  <c r="G79" i="5"/>
  <c r="H79" i="5" s="1"/>
  <c r="G103" i="5"/>
  <c r="H103" i="5" s="1"/>
  <c r="G8" i="5"/>
  <c r="H8" i="5" s="1"/>
  <c r="G32" i="5"/>
  <c r="H32" i="5" s="1"/>
  <c r="G56" i="5"/>
  <c r="H56" i="5" s="1"/>
  <c r="G17" i="5"/>
  <c r="H17" i="5" s="1"/>
  <c r="G41" i="5"/>
  <c r="H41" i="5" s="1"/>
  <c r="G57" i="5"/>
  <c r="H57" i="5" s="1"/>
  <c r="G3" i="5"/>
  <c r="H3" i="5" s="1"/>
  <c r="G11" i="5"/>
  <c r="H11" i="5" s="1"/>
  <c r="G19" i="5"/>
  <c r="H19" i="5" s="1"/>
  <c r="G27" i="5"/>
  <c r="H27" i="5" s="1"/>
  <c r="G35" i="5"/>
  <c r="H35" i="5" s="1"/>
  <c r="G43" i="5"/>
  <c r="H43" i="5" s="1"/>
  <c r="G59" i="5"/>
  <c r="H59" i="5" s="1"/>
  <c r="G75" i="5"/>
  <c r="H75" i="5" s="1"/>
  <c r="G91" i="5"/>
  <c r="H91" i="5" s="1"/>
  <c r="G123" i="5"/>
  <c r="H123" i="5" s="1"/>
  <c r="G5" i="5"/>
  <c r="H5" i="5" s="1"/>
  <c r="G37" i="5"/>
  <c r="H37" i="5" s="1"/>
  <c r="G61" i="5"/>
  <c r="H61" i="5" s="1"/>
  <c r="G117" i="5"/>
  <c r="H117" i="5" s="1"/>
  <c r="G14" i="5"/>
  <c r="H14" i="5" s="1"/>
  <c r="G30" i="5"/>
  <c r="H30" i="5" s="1"/>
  <c r="G62" i="5"/>
  <c r="H62" i="5" s="1"/>
  <c r="G102" i="5"/>
  <c r="H102" i="5" s="1"/>
  <c r="G23" i="5"/>
  <c r="H23" i="5" s="1"/>
  <c r="G47" i="5"/>
  <c r="H47" i="5" s="1"/>
  <c r="G16" i="5"/>
  <c r="H16" i="5" s="1"/>
  <c r="G48" i="5"/>
  <c r="H48" i="5" s="1"/>
  <c r="G64" i="5"/>
  <c r="H64" i="5" s="1"/>
  <c r="G96" i="5"/>
  <c r="H96" i="5" s="1"/>
  <c r="G25" i="5"/>
  <c r="H25" i="5" s="1"/>
  <c r="G49" i="5"/>
  <c r="H49" i="5" s="1"/>
  <c r="G73" i="5"/>
  <c r="H73" i="5" s="1"/>
  <c r="G121" i="5"/>
  <c r="H121" i="5" s="1"/>
  <c r="G4" i="5"/>
  <c r="H4" i="5" s="1"/>
  <c r="G12" i="5"/>
  <c r="H12" i="5" s="1"/>
  <c r="G20" i="5"/>
  <c r="H20" i="5" s="1"/>
  <c r="G28" i="5"/>
  <c r="H28" i="5" s="1"/>
  <c r="G44" i="5"/>
  <c r="H44" i="5" s="1"/>
  <c r="G60" i="5"/>
  <c r="H60" i="5" s="1"/>
  <c r="G68" i="5"/>
  <c r="H68" i="5" s="1"/>
  <c r="G76" i="5"/>
  <c r="H76" i="5" s="1"/>
  <c r="G108" i="5"/>
  <c r="H108" i="5" s="1"/>
  <c r="G29" i="5"/>
  <c r="H29" i="5" s="1"/>
  <c r="G53" i="5"/>
  <c r="H53" i="5" s="1"/>
  <c r="G85" i="5"/>
  <c r="H85" i="5" s="1"/>
  <c r="G6" i="5"/>
  <c r="H6" i="5" s="1"/>
  <c r="G46" i="5"/>
  <c r="H46" i="5" s="1"/>
  <c r="G118" i="5"/>
  <c r="H118" i="5" s="1"/>
  <c r="G7" i="5"/>
  <c r="H7" i="5" s="1"/>
  <c r="G31" i="5"/>
  <c r="H31" i="5" s="1"/>
  <c r="G55" i="5"/>
  <c r="H55" i="5" s="1"/>
  <c r="G87" i="5"/>
  <c r="H87" i="5" s="1"/>
  <c r="G119" i="5"/>
  <c r="H119" i="5" s="1"/>
  <c r="G24" i="5"/>
  <c r="H24" i="5" s="1"/>
  <c r="G40" i="5"/>
  <c r="H40" i="5" s="1"/>
  <c r="G80" i="5"/>
  <c r="H80" i="5" s="1"/>
  <c r="G9" i="5"/>
  <c r="H9" i="5" s="1"/>
  <c r="G33" i="5"/>
  <c r="H33" i="5" s="1"/>
  <c r="G81" i="5"/>
  <c r="H81" i="5" s="1"/>
  <c r="F159" i="3"/>
  <c r="F177" i="3"/>
  <c r="F2" i="3"/>
  <c r="F141" i="3"/>
  <c r="F117" i="3"/>
  <c r="F84" i="3"/>
  <c r="F80" i="3"/>
  <c r="F90" i="3"/>
  <c r="F108" i="3"/>
  <c r="F75" i="3"/>
  <c r="F123" i="3"/>
  <c r="F102" i="3"/>
  <c r="F97" i="3"/>
  <c r="F119" i="3"/>
  <c r="F55" i="3"/>
  <c r="F121" i="3"/>
  <c r="F87" i="3"/>
  <c r="F134" i="3"/>
  <c r="F86" i="3"/>
  <c r="F78" i="3"/>
  <c r="F138" i="3"/>
  <c r="F135" i="3"/>
  <c r="F120" i="3"/>
  <c r="F103" i="3"/>
  <c r="F43" i="3"/>
  <c r="F34" i="3"/>
  <c r="F53" i="3"/>
  <c r="F15" i="3"/>
  <c r="D189" i="3"/>
  <c r="D185" i="3"/>
  <c r="D188" i="3"/>
  <c r="D187" i="3"/>
  <c r="D186" i="3"/>
  <c r="F14" i="3"/>
  <c r="C188" i="3"/>
  <c r="C187" i="3"/>
  <c r="C189" i="3"/>
  <c r="C185" i="3"/>
  <c r="C186" i="3"/>
  <c r="F50" i="3"/>
  <c r="F4" i="3"/>
  <c r="F72" i="3"/>
  <c r="F94" i="3"/>
  <c r="F5" i="3"/>
  <c r="F104" i="3"/>
  <c r="F140" i="3"/>
  <c r="F37" i="3"/>
  <c r="F27" i="3"/>
  <c r="F20" i="3"/>
  <c r="F25" i="3"/>
  <c r="F74" i="3"/>
  <c r="F39" i="3"/>
  <c r="F125" i="3"/>
  <c r="F68" i="3"/>
  <c r="F105" i="3"/>
  <c r="F49" i="3"/>
  <c r="F22" i="3"/>
  <c r="F92" i="3"/>
  <c r="F16" i="3"/>
  <c r="F64" i="3"/>
  <c r="F62" i="3"/>
  <c r="F76" i="3"/>
  <c r="F85" i="3"/>
  <c r="F113" i="3"/>
  <c r="F132" i="3"/>
  <c r="F100" i="3"/>
  <c r="F44" i="3"/>
  <c r="F38" i="3"/>
  <c r="F28" i="3"/>
  <c r="F67" i="3"/>
  <c r="F40" i="3"/>
  <c r="F77" i="3"/>
  <c r="F70" i="3"/>
  <c r="F33" i="3"/>
  <c r="F41" i="3"/>
  <c r="F98" i="3"/>
  <c r="F6" i="3"/>
  <c r="F46" i="3"/>
  <c r="F60" i="3"/>
  <c r="F30" i="3"/>
  <c r="F91" i="3"/>
  <c r="F61" i="3"/>
  <c r="F54" i="3"/>
  <c r="F42" i="3"/>
  <c r="F51" i="3"/>
  <c r="F23" i="3"/>
  <c r="F26" i="3"/>
  <c r="F12" i="3"/>
  <c r="F79" i="3"/>
  <c r="F18" i="3"/>
  <c r="F48" i="3"/>
  <c r="F65" i="3"/>
  <c r="F35" i="3"/>
  <c r="F59" i="3"/>
  <c r="F133" i="3"/>
  <c r="F3" i="3"/>
  <c r="F13" i="3"/>
  <c r="F31" i="3"/>
  <c r="F73" i="3"/>
  <c r="F109" i="3"/>
  <c r="F45" i="3"/>
  <c r="F131" i="3"/>
  <c r="F63" i="3"/>
  <c r="F21" i="3"/>
  <c r="F47" i="3"/>
  <c r="F129" i="3"/>
  <c r="F7" i="3"/>
  <c r="F122" i="3"/>
  <c r="F32" i="3"/>
  <c r="F19" i="3"/>
  <c r="F29" i="3"/>
  <c r="F11" i="3"/>
  <c r="F118" i="3"/>
  <c r="F81" i="3"/>
  <c r="F36" i="3"/>
  <c r="F82" i="3"/>
  <c r="F56" i="3"/>
  <c r="F52" i="3"/>
  <c r="F107" i="3"/>
  <c r="F96" i="3"/>
  <c r="F130" i="3"/>
  <c r="F139" i="3"/>
  <c r="F57" i="3"/>
  <c r="F10" i="3"/>
  <c r="F66" i="3"/>
  <c r="F58" i="3"/>
  <c r="F9" i="3"/>
  <c r="F24" i="3"/>
  <c r="F116" i="3"/>
  <c r="F8" i="3"/>
  <c r="F89" i="3"/>
  <c r="F71" i="3"/>
  <c r="F17" i="3"/>
  <c r="I183" i="5" l="1"/>
  <c r="I175" i="5"/>
  <c r="I167" i="5"/>
  <c r="I133" i="5"/>
  <c r="I112" i="5"/>
  <c r="I89" i="5"/>
  <c r="I69" i="5"/>
  <c r="I181" i="5"/>
  <c r="I173" i="5"/>
  <c r="I165" i="5"/>
  <c r="I135" i="5"/>
  <c r="I126" i="5"/>
  <c r="I110" i="5"/>
  <c r="I98" i="5"/>
  <c r="I84" i="5"/>
  <c r="I66" i="5"/>
  <c r="I182" i="5"/>
  <c r="I178" i="5"/>
  <c r="I174" i="5"/>
  <c r="I170" i="5"/>
  <c r="I166" i="5"/>
  <c r="I162" i="5"/>
  <c r="I136" i="5"/>
  <c r="I132" i="5"/>
  <c r="I127" i="5"/>
  <c r="I115" i="5"/>
  <c r="I111" i="5"/>
  <c r="I106" i="5"/>
  <c r="I99" i="5"/>
  <c r="I94" i="5"/>
  <c r="I83" i="5"/>
  <c r="I70" i="5"/>
  <c r="I65" i="5"/>
  <c r="I36" i="5"/>
  <c r="I155" i="5"/>
  <c r="I147" i="5"/>
  <c r="I137" i="5"/>
  <c r="I101" i="5"/>
  <c r="I157" i="5"/>
  <c r="I149" i="5"/>
  <c r="I139" i="5"/>
  <c r="I156" i="5"/>
  <c r="I152" i="5"/>
  <c r="I148" i="5"/>
  <c r="I144" i="5"/>
  <c r="I138" i="5"/>
  <c r="I179" i="5"/>
  <c r="I171" i="5"/>
  <c r="I163" i="5"/>
  <c r="I116" i="5"/>
  <c r="I107" i="5"/>
  <c r="I82" i="5"/>
  <c r="I63" i="5"/>
  <c r="I177" i="5"/>
  <c r="I169" i="5"/>
  <c r="I161" i="5"/>
  <c r="I131" i="5"/>
  <c r="I114" i="5"/>
  <c r="I105" i="5"/>
  <c r="I93" i="5"/>
  <c r="I72" i="5"/>
  <c r="I51" i="5"/>
  <c r="I180" i="5"/>
  <c r="I176" i="5"/>
  <c r="I172" i="5"/>
  <c r="I168" i="5"/>
  <c r="I164" i="5"/>
  <c r="I160" i="5"/>
  <c r="I134" i="5"/>
  <c r="I130" i="5"/>
  <c r="I124" i="5"/>
  <c r="I113" i="5"/>
  <c r="I109" i="5"/>
  <c r="I104" i="5"/>
  <c r="I97" i="5"/>
  <c r="I92" i="5"/>
  <c r="I74" i="5"/>
  <c r="I67" i="5"/>
  <c r="I52" i="5"/>
  <c r="I159" i="5"/>
  <c r="I151" i="5"/>
  <c r="I143" i="5"/>
  <c r="I128" i="5"/>
  <c r="I95" i="5"/>
  <c r="I153" i="5"/>
  <c r="I145" i="5"/>
  <c r="I158" i="5"/>
  <c r="I154" i="5"/>
  <c r="I150" i="5"/>
  <c r="I146" i="5"/>
  <c r="I142" i="5"/>
  <c r="I88" i="5"/>
  <c r="I6" i="5"/>
  <c r="J2" i="3"/>
  <c r="J31" i="3"/>
  <c r="J63" i="3"/>
  <c r="J95" i="3"/>
  <c r="J127" i="3"/>
  <c r="J159" i="3"/>
  <c r="J12" i="3"/>
  <c r="J44" i="3"/>
  <c r="J76" i="3"/>
  <c r="J108" i="3"/>
  <c r="J140" i="3"/>
  <c r="J162" i="3"/>
  <c r="J113" i="3"/>
  <c r="J45" i="3"/>
  <c r="J14" i="3"/>
  <c r="J78" i="3"/>
  <c r="J142" i="3"/>
  <c r="J26" i="3"/>
  <c r="J90" i="3"/>
  <c r="J154" i="3"/>
  <c r="J161" i="3"/>
  <c r="J141" i="3"/>
  <c r="J65" i="3"/>
  <c r="J35" i="3"/>
  <c r="J172" i="3"/>
  <c r="J61" i="3"/>
  <c r="J89" i="3"/>
  <c r="J37" i="3"/>
  <c r="J169" i="3"/>
  <c r="J176" i="3"/>
  <c r="J7" i="3"/>
  <c r="J71" i="3"/>
  <c r="J103" i="3"/>
  <c r="J135" i="3"/>
  <c r="J167" i="3"/>
  <c r="J20" i="3"/>
  <c r="J52" i="3"/>
  <c r="J84" i="3"/>
  <c r="J116" i="3"/>
  <c r="J181" i="3"/>
  <c r="J150" i="3"/>
  <c r="J30" i="3"/>
  <c r="J168" i="3"/>
  <c r="J106" i="3"/>
  <c r="J50" i="3"/>
  <c r="J118" i="3"/>
  <c r="J11" i="3"/>
  <c r="J43" i="3"/>
  <c r="J75" i="3"/>
  <c r="J107" i="3"/>
  <c r="J139" i="3"/>
  <c r="J171" i="3"/>
  <c r="J24" i="3"/>
  <c r="J56" i="3"/>
  <c r="J88" i="3"/>
  <c r="J120" i="3"/>
  <c r="J152" i="3"/>
  <c r="J165" i="3"/>
  <c r="J170" i="3"/>
  <c r="J98" i="3"/>
  <c r="J41" i="3"/>
  <c r="J105" i="3"/>
  <c r="J177" i="3"/>
  <c r="J53" i="3"/>
  <c r="J117" i="3"/>
  <c r="J33" i="3"/>
  <c r="J66" i="3"/>
  <c r="J10" i="3"/>
  <c r="J145" i="3"/>
  <c r="J51" i="3"/>
  <c r="J96" i="3"/>
  <c r="J164" i="3"/>
  <c r="J130" i="3"/>
  <c r="J121" i="3"/>
  <c r="J69" i="3"/>
  <c r="J81" i="3"/>
  <c r="J174" i="3"/>
  <c r="J23" i="3"/>
  <c r="J119" i="3"/>
  <c r="J183" i="3"/>
  <c r="J68" i="3"/>
  <c r="J132" i="3"/>
  <c r="J70" i="3"/>
  <c r="J146" i="3"/>
  <c r="J126" i="3"/>
  <c r="J74" i="3"/>
  <c r="J102" i="3"/>
  <c r="J22" i="3"/>
  <c r="J15" i="3"/>
  <c r="J47" i="3"/>
  <c r="J79" i="3"/>
  <c r="J111" i="3"/>
  <c r="J143" i="3"/>
  <c r="J175" i="3"/>
  <c r="J28" i="3"/>
  <c r="J60" i="3"/>
  <c r="J92" i="3"/>
  <c r="J124" i="3"/>
  <c r="J160" i="3"/>
  <c r="J17" i="3"/>
  <c r="J166" i="3"/>
  <c r="J114" i="3"/>
  <c r="J46" i="3"/>
  <c r="J110" i="3"/>
  <c r="J158" i="3"/>
  <c r="J58" i="3"/>
  <c r="J122" i="3"/>
  <c r="J54" i="3"/>
  <c r="J77" i="3"/>
  <c r="J178" i="3"/>
  <c r="J156" i="3"/>
  <c r="J19" i="3"/>
  <c r="J83" i="3"/>
  <c r="J115" i="3"/>
  <c r="J147" i="3"/>
  <c r="J179" i="3"/>
  <c r="J32" i="3"/>
  <c r="J64" i="3"/>
  <c r="J128" i="3"/>
  <c r="J38" i="3"/>
  <c r="J180" i="3"/>
  <c r="J57" i="3"/>
  <c r="J182" i="3"/>
  <c r="J133" i="3"/>
  <c r="J93" i="3"/>
  <c r="J18" i="3"/>
  <c r="J55" i="3"/>
  <c r="J87" i="3"/>
  <c r="J151" i="3"/>
  <c r="J36" i="3"/>
  <c r="J100" i="3"/>
  <c r="J8" i="3"/>
  <c r="J13" i="3"/>
  <c r="J62" i="3"/>
  <c r="J5" i="3"/>
  <c r="J138" i="3"/>
  <c r="J109" i="3"/>
  <c r="J27" i="3"/>
  <c r="J59" i="3"/>
  <c r="J91" i="3"/>
  <c r="J123" i="3"/>
  <c r="J155" i="3"/>
  <c r="J4" i="3"/>
  <c r="J40" i="3"/>
  <c r="J72" i="3"/>
  <c r="J104" i="3"/>
  <c r="J136" i="3"/>
  <c r="J157" i="3"/>
  <c r="J86" i="3"/>
  <c r="J34" i="3"/>
  <c r="J9" i="3"/>
  <c r="J73" i="3"/>
  <c r="J137" i="3"/>
  <c r="J21" i="3"/>
  <c r="J85" i="3"/>
  <c r="J149" i="3"/>
  <c r="J134" i="3"/>
  <c r="J125" i="3"/>
  <c r="J49" i="3"/>
  <c r="J3" i="3"/>
  <c r="J67" i="3"/>
  <c r="J99" i="3"/>
  <c r="J131" i="3"/>
  <c r="J163" i="3"/>
  <c r="J16" i="3"/>
  <c r="J48" i="3"/>
  <c r="J80" i="3"/>
  <c r="J112" i="3"/>
  <c r="J144" i="3"/>
  <c r="J129" i="3"/>
  <c r="J25" i="3"/>
  <c r="J153" i="3"/>
  <c r="J101" i="3"/>
  <c r="J29" i="3"/>
  <c r="J97" i="3"/>
  <c r="J39" i="3"/>
  <c r="J148" i="3"/>
  <c r="J82" i="3"/>
  <c r="J94" i="3"/>
  <c r="J42" i="3"/>
  <c r="J6" i="3"/>
  <c r="J173" i="3"/>
  <c r="I62" i="5"/>
  <c r="I77" i="5"/>
  <c r="I85" i="5"/>
  <c r="I75" i="5"/>
  <c r="I45" i="5"/>
  <c r="I9" i="5"/>
  <c r="I7" i="5"/>
  <c r="I76" i="5"/>
  <c r="I121" i="5"/>
  <c r="I47" i="5"/>
  <c r="I37" i="5"/>
  <c r="I27" i="5"/>
  <c r="I32" i="5"/>
  <c r="I38" i="5"/>
  <c r="I50" i="5"/>
  <c r="I141" i="5"/>
  <c r="I80" i="5"/>
  <c r="I68" i="5"/>
  <c r="I23" i="5"/>
  <c r="I19" i="5"/>
  <c r="I22" i="5"/>
  <c r="I13" i="5"/>
  <c r="I60" i="5"/>
  <c r="I49" i="5"/>
  <c r="I123" i="5"/>
  <c r="I103" i="5"/>
  <c r="I34" i="5"/>
  <c r="I44" i="5"/>
  <c r="I91" i="5"/>
  <c r="I26" i="5"/>
  <c r="I28" i="5"/>
  <c r="I57" i="5"/>
  <c r="I71" i="5"/>
  <c r="I87" i="5"/>
  <c r="I53" i="5"/>
  <c r="I20" i="5"/>
  <c r="I64" i="5"/>
  <c r="I14" i="5"/>
  <c r="I59" i="5"/>
  <c r="I41" i="5"/>
  <c r="I15" i="5"/>
  <c r="I21" i="5"/>
  <c r="I10" i="5"/>
  <c r="I129" i="5"/>
  <c r="I3" i="5"/>
  <c r="I100" i="5"/>
  <c r="I96" i="5"/>
  <c r="I39" i="5"/>
  <c r="I81" i="5"/>
  <c r="I55" i="5"/>
  <c r="I29" i="5"/>
  <c r="I12" i="5"/>
  <c r="I48" i="5"/>
  <c r="I117" i="5"/>
  <c r="I43" i="5"/>
  <c r="I17" i="5"/>
  <c r="I86" i="5"/>
  <c r="I90" i="5"/>
  <c r="I2" i="5"/>
  <c r="I120" i="5"/>
  <c r="I118" i="5"/>
  <c r="I73" i="5"/>
  <c r="I5" i="5"/>
  <c r="I8" i="5"/>
  <c r="I42" i="5"/>
  <c r="I40" i="5"/>
  <c r="I46" i="5"/>
  <c r="I102" i="5"/>
  <c r="I11" i="5"/>
  <c r="I125" i="5"/>
  <c r="I140" i="5"/>
  <c r="I24" i="5"/>
  <c r="I25" i="5"/>
  <c r="I79" i="5"/>
  <c r="I119" i="5"/>
  <c r="I30" i="5"/>
  <c r="I18" i="5"/>
  <c r="I33" i="5"/>
  <c r="I31" i="5"/>
  <c r="I108" i="5"/>
  <c r="I4" i="5"/>
  <c r="I16" i="5"/>
  <c r="I61" i="5"/>
  <c r="I35" i="5"/>
  <c r="I56" i="5"/>
  <c r="I54" i="5"/>
  <c r="I58" i="5"/>
  <c r="I78" i="5"/>
  <c r="I122" i="5"/>
  <c r="F185" i="3"/>
  <c r="F188" i="3"/>
  <c r="F186" i="3"/>
  <c r="F189" i="3"/>
  <c r="F187" i="3"/>
  <c r="G112" i="3" l="1"/>
  <c r="G169" i="3"/>
  <c r="G181" i="3"/>
  <c r="G145" i="3"/>
  <c r="G182" i="3"/>
  <c r="G170" i="3"/>
  <c r="G149" i="3"/>
  <c r="G101" i="3"/>
  <c r="G157" i="3"/>
  <c r="G143" i="3"/>
  <c r="G158" i="3"/>
  <c r="G174" i="3"/>
  <c r="G126" i="3"/>
  <c r="G124" i="3"/>
  <c r="G127" i="3"/>
  <c r="G183" i="3"/>
  <c r="G163" i="3"/>
  <c r="G148" i="3"/>
  <c r="G153" i="3"/>
  <c r="G147" i="3"/>
  <c r="G160" i="3"/>
  <c r="G168" i="3"/>
  <c r="G83" i="3"/>
  <c r="G164" i="3"/>
  <c r="G150" i="3"/>
  <c r="G172" i="3"/>
  <c r="G128" i="3"/>
  <c r="G110" i="3"/>
  <c r="G99" i="3"/>
  <c r="G136" i="3"/>
  <c r="G165" i="3"/>
  <c r="G179" i="3"/>
  <c r="G171" i="3"/>
  <c r="G162" i="3"/>
  <c r="G156" i="3"/>
  <c r="G144" i="3"/>
  <c r="G93" i="3"/>
  <c r="G176" i="3"/>
  <c r="G180" i="3"/>
  <c r="G142" i="3"/>
  <c r="G152" i="3"/>
  <c r="G114" i="3"/>
  <c r="G115" i="3"/>
  <c r="G137" i="3"/>
  <c r="G111" i="3"/>
  <c r="G167" i="3"/>
  <c r="G175" i="3"/>
  <c r="G155" i="3"/>
  <c r="G173" i="3"/>
  <c r="G154" i="3"/>
  <c r="G166" i="3"/>
  <c r="G106" i="3"/>
  <c r="G151" i="3"/>
  <c r="G146" i="3"/>
  <c r="G161" i="3"/>
  <c r="G178" i="3"/>
  <c r="G69" i="3"/>
  <c r="G88" i="3"/>
  <c r="G95" i="3"/>
  <c r="G2" i="3"/>
  <c r="G159" i="3"/>
  <c r="G177" i="3"/>
  <c r="G108" i="3"/>
  <c r="G119" i="3"/>
  <c r="G138" i="3"/>
  <c r="G120" i="3"/>
  <c r="G87" i="3"/>
  <c r="G103" i="3"/>
  <c r="G135" i="3"/>
  <c r="G75" i="3"/>
  <c r="G97" i="3"/>
  <c r="G134" i="3"/>
  <c r="G121" i="3"/>
  <c r="G78" i="3"/>
  <c r="G84" i="3"/>
  <c r="G141" i="3"/>
  <c r="G123" i="3"/>
  <c r="G80" i="3"/>
  <c r="G117" i="3"/>
  <c r="G86" i="3"/>
  <c r="G55" i="3"/>
  <c r="G90" i="3"/>
  <c r="G102" i="3"/>
  <c r="G58" i="3"/>
  <c r="G109" i="3"/>
  <c r="G40" i="3"/>
  <c r="G22" i="3"/>
  <c r="G68" i="3"/>
  <c r="G116" i="3"/>
  <c r="G76" i="3"/>
  <c r="G130" i="3"/>
  <c r="G52" i="3"/>
  <c r="G85" i="3"/>
  <c r="G61" i="3"/>
  <c r="G82" i="3"/>
  <c r="G16" i="3"/>
  <c r="G56" i="3"/>
  <c r="G122" i="3"/>
  <c r="G64" i="3"/>
  <c r="G60" i="3"/>
  <c r="G27" i="3"/>
  <c r="G62" i="3"/>
  <c r="G91" i="3"/>
  <c r="G14" i="3"/>
  <c r="G129" i="3"/>
  <c r="G54" i="3"/>
  <c r="G65" i="3"/>
  <c r="G46" i="3"/>
  <c r="G30" i="3"/>
  <c r="G26" i="3"/>
  <c r="G49" i="3"/>
  <c r="G35" i="3"/>
  <c r="G79" i="3"/>
  <c r="G72" i="3"/>
  <c r="G8" i="3"/>
  <c r="G48" i="3"/>
  <c r="G50" i="3"/>
  <c r="G31" i="3"/>
  <c r="G67" i="3"/>
  <c r="G23" i="3"/>
  <c r="G12" i="3"/>
  <c r="G7" i="3"/>
  <c r="G29" i="3"/>
  <c r="G21" i="3"/>
  <c r="G47" i="3"/>
  <c r="G92" i="3"/>
  <c r="G32" i="3"/>
  <c r="G57" i="3"/>
  <c r="G28" i="3"/>
  <c r="G132" i="3"/>
  <c r="G44" i="3"/>
  <c r="G133" i="3"/>
  <c r="G13" i="3"/>
  <c r="G10" i="3"/>
  <c r="G59" i="3"/>
  <c r="G131" i="3"/>
  <c r="G24" i="3"/>
  <c r="G37" i="3"/>
  <c r="G107" i="3"/>
  <c r="G96" i="3"/>
  <c r="G4" i="3"/>
  <c r="G118" i="3"/>
  <c r="G100" i="3"/>
  <c r="G71" i="3"/>
  <c r="G89" i="3"/>
  <c r="G45" i="3"/>
  <c r="G104" i="3"/>
  <c r="G98" i="3"/>
  <c r="G113" i="3"/>
  <c r="G3" i="3"/>
  <c r="G66" i="3"/>
  <c r="G25" i="3"/>
  <c r="G125" i="3"/>
  <c r="G11" i="3"/>
  <c r="G140" i="3"/>
  <c r="G19" i="3"/>
  <c r="G139" i="3"/>
  <c r="G105" i="3"/>
  <c r="G9" i="3"/>
  <c r="G81" i="3"/>
  <c r="G20" i="3"/>
  <c r="G33" i="3"/>
  <c r="G94" i="3"/>
  <c r="G39" i="3"/>
  <c r="J189" i="3"/>
  <c r="J185" i="3"/>
  <c r="J186" i="3"/>
  <c r="J188" i="3"/>
  <c r="J187" i="3"/>
  <c r="G41" i="3"/>
  <c r="G5" i="3"/>
  <c r="G53" i="3"/>
  <c r="G34" i="3"/>
  <c r="G43" i="3"/>
  <c r="G15" i="3"/>
  <c r="G73" i="3"/>
  <c r="G38" i="3"/>
  <c r="G51" i="3"/>
  <c r="G63" i="3"/>
  <c r="G77" i="3"/>
  <c r="G6" i="3"/>
  <c r="G70" i="3"/>
  <c r="G18" i="3"/>
  <c r="G74" i="3"/>
  <c r="G36" i="3"/>
  <c r="G42" i="3"/>
  <c r="G17" i="3"/>
  <c r="G189" i="3" l="1"/>
  <c r="G188" i="3"/>
  <c r="G187" i="3"/>
  <c r="G186" i="3"/>
  <c r="G185" i="3"/>
  <c r="K185" i="3"/>
  <c r="K189" i="3"/>
  <c r="K186" i="3"/>
  <c r="K187" i="3"/>
  <c r="K188" i="3"/>
  <c r="L157" i="3" l="1"/>
  <c r="L175" i="3"/>
  <c r="L151" i="3"/>
  <c r="L158" i="3"/>
  <c r="L176" i="3"/>
  <c r="L169" i="3"/>
  <c r="L148" i="3"/>
  <c r="L159" i="3"/>
  <c r="L182" i="3"/>
  <c r="L172" i="3"/>
  <c r="L164" i="3"/>
  <c r="L167" i="3"/>
  <c r="L155" i="3"/>
  <c r="L143" i="3"/>
  <c r="L153" i="3"/>
  <c r="L152" i="3"/>
  <c r="L150" i="3"/>
  <c r="L178" i="3"/>
  <c r="L142" i="3"/>
  <c r="L181" i="3"/>
  <c r="L146" i="3"/>
  <c r="L131" i="3"/>
  <c r="L82" i="3"/>
  <c r="L105" i="3"/>
  <c r="L114" i="3"/>
  <c r="L83" i="3"/>
  <c r="L136" i="3"/>
  <c r="L72" i="3"/>
  <c r="L106" i="3"/>
  <c r="L97" i="3"/>
  <c r="L89" i="3"/>
  <c r="L137" i="3"/>
  <c r="L104" i="3"/>
  <c r="L126" i="3"/>
  <c r="L70" i="3"/>
  <c r="L67" i="3"/>
  <c r="L130" i="3"/>
  <c r="L115" i="3"/>
  <c r="L66" i="3"/>
  <c r="L92" i="3"/>
  <c r="L138" i="3"/>
  <c r="L99" i="3"/>
  <c r="L111" i="3"/>
  <c r="L109" i="3"/>
  <c r="L65" i="3"/>
  <c r="L93" i="3"/>
  <c r="L36" i="3"/>
  <c r="L149" i="3"/>
  <c r="L170" i="3"/>
  <c r="L183" i="3"/>
  <c r="L160" i="3"/>
  <c r="L171" i="3"/>
  <c r="L163" i="3"/>
  <c r="L168" i="3"/>
  <c r="L177" i="3"/>
  <c r="L144" i="3"/>
  <c r="L145" i="3"/>
  <c r="L156" i="3"/>
  <c r="L179" i="3"/>
  <c r="L147" i="3"/>
  <c r="L180" i="3"/>
  <c r="L173" i="3"/>
  <c r="L174" i="3"/>
  <c r="L154" i="3"/>
  <c r="L166" i="3"/>
  <c r="L165" i="3"/>
  <c r="L161" i="3"/>
  <c r="L162" i="3"/>
  <c r="L139" i="3"/>
  <c r="L51" i="3"/>
  <c r="L95" i="3"/>
  <c r="L133" i="3"/>
  <c r="L88" i="3"/>
  <c r="L94" i="3"/>
  <c r="L127" i="3"/>
  <c r="L132" i="3"/>
  <c r="L116" i="3"/>
  <c r="L52" i="3"/>
  <c r="L128" i="3"/>
  <c r="L110" i="3"/>
  <c r="L101" i="3"/>
  <c r="L98" i="3"/>
  <c r="L112" i="3"/>
  <c r="L74" i="3"/>
  <c r="L69" i="3"/>
  <c r="L84" i="3"/>
  <c r="L113" i="3"/>
  <c r="L135" i="3"/>
  <c r="L107" i="3"/>
  <c r="L63" i="3"/>
  <c r="L134" i="3"/>
  <c r="L124" i="3"/>
  <c r="L87" i="3"/>
  <c r="L34" i="3"/>
  <c r="L60" i="3"/>
  <c r="L27" i="3"/>
  <c r="L18" i="3"/>
  <c r="L121" i="3"/>
  <c r="L56" i="3"/>
  <c r="L54" i="3"/>
  <c r="L13" i="3"/>
  <c r="L9" i="3"/>
  <c r="L90" i="3"/>
  <c r="L76" i="3"/>
  <c r="L12" i="3"/>
  <c r="L39" i="3"/>
  <c r="L43" i="3"/>
  <c r="L59" i="3"/>
  <c r="L64" i="3"/>
  <c r="L81" i="3"/>
  <c r="L47" i="3"/>
  <c r="L46" i="3"/>
  <c r="L6" i="3"/>
  <c r="L37" i="3"/>
  <c r="L50" i="3"/>
  <c r="L10" i="3"/>
  <c r="L53" i="3"/>
  <c r="L55" i="3"/>
  <c r="L35" i="3"/>
  <c r="L48" i="3"/>
  <c r="L33" i="3"/>
  <c r="L102" i="3"/>
  <c r="L38" i="3"/>
  <c r="L5" i="3"/>
  <c r="L122" i="3"/>
  <c r="L26" i="3"/>
  <c r="L68" i="3"/>
  <c r="L4" i="3"/>
  <c r="L7" i="3"/>
  <c r="L123" i="3"/>
  <c r="L120" i="3"/>
  <c r="L40" i="3"/>
  <c r="L49" i="3"/>
  <c r="L15" i="3"/>
  <c r="L30" i="3"/>
  <c r="L77" i="3"/>
  <c r="L129" i="3"/>
  <c r="L23" i="3"/>
  <c r="L21" i="3"/>
  <c r="L117" i="3"/>
  <c r="L75" i="3"/>
  <c r="L32" i="3"/>
  <c r="L119" i="3"/>
  <c r="L78" i="3"/>
  <c r="L61" i="3"/>
  <c r="L73" i="3"/>
  <c r="L85" i="3"/>
  <c r="L108" i="3"/>
  <c r="L44" i="3"/>
  <c r="L125" i="3"/>
  <c r="L3" i="3"/>
  <c r="L103" i="3"/>
  <c r="L96" i="3"/>
  <c r="L24" i="3"/>
  <c r="L17" i="3"/>
  <c r="L118" i="3"/>
  <c r="L22" i="3"/>
  <c r="L45" i="3"/>
  <c r="L140" i="3"/>
  <c r="L42" i="3"/>
  <c r="L57" i="3"/>
  <c r="L58" i="3"/>
  <c r="L19" i="3"/>
  <c r="L2" i="3"/>
  <c r="L8" i="3"/>
  <c r="L31" i="3"/>
  <c r="L62" i="3"/>
  <c r="L29" i="3"/>
  <c r="L41" i="3"/>
  <c r="L141" i="3"/>
  <c r="L100" i="3"/>
  <c r="L20" i="3"/>
  <c r="L71" i="3"/>
  <c r="L91" i="3"/>
  <c r="L11" i="3"/>
  <c r="L80" i="3"/>
  <c r="L16" i="3"/>
  <c r="L79" i="3"/>
  <c r="L86" i="3"/>
  <c r="L14" i="3"/>
  <c r="L25" i="3"/>
  <c r="L28" i="3"/>
  <c r="P185" i="4"/>
  <c r="N185" i="4"/>
  <c r="M185" i="4"/>
  <c r="O185" i="4"/>
  <c r="L189" i="3" l="1"/>
  <c r="L185" i="3"/>
  <c r="L188" i="3"/>
  <c r="M28" i="3" s="1"/>
  <c r="L187" i="3"/>
  <c r="L186" i="3"/>
  <c r="M186" i="4"/>
  <c r="M49" i="4" s="1"/>
  <c r="P186" i="4"/>
  <c r="P2" i="4" s="1"/>
  <c r="O186" i="4"/>
  <c r="O2" i="4" s="1"/>
  <c r="N186" i="4"/>
  <c r="N131" i="4" s="1"/>
  <c r="M35" i="3" l="1"/>
  <c r="M3" i="3"/>
  <c r="M90" i="3"/>
  <c r="M30" i="3"/>
  <c r="M62" i="3"/>
  <c r="M60" i="3"/>
  <c r="M47" i="3"/>
  <c r="M68" i="3"/>
  <c r="M119" i="3"/>
  <c r="M140" i="3"/>
  <c r="M11" i="3"/>
  <c r="M56" i="3"/>
  <c r="M43" i="3"/>
  <c r="M50" i="3"/>
  <c r="M38" i="3"/>
  <c r="M120" i="3"/>
  <c r="M21" i="3"/>
  <c r="M85" i="3"/>
  <c r="M17" i="3"/>
  <c r="M19" i="3"/>
  <c r="M100" i="3"/>
  <c r="M86" i="3"/>
  <c r="M87" i="3"/>
  <c r="M18" i="3"/>
  <c r="M13" i="3"/>
  <c r="M12" i="3"/>
  <c r="M64" i="3"/>
  <c r="M6" i="3"/>
  <c r="M53" i="3"/>
  <c r="M33" i="3"/>
  <c r="M122" i="3"/>
  <c r="M7" i="3"/>
  <c r="M49" i="3"/>
  <c r="M129" i="3"/>
  <c r="M75" i="3"/>
  <c r="M61" i="3"/>
  <c r="M44" i="3"/>
  <c r="M96" i="3"/>
  <c r="M22" i="3"/>
  <c r="M57" i="3"/>
  <c r="M8" i="3"/>
  <c r="M41" i="3"/>
  <c r="M71" i="3"/>
  <c r="M16" i="3"/>
  <c r="M25" i="3"/>
  <c r="M157" i="3"/>
  <c r="M176" i="3"/>
  <c r="M182" i="3"/>
  <c r="M155" i="3"/>
  <c r="M150" i="3"/>
  <c r="M146" i="3"/>
  <c r="M114" i="3"/>
  <c r="M106" i="3"/>
  <c r="M104" i="3"/>
  <c r="M130" i="3"/>
  <c r="M138" i="3"/>
  <c r="M65" i="3"/>
  <c r="M170" i="3"/>
  <c r="M163" i="3"/>
  <c r="M145" i="3"/>
  <c r="M180" i="3"/>
  <c r="M166" i="3"/>
  <c r="M139" i="3"/>
  <c r="M88" i="3"/>
  <c r="M116" i="3"/>
  <c r="M101" i="3"/>
  <c r="M69" i="3"/>
  <c r="M107" i="3"/>
  <c r="M175" i="3"/>
  <c r="M169" i="3"/>
  <c r="M172" i="3"/>
  <c r="M143" i="3"/>
  <c r="M178" i="3"/>
  <c r="M131" i="3"/>
  <c r="M83" i="3"/>
  <c r="M97" i="3"/>
  <c r="M126" i="3"/>
  <c r="M115" i="3"/>
  <c r="M99" i="3"/>
  <c r="M93" i="3"/>
  <c r="M183" i="3"/>
  <c r="M168" i="3"/>
  <c r="M156" i="3"/>
  <c r="M173" i="3"/>
  <c r="M165" i="3"/>
  <c r="M51" i="3"/>
  <c r="M94" i="3"/>
  <c r="M52" i="3"/>
  <c r="M98" i="3"/>
  <c r="M84" i="3"/>
  <c r="M63" i="3"/>
  <c r="M151" i="3"/>
  <c r="M148" i="3"/>
  <c r="M164" i="3"/>
  <c r="M153" i="3"/>
  <c r="M142" i="3"/>
  <c r="M82" i="3"/>
  <c r="M136" i="3"/>
  <c r="M89" i="3"/>
  <c r="M70" i="3"/>
  <c r="M66" i="3"/>
  <c r="M111" i="3"/>
  <c r="M36" i="3"/>
  <c r="M160" i="3"/>
  <c r="M177" i="3"/>
  <c r="M179" i="3"/>
  <c r="M174" i="3"/>
  <c r="M161" i="3"/>
  <c r="M95" i="3"/>
  <c r="M127" i="3"/>
  <c r="M128" i="3"/>
  <c r="M112" i="3"/>
  <c r="M113" i="3"/>
  <c r="M134" i="3"/>
  <c r="M158" i="3"/>
  <c r="M159" i="3"/>
  <c r="M167" i="3"/>
  <c r="M152" i="3"/>
  <c r="M181" i="3"/>
  <c r="M105" i="3"/>
  <c r="M72" i="3"/>
  <c r="M137" i="3"/>
  <c r="M67" i="3"/>
  <c r="M92" i="3"/>
  <c r="M109" i="3"/>
  <c r="M149" i="3"/>
  <c r="M171" i="3"/>
  <c r="M144" i="3"/>
  <c r="M147" i="3"/>
  <c r="M154" i="3"/>
  <c r="M162" i="3"/>
  <c r="M133" i="3"/>
  <c r="M132" i="3"/>
  <c r="M110" i="3"/>
  <c r="M74" i="3"/>
  <c r="M135" i="3"/>
  <c r="M124" i="3"/>
  <c r="M14" i="3"/>
  <c r="M34" i="3"/>
  <c r="M121" i="3"/>
  <c r="M9" i="3"/>
  <c r="M39" i="3"/>
  <c r="M81" i="3"/>
  <c r="M37" i="3"/>
  <c r="M55" i="3"/>
  <c r="M102" i="3"/>
  <c r="M26" i="3"/>
  <c r="M123" i="3"/>
  <c r="M15" i="3"/>
  <c r="M23" i="3"/>
  <c r="M32" i="3"/>
  <c r="M73" i="3"/>
  <c r="M125" i="3"/>
  <c r="M24" i="3"/>
  <c r="M45" i="3"/>
  <c r="M58" i="3"/>
  <c r="M31" i="3"/>
  <c r="M141" i="3"/>
  <c r="M91" i="3"/>
  <c r="M79" i="3"/>
  <c r="M27" i="3"/>
  <c r="M54" i="3"/>
  <c r="M76" i="3"/>
  <c r="M59" i="3"/>
  <c r="M46" i="3"/>
  <c r="M10" i="3"/>
  <c r="M48" i="3"/>
  <c r="M5" i="3"/>
  <c r="M4" i="3"/>
  <c r="M40" i="3"/>
  <c r="M77" i="3"/>
  <c r="M117" i="3"/>
  <c r="M78" i="3"/>
  <c r="M108" i="3"/>
  <c r="M103" i="3"/>
  <c r="M118" i="3"/>
  <c r="M42" i="3"/>
  <c r="M2" i="3"/>
  <c r="M29" i="3"/>
  <c r="M20" i="3"/>
  <c r="M80" i="3"/>
  <c r="P154" i="4"/>
  <c r="P176" i="4"/>
  <c r="P173" i="4"/>
  <c r="P169" i="4"/>
  <c r="N182" i="4"/>
  <c r="N167" i="4"/>
  <c r="N146" i="4"/>
  <c r="P171" i="4"/>
  <c r="N180" i="4"/>
  <c r="N165" i="4"/>
  <c r="N142" i="4"/>
  <c r="P167" i="4"/>
  <c r="N176" i="4"/>
  <c r="N183" i="4"/>
  <c r="N151" i="4"/>
  <c r="N174" i="4"/>
  <c r="N181" i="4"/>
  <c r="N149" i="4"/>
  <c r="N170" i="4"/>
  <c r="N179" i="4"/>
  <c r="N147" i="4"/>
  <c r="N166" i="4"/>
  <c r="N177" i="4"/>
  <c r="N145" i="4"/>
  <c r="N172" i="4"/>
  <c r="N163" i="4"/>
  <c r="P162" i="4"/>
  <c r="P179" i="4"/>
  <c r="N168" i="4"/>
  <c r="N161" i="4"/>
  <c r="P148" i="4"/>
  <c r="P155" i="4"/>
  <c r="O176" i="4"/>
  <c r="O169" i="4"/>
  <c r="O158" i="4"/>
  <c r="M162" i="4"/>
  <c r="M156" i="4"/>
  <c r="M157" i="4"/>
  <c r="O183" i="4"/>
  <c r="O167" i="4"/>
  <c r="O151" i="4"/>
  <c r="O152" i="4"/>
  <c r="M164" i="4"/>
  <c r="M160" i="4"/>
  <c r="M154" i="4"/>
  <c r="M171" i="4"/>
  <c r="P146" i="4"/>
  <c r="P178" i="4"/>
  <c r="P172" i="4"/>
  <c r="P165" i="4"/>
  <c r="P163" i="4"/>
  <c r="P153" i="4"/>
  <c r="O170" i="4"/>
  <c r="O181" i="4"/>
  <c r="O165" i="4"/>
  <c r="O149" i="4"/>
  <c r="O148" i="4"/>
  <c r="M158" i="4"/>
  <c r="M152" i="4"/>
  <c r="M148" i="4"/>
  <c r="M169" i="4"/>
  <c r="M153" i="4"/>
  <c r="P152" i="4"/>
  <c r="P174" i="4"/>
  <c r="P164" i="4"/>
  <c r="P159" i="4"/>
  <c r="P161" i="4"/>
  <c r="P147" i="4"/>
  <c r="O162" i="4"/>
  <c r="O179" i="4"/>
  <c r="O163" i="4"/>
  <c r="O147" i="4"/>
  <c r="O146" i="4"/>
  <c r="M150" i="4"/>
  <c r="M146" i="4"/>
  <c r="M183" i="4"/>
  <c r="M167" i="4"/>
  <c r="M151" i="4"/>
  <c r="N158" i="4"/>
  <c r="N164" i="4"/>
  <c r="N175" i="4"/>
  <c r="N159" i="4"/>
  <c r="N143" i="4"/>
  <c r="P158" i="4"/>
  <c r="P166" i="4"/>
  <c r="P144" i="4"/>
  <c r="P157" i="4"/>
  <c r="P149" i="4"/>
  <c r="O166" i="4"/>
  <c r="O178" i="4"/>
  <c r="O177" i="4"/>
  <c r="O161" i="4"/>
  <c r="O145" i="4"/>
  <c r="O144" i="4"/>
  <c r="M142" i="4"/>
  <c r="M144" i="4"/>
  <c r="M181" i="4"/>
  <c r="M165" i="4"/>
  <c r="M149" i="4"/>
  <c r="N152" i="4"/>
  <c r="N160" i="4"/>
  <c r="N173" i="4"/>
  <c r="N157" i="4"/>
  <c r="N178" i="4"/>
  <c r="P142" i="4"/>
  <c r="P156" i="4"/>
  <c r="P168" i="4"/>
  <c r="P151" i="4"/>
  <c r="P143" i="4"/>
  <c r="O180" i="4"/>
  <c r="O174" i="4"/>
  <c r="O175" i="4"/>
  <c r="O159" i="4"/>
  <c r="O143" i="4"/>
  <c r="O142" i="4"/>
  <c r="M182" i="4"/>
  <c r="M176" i="4"/>
  <c r="M179" i="4"/>
  <c r="M163" i="4"/>
  <c r="M147" i="4"/>
  <c r="O156" i="4"/>
  <c r="O153" i="4"/>
  <c r="M168" i="4"/>
  <c r="M173" i="4"/>
  <c r="O182" i="4"/>
  <c r="M155" i="4"/>
  <c r="N148" i="4"/>
  <c r="N156" i="4"/>
  <c r="N171" i="4"/>
  <c r="N155" i="4"/>
  <c r="N162" i="4"/>
  <c r="P182" i="4"/>
  <c r="P180" i="4"/>
  <c r="P150" i="4"/>
  <c r="P145" i="4"/>
  <c r="P183" i="4"/>
  <c r="O168" i="4"/>
  <c r="O172" i="4"/>
  <c r="O173" i="4"/>
  <c r="O157" i="4"/>
  <c r="O154" i="4"/>
  <c r="M178" i="4"/>
  <c r="M180" i="4"/>
  <c r="M172" i="4"/>
  <c r="M177" i="4"/>
  <c r="M161" i="4"/>
  <c r="M145" i="4"/>
  <c r="N144" i="4"/>
  <c r="N154" i="4"/>
  <c r="N169" i="4"/>
  <c r="N153" i="4"/>
  <c r="N150" i="4"/>
  <c r="P170" i="4"/>
  <c r="P160" i="4"/>
  <c r="P175" i="4"/>
  <c r="P177" i="4"/>
  <c r="P181" i="4"/>
  <c r="O160" i="4"/>
  <c r="O164" i="4"/>
  <c r="O171" i="4"/>
  <c r="O155" i="4"/>
  <c r="O150" i="4"/>
  <c r="M174" i="4"/>
  <c r="M170" i="4"/>
  <c r="M166" i="4"/>
  <c r="M175" i="4"/>
  <c r="M159" i="4"/>
  <c r="M143" i="4"/>
  <c r="M2" i="4"/>
  <c r="P33" i="4"/>
  <c r="P16" i="4"/>
  <c r="P126" i="4"/>
  <c r="P62" i="4"/>
  <c r="P9" i="4"/>
  <c r="P32" i="4"/>
  <c r="P55" i="4"/>
  <c r="P125" i="4"/>
  <c r="P61" i="4"/>
  <c r="P140" i="4"/>
  <c r="P76" i="4"/>
  <c r="P12" i="4"/>
  <c r="P91" i="4"/>
  <c r="P27" i="4"/>
  <c r="P65" i="4"/>
  <c r="P98" i="4"/>
  <c r="P34" i="4"/>
  <c r="P137" i="4"/>
  <c r="P25" i="4"/>
  <c r="P135" i="4"/>
  <c r="P118" i="4"/>
  <c r="P54" i="4"/>
  <c r="P136" i="4"/>
  <c r="P24" i="4"/>
  <c r="P47" i="4"/>
  <c r="P117" i="4"/>
  <c r="P53" i="4"/>
  <c r="P132" i="4"/>
  <c r="P68" i="4"/>
  <c r="P4" i="4"/>
  <c r="P83" i="4"/>
  <c r="P19" i="4"/>
  <c r="P49" i="4"/>
  <c r="P90" i="4"/>
  <c r="P26" i="4"/>
  <c r="P41" i="4"/>
  <c r="P40" i="4"/>
  <c r="P134" i="4"/>
  <c r="P70" i="4"/>
  <c r="P6" i="4"/>
  <c r="P48" i="4"/>
  <c r="P63" i="4"/>
  <c r="P133" i="4"/>
  <c r="P69" i="4"/>
  <c r="P5" i="4"/>
  <c r="P84" i="4"/>
  <c r="P20" i="4"/>
  <c r="P99" i="4"/>
  <c r="P35" i="4"/>
  <c r="P81" i="4"/>
  <c r="P106" i="4"/>
  <c r="P42" i="4"/>
  <c r="P121" i="4"/>
  <c r="P120" i="4"/>
  <c r="P119" i="4"/>
  <c r="P110" i="4"/>
  <c r="P46" i="4"/>
  <c r="P128" i="4"/>
  <c r="P8" i="4"/>
  <c r="P39" i="4"/>
  <c r="P109" i="4"/>
  <c r="P45" i="4"/>
  <c r="P124" i="4"/>
  <c r="P60" i="4"/>
  <c r="P139" i="4"/>
  <c r="P75" i="4"/>
  <c r="P11" i="4"/>
  <c r="P17" i="4"/>
  <c r="P82" i="4"/>
  <c r="P18" i="4"/>
  <c r="P73" i="4"/>
  <c r="P72" i="4"/>
  <c r="P71" i="4"/>
  <c r="P86" i="4"/>
  <c r="P22" i="4"/>
  <c r="P80" i="4"/>
  <c r="P95" i="4"/>
  <c r="P15" i="4"/>
  <c r="P85" i="4"/>
  <c r="P21" i="4"/>
  <c r="P100" i="4"/>
  <c r="P36" i="4"/>
  <c r="P115" i="4"/>
  <c r="P51" i="4"/>
  <c r="P113" i="4"/>
  <c r="P122" i="4"/>
  <c r="P58" i="4"/>
  <c r="P57" i="4"/>
  <c r="P7" i="4"/>
  <c r="P14" i="4"/>
  <c r="P141" i="4"/>
  <c r="P13" i="4"/>
  <c r="P28" i="4"/>
  <c r="P107" i="4"/>
  <c r="P114" i="4"/>
  <c r="P104" i="4"/>
  <c r="P102" i="4"/>
  <c r="P127" i="4"/>
  <c r="P37" i="4"/>
  <c r="P67" i="4"/>
  <c r="P10" i="4"/>
  <c r="P56" i="4"/>
  <c r="P78" i="4"/>
  <c r="P64" i="4"/>
  <c r="P79" i="4"/>
  <c r="P77" i="4"/>
  <c r="P92" i="4"/>
  <c r="P43" i="4"/>
  <c r="P97" i="4"/>
  <c r="P50" i="4"/>
  <c r="P105" i="4"/>
  <c r="P103" i="4"/>
  <c r="P38" i="4"/>
  <c r="P112" i="4"/>
  <c r="P31" i="4"/>
  <c r="P101" i="4"/>
  <c r="P116" i="4"/>
  <c r="P52" i="4"/>
  <c r="P131" i="4"/>
  <c r="P3" i="4"/>
  <c r="P138" i="4"/>
  <c r="P74" i="4"/>
  <c r="P89" i="4"/>
  <c r="P88" i="4"/>
  <c r="P87" i="4"/>
  <c r="P94" i="4"/>
  <c r="P30" i="4"/>
  <c r="P96" i="4"/>
  <c r="P111" i="4"/>
  <c r="P23" i="4"/>
  <c r="P93" i="4"/>
  <c r="P29" i="4"/>
  <c r="P108" i="4"/>
  <c r="P44" i="4"/>
  <c r="P123" i="4"/>
  <c r="P59" i="4"/>
  <c r="P129" i="4"/>
  <c r="P130" i="4"/>
  <c r="P66" i="4"/>
  <c r="O89" i="4"/>
  <c r="O25" i="4"/>
  <c r="O96" i="4"/>
  <c r="O32" i="4"/>
  <c r="O103" i="4"/>
  <c r="O39" i="4"/>
  <c r="O22" i="4"/>
  <c r="O116" i="4"/>
  <c r="O52" i="4"/>
  <c r="O94" i="4"/>
  <c r="O115" i="4"/>
  <c r="O86" i="4"/>
  <c r="O85" i="4"/>
  <c r="O139" i="4"/>
  <c r="O35" i="4"/>
  <c r="O98" i="4"/>
  <c r="O34" i="4"/>
  <c r="O41" i="4"/>
  <c r="O48" i="4"/>
  <c r="O102" i="4"/>
  <c r="O68" i="4"/>
  <c r="O5" i="4"/>
  <c r="O125" i="4"/>
  <c r="O59" i="4"/>
  <c r="O50" i="4"/>
  <c r="O33" i="4"/>
  <c r="O111" i="4"/>
  <c r="O124" i="4"/>
  <c r="O131" i="4"/>
  <c r="O13" i="4"/>
  <c r="O51" i="4"/>
  <c r="O70" i="4"/>
  <c r="O88" i="4"/>
  <c r="O31" i="4"/>
  <c r="O44" i="4"/>
  <c r="O62" i="4"/>
  <c r="O123" i="4"/>
  <c r="O26" i="4"/>
  <c r="O137" i="4"/>
  <c r="O73" i="4"/>
  <c r="O9" i="4"/>
  <c r="O80" i="4"/>
  <c r="O16" i="4"/>
  <c r="O87" i="4"/>
  <c r="O23" i="4"/>
  <c r="O117" i="4"/>
  <c r="O100" i="4"/>
  <c r="O36" i="4"/>
  <c r="O14" i="4"/>
  <c r="O67" i="4"/>
  <c r="O46" i="4"/>
  <c r="O61" i="4"/>
  <c r="O107" i="4"/>
  <c r="O3" i="4"/>
  <c r="O82" i="4"/>
  <c r="O18" i="4"/>
  <c r="O104" i="4"/>
  <c r="O78" i="4"/>
  <c r="O118" i="4"/>
  <c r="O101" i="4"/>
  <c r="O42" i="4"/>
  <c r="O17" i="4"/>
  <c r="O95" i="4"/>
  <c r="O108" i="4"/>
  <c r="O99" i="4"/>
  <c r="O27" i="4"/>
  <c r="O129" i="4"/>
  <c r="O65" i="4"/>
  <c r="O136" i="4"/>
  <c r="O72" i="4"/>
  <c r="O8" i="4"/>
  <c r="O79" i="4"/>
  <c r="O15" i="4"/>
  <c r="O93" i="4"/>
  <c r="O92" i="4"/>
  <c r="O28" i="4"/>
  <c r="O133" i="4"/>
  <c r="O43" i="4"/>
  <c r="O38" i="4"/>
  <c r="O53" i="4"/>
  <c r="O91" i="4"/>
  <c r="O138" i="4"/>
  <c r="O74" i="4"/>
  <c r="O10" i="4"/>
  <c r="O113" i="4"/>
  <c r="O49" i="4"/>
  <c r="O120" i="4"/>
  <c r="O56" i="4"/>
  <c r="O127" i="4"/>
  <c r="O63" i="4"/>
  <c r="O134" i="4"/>
  <c r="O140" i="4"/>
  <c r="O76" i="4"/>
  <c r="O12" i="4"/>
  <c r="O77" i="4"/>
  <c r="O11" i="4"/>
  <c r="O6" i="4"/>
  <c r="O37" i="4"/>
  <c r="O75" i="4"/>
  <c r="O122" i="4"/>
  <c r="O58" i="4"/>
  <c r="O105" i="4"/>
  <c r="O112" i="4"/>
  <c r="O119" i="4"/>
  <c r="O55" i="4"/>
  <c r="O132" i="4"/>
  <c r="O4" i="4"/>
  <c r="O126" i="4"/>
  <c r="O29" i="4"/>
  <c r="O114" i="4"/>
  <c r="O97" i="4"/>
  <c r="O40" i="4"/>
  <c r="O47" i="4"/>
  <c r="O60" i="4"/>
  <c r="O110" i="4"/>
  <c r="O106" i="4"/>
  <c r="O81" i="4"/>
  <c r="O24" i="4"/>
  <c r="O141" i="4"/>
  <c r="O54" i="4"/>
  <c r="O69" i="4"/>
  <c r="O90" i="4"/>
  <c r="O121" i="4"/>
  <c r="O57" i="4"/>
  <c r="O128" i="4"/>
  <c r="O64" i="4"/>
  <c r="O135" i="4"/>
  <c r="O71" i="4"/>
  <c r="O7" i="4"/>
  <c r="O21" i="4"/>
  <c r="O84" i="4"/>
  <c r="O20" i="4"/>
  <c r="O109" i="4"/>
  <c r="O19" i="4"/>
  <c r="O30" i="4"/>
  <c r="O45" i="4"/>
  <c r="O83" i="4"/>
  <c r="O130" i="4"/>
  <c r="O66" i="4"/>
  <c r="N94" i="4"/>
  <c r="N124" i="4"/>
  <c r="N67" i="4"/>
  <c r="N61" i="4"/>
  <c r="N41" i="4"/>
  <c r="N78" i="4"/>
  <c r="N68" i="4"/>
  <c r="N3" i="4"/>
  <c r="N2" i="4"/>
  <c r="N66" i="4"/>
  <c r="N130" i="4"/>
  <c r="N139" i="4"/>
  <c r="N85" i="4"/>
  <c r="N63" i="4"/>
  <c r="N128" i="4"/>
  <c r="N19" i="4"/>
  <c r="N91" i="4"/>
  <c r="N127" i="4"/>
  <c r="N12" i="4"/>
  <c r="N76" i="4"/>
  <c r="N140" i="4"/>
  <c r="N104" i="4"/>
  <c r="N46" i="4"/>
  <c r="N110" i="4"/>
  <c r="N16" i="4"/>
  <c r="N57" i="4"/>
  <c r="N10" i="4"/>
  <c r="N74" i="4"/>
  <c r="N138" i="4"/>
  <c r="N5" i="4"/>
  <c r="N101" i="4"/>
  <c r="N95" i="4"/>
  <c r="N17" i="4"/>
  <c r="N27" i="4"/>
  <c r="N115" i="4"/>
  <c r="N32" i="4"/>
  <c r="N20" i="4"/>
  <c r="N84" i="4"/>
  <c r="N21" i="4"/>
  <c r="N33" i="4"/>
  <c r="N54" i="4"/>
  <c r="N118" i="4"/>
  <c r="N48" i="4"/>
  <c r="N73" i="4"/>
  <c r="N18" i="4"/>
  <c r="N82" i="4"/>
  <c r="N11" i="4"/>
  <c r="N29" i="4"/>
  <c r="N117" i="4"/>
  <c r="N111" i="4"/>
  <c r="N49" i="4"/>
  <c r="N35" i="4"/>
  <c r="N13" i="4"/>
  <c r="N80" i="4"/>
  <c r="N28" i="4"/>
  <c r="N92" i="4"/>
  <c r="N93" i="4"/>
  <c r="N113" i="4"/>
  <c r="N62" i="4"/>
  <c r="N126" i="4"/>
  <c r="N64" i="4"/>
  <c r="N97" i="4"/>
  <c r="N26" i="4"/>
  <c r="N90" i="4"/>
  <c r="N83" i="4"/>
  <c r="N37" i="4"/>
  <c r="N141" i="4"/>
  <c r="N8" i="4"/>
  <c r="N65" i="4"/>
  <c r="N43" i="4"/>
  <c r="N77" i="4"/>
  <c r="N120" i="4"/>
  <c r="N36" i="4"/>
  <c r="N100" i="4"/>
  <c r="N125" i="4"/>
  <c r="N6" i="4"/>
  <c r="N70" i="4"/>
  <c r="N134" i="4"/>
  <c r="N88" i="4"/>
  <c r="N121" i="4"/>
  <c r="N34" i="4"/>
  <c r="N98" i="4"/>
  <c r="N99" i="4"/>
  <c r="N45" i="4"/>
  <c r="N15" i="4"/>
  <c r="N40" i="4"/>
  <c r="N81" i="4"/>
  <c r="N51" i="4"/>
  <c r="N109" i="4"/>
  <c r="N25" i="4"/>
  <c r="N44" i="4"/>
  <c r="N108" i="4"/>
  <c r="N23" i="4"/>
  <c r="N42" i="4"/>
  <c r="N106" i="4"/>
  <c r="N107" i="4"/>
  <c r="N53" i="4"/>
  <c r="N39" i="4"/>
  <c r="N56" i="4"/>
  <c r="N105" i="4"/>
  <c r="N59" i="4"/>
  <c r="N133" i="4"/>
  <c r="N89" i="4"/>
  <c r="N52" i="4"/>
  <c r="N116" i="4"/>
  <c r="N87" i="4"/>
  <c r="N22" i="4"/>
  <c r="N86" i="4"/>
  <c r="N71" i="4"/>
  <c r="N136" i="4"/>
  <c r="N103" i="4"/>
  <c r="N24" i="4"/>
  <c r="N79" i="4"/>
  <c r="N55" i="4"/>
  <c r="N58" i="4"/>
  <c r="N102" i="4"/>
  <c r="N132" i="4"/>
  <c r="N75" i="4"/>
  <c r="N69" i="4"/>
  <c r="N9" i="4"/>
  <c r="N38" i="4"/>
  <c r="N60" i="4"/>
  <c r="N137" i="4"/>
  <c r="N123" i="4"/>
  <c r="N135" i="4"/>
  <c r="N14" i="4"/>
  <c r="N129" i="4"/>
  <c r="N72" i="4"/>
  <c r="N114" i="4"/>
  <c r="N112" i="4"/>
  <c r="N30" i="4"/>
  <c r="N4" i="4"/>
  <c r="N96" i="4"/>
  <c r="N122" i="4"/>
  <c r="N31" i="4"/>
  <c r="N119" i="4"/>
  <c r="N7" i="4"/>
  <c r="N47" i="4"/>
  <c r="N50" i="4"/>
  <c r="M66" i="4"/>
  <c r="M130" i="4"/>
  <c r="M103" i="4"/>
  <c r="M57" i="4"/>
  <c r="M43" i="4"/>
  <c r="M123" i="4"/>
  <c r="M12" i="4"/>
  <c r="M76" i="4"/>
  <c r="M140" i="4"/>
  <c r="M118" i="4"/>
  <c r="M40" i="4"/>
  <c r="M129" i="4"/>
  <c r="M61" i="4"/>
  <c r="M125" i="4"/>
  <c r="M94" i="4"/>
  <c r="M135" i="4"/>
  <c r="M73" i="4"/>
  <c r="M10" i="4"/>
  <c r="M74" i="4"/>
  <c r="M138" i="4"/>
  <c r="M119" i="4"/>
  <c r="M81" i="4"/>
  <c r="M59" i="4"/>
  <c r="M139" i="4"/>
  <c r="M20" i="4"/>
  <c r="M84" i="4"/>
  <c r="M6" i="4"/>
  <c r="M134" i="4"/>
  <c r="M72" i="4"/>
  <c r="M5" i="4"/>
  <c r="M69" i="4"/>
  <c r="M133" i="4"/>
  <c r="M110" i="4"/>
  <c r="M16" i="4"/>
  <c r="M89" i="4"/>
  <c r="M18" i="4"/>
  <c r="M82" i="4"/>
  <c r="M51" i="4"/>
  <c r="M24" i="4"/>
  <c r="M121" i="4"/>
  <c r="M67" i="4"/>
  <c r="M7" i="4"/>
  <c r="M28" i="4"/>
  <c r="M92" i="4"/>
  <c r="M22" i="4"/>
  <c r="M23" i="4"/>
  <c r="M104" i="4"/>
  <c r="M13" i="4"/>
  <c r="M77" i="4"/>
  <c r="M141" i="4"/>
  <c r="M126" i="4"/>
  <c r="M48" i="4"/>
  <c r="M113" i="4"/>
  <c r="M26" i="4"/>
  <c r="M90" i="4"/>
  <c r="M115" i="4"/>
  <c r="M56" i="4"/>
  <c r="M3" i="4"/>
  <c r="M75" i="4"/>
  <c r="M32" i="4"/>
  <c r="M36" i="4"/>
  <c r="M100" i="4"/>
  <c r="M38" i="4"/>
  <c r="M39" i="4"/>
  <c r="M128" i="4"/>
  <c r="M21" i="4"/>
  <c r="M85" i="4"/>
  <c r="M14" i="4"/>
  <c r="M15" i="4"/>
  <c r="M64" i="4"/>
  <c r="M137" i="4"/>
  <c r="M42" i="4"/>
  <c r="M106" i="4"/>
  <c r="M31" i="4"/>
  <c r="M112" i="4"/>
  <c r="M19" i="4"/>
  <c r="M91" i="4"/>
  <c r="M33" i="4"/>
  <c r="M52" i="4"/>
  <c r="M116" i="4"/>
  <c r="M70" i="4"/>
  <c r="M95" i="4"/>
  <c r="M41" i="4"/>
  <c r="M37" i="4"/>
  <c r="M101" i="4"/>
  <c r="M46" i="4"/>
  <c r="M63" i="4"/>
  <c r="M120" i="4"/>
  <c r="M34" i="4"/>
  <c r="M80" i="4"/>
  <c r="M83" i="4"/>
  <c r="M44" i="4"/>
  <c r="M54" i="4"/>
  <c r="M9" i="4"/>
  <c r="M93" i="4"/>
  <c r="M88" i="4"/>
  <c r="M50" i="4"/>
  <c r="M114" i="4"/>
  <c r="M55" i="4"/>
  <c r="M136" i="4"/>
  <c r="M27" i="4"/>
  <c r="M99" i="4"/>
  <c r="M105" i="4"/>
  <c r="M60" i="4"/>
  <c r="M124" i="4"/>
  <c r="M86" i="4"/>
  <c r="M127" i="4"/>
  <c r="M65" i="4"/>
  <c r="M45" i="4"/>
  <c r="M109" i="4"/>
  <c r="M62" i="4"/>
  <c r="M87" i="4"/>
  <c r="M17" i="4"/>
  <c r="M98" i="4"/>
  <c r="M131" i="4"/>
  <c r="M11" i="4"/>
  <c r="M96" i="4"/>
  <c r="M108" i="4"/>
  <c r="M71" i="4"/>
  <c r="M29" i="4"/>
  <c r="M30" i="4"/>
  <c r="M47" i="4"/>
  <c r="M58" i="4"/>
  <c r="M122" i="4"/>
  <c r="M79" i="4"/>
  <c r="M25" i="4"/>
  <c r="M35" i="4"/>
  <c r="M107" i="4"/>
  <c r="M4" i="4"/>
  <c r="M68" i="4"/>
  <c r="M132" i="4"/>
  <c r="M102" i="4"/>
  <c r="M8" i="4"/>
  <c r="M97" i="4"/>
  <c r="M53" i="4"/>
  <c r="M117" i="4"/>
  <c r="M78" i="4"/>
  <c r="M111" i="4"/>
  <c r="AG185" i="4"/>
  <c r="M188" i="3" l="1"/>
  <c r="M189" i="3"/>
  <c r="M186" i="3"/>
  <c r="M187" i="3"/>
  <c r="M185" i="3"/>
  <c r="AG186" i="4"/>
  <c r="AG23" i="4" s="1"/>
  <c r="AG126" i="4" l="1"/>
  <c r="AG114" i="4"/>
  <c r="AG172" i="4"/>
  <c r="AG166" i="4"/>
  <c r="AG137" i="4"/>
  <c r="AG88" i="4"/>
  <c r="AG69" i="4"/>
  <c r="AG146" i="4"/>
  <c r="AG170" i="4"/>
  <c r="AG128" i="4"/>
  <c r="AG156" i="4"/>
  <c r="AG175" i="4"/>
  <c r="AG162" i="4"/>
  <c r="AG93" i="4"/>
  <c r="AG143" i="4"/>
  <c r="AG151" i="4"/>
  <c r="AG95" i="4"/>
  <c r="AG147" i="4"/>
  <c r="AG110" i="4"/>
  <c r="AG152" i="4"/>
  <c r="AG163" i="4"/>
  <c r="AG161" i="4"/>
  <c r="AG145" i="4"/>
  <c r="AG155" i="4"/>
  <c r="AG153" i="4"/>
  <c r="AG150" i="4"/>
  <c r="AG180" i="4"/>
  <c r="AG164" i="4"/>
  <c r="AG136" i="4"/>
  <c r="AG112" i="4"/>
  <c r="AG181" i="4"/>
  <c r="AG182" i="4"/>
  <c r="AG173" i="4"/>
  <c r="AG149" i="4"/>
  <c r="AG115" i="4"/>
  <c r="AG111" i="4"/>
  <c r="AG144" i="4"/>
  <c r="AG179" i="4"/>
  <c r="AG106" i="4"/>
  <c r="AG99" i="4"/>
  <c r="AG154" i="4"/>
  <c r="AG176" i="4"/>
  <c r="AG124" i="4"/>
  <c r="AG174" i="4"/>
  <c r="AG165" i="4"/>
  <c r="AG101" i="4"/>
  <c r="AG142" i="4"/>
  <c r="AG171" i="4"/>
  <c r="AG148" i="4"/>
  <c r="AG157" i="4"/>
  <c r="AG183" i="4"/>
  <c r="AG83" i="4"/>
  <c r="AG167" i="4"/>
  <c r="AG158" i="4"/>
  <c r="AG160" i="4"/>
  <c r="AG178" i="4"/>
  <c r="AG168" i="4"/>
  <c r="AG169" i="4"/>
  <c r="AG127" i="4"/>
  <c r="AG177" i="4"/>
  <c r="AG159" i="4"/>
  <c r="AG134" i="4"/>
  <c r="AG141" i="4"/>
  <c r="AG102" i="4"/>
  <c r="AG90" i="4"/>
  <c r="AG120" i="4"/>
  <c r="AG87" i="4"/>
  <c r="AG86" i="4"/>
  <c r="AG78" i="4"/>
  <c r="AG108" i="4"/>
  <c r="AG75" i="4"/>
  <c r="AG135" i="4"/>
  <c r="AG123" i="4"/>
  <c r="AG80" i="4"/>
  <c r="AG138" i="4"/>
  <c r="AG97" i="4"/>
  <c r="AG84" i="4"/>
  <c r="AG119" i="4"/>
  <c r="AG103" i="4"/>
  <c r="AG117" i="4"/>
  <c r="AG121" i="4"/>
  <c r="AG55" i="4"/>
  <c r="AG105" i="4"/>
  <c r="AG82" i="4"/>
  <c r="AG129" i="4"/>
  <c r="AG118" i="4"/>
  <c r="AG77" i="4"/>
  <c r="AG53" i="4"/>
  <c r="AG122" i="4"/>
  <c r="AG37" i="4"/>
  <c r="AG60" i="4"/>
  <c r="AG107" i="4"/>
  <c r="AG71" i="4"/>
  <c r="AG13" i="4"/>
  <c r="AG47" i="4"/>
  <c r="AG76" i="4"/>
  <c r="AG113" i="4"/>
  <c r="AG27" i="4"/>
  <c r="AG44" i="4"/>
  <c r="AG89" i="4"/>
  <c r="AG68" i="4"/>
  <c r="AG10" i="4"/>
  <c r="AG85" i="4"/>
  <c r="AG79" i="4"/>
  <c r="AG67" i="4"/>
  <c r="AG26" i="4"/>
  <c r="AG74" i="4"/>
  <c r="AG63" i="4"/>
  <c r="AG43" i="4"/>
  <c r="AG131" i="4"/>
  <c r="AG35" i="4"/>
  <c r="AG14" i="4"/>
  <c r="AG18" i="4"/>
  <c r="AG34" i="4"/>
  <c r="AG100" i="4"/>
  <c r="AG139" i="4"/>
  <c r="AG133" i="4"/>
  <c r="AG98" i="4"/>
  <c r="AG81" i="4"/>
  <c r="AG70" i="4"/>
  <c r="AG17" i="4"/>
  <c r="AG7" i="4"/>
  <c r="AG9" i="4"/>
  <c r="AG49" i="4"/>
  <c r="AG3" i="4"/>
  <c r="AG140" i="4"/>
  <c r="AG130" i="4"/>
  <c r="AG132" i="4"/>
  <c r="AG29" i="4"/>
  <c r="AG20" i="4"/>
  <c r="AG66" i="4"/>
  <c r="AG41" i="4"/>
  <c r="AG54" i="4"/>
  <c r="AG104" i="4"/>
  <c r="AG94" i="4"/>
  <c r="AG96" i="4"/>
  <c r="AG33" i="4"/>
  <c r="AG125" i="4"/>
  <c r="AG15" i="4"/>
  <c r="AG57" i="4"/>
  <c r="AG39" i="4"/>
  <c r="AG65" i="4"/>
  <c r="AG73" i="4"/>
  <c r="AG52" i="4"/>
  <c r="AG5" i="4"/>
  <c r="AG12" i="4"/>
  <c r="AG92" i="4"/>
  <c r="AG42" i="4"/>
  <c r="AG61" i="4"/>
  <c r="AG36" i="4"/>
  <c r="AG25" i="4"/>
  <c r="AG38" i="4"/>
  <c r="AG72" i="4"/>
  <c r="AG62" i="4"/>
  <c r="AG48" i="4"/>
  <c r="AG64" i="4"/>
  <c r="AG51" i="4"/>
  <c r="AG116" i="4"/>
  <c r="AG45" i="4"/>
  <c r="AG91" i="4"/>
  <c r="AG11" i="4"/>
  <c r="AG50" i="4"/>
  <c r="AG109" i="4"/>
  <c r="AG56" i="4"/>
  <c r="AG30" i="4"/>
  <c r="AG40" i="4"/>
  <c r="AG46" i="4"/>
  <c r="AG8" i="4"/>
  <c r="AG24" i="4"/>
  <c r="AG4" i="4"/>
  <c r="AG21" i="4"/>
  <c r="AG2" i="4"/>
  <c r="AG59" i="4"/>
  <c r="AG28" i="4"/>
  <c r="AG19" i="4"/>
  <c r="AG58" i="4"/>
  <c r="AG32" i="4"/>
  <c r="AG6" i="4"/>
  <c r="AG16" i="4"/>
  <c r="AG22" i="4"/>
  <c r="AG31" i="4"/>
  <c r="AH185" i="4"/>
  <c r="AH186" i="4" l="1"/>
  <c r="AH2" i="4" s="1"/>
  <c r="AI185" i="4"/>
  <c r="AH142" i="4" l="1"/>
  <c r="AH175" i="4"/>
  <c r="AH124" i="4"/>
  <c r="AH143" i="4"/>
  <c r="AH163" i="4"/>
  <c r="AH181" i="4"/>
  <c r="AH110" i="4"/>
  <c r="AH178" i="4"/>
  <c r="AH112" i="4"/>
  <c r="AH162" i="4"/>
  <c r="AH106" i="4"/>
  <c r="AH156" i="4"/>
  <c r="AH115" i="4"/>
  <c r="AH174" i="4"/>
  <c r="AH88" i="4"/>
  <c r="AH83" i="4"/>
  <c r="AH154" i="4"/>
  <c r="AH153" i="4"/>
  <c r="AH152" i="4"/>
  <c r="AH169" i="4"/>
  <c r="AH101" i="4"/>
  <c r="AH158" i="4"/>
  <c r="AH150" i="4"/>
  <c r="AH157" i="4"/>
  <c r="AH173" i="4"/>
  <c r="AH137" i="4"/>
  <c r="AH127" i="4"/>
  <c r="AH182" i="4"/>
  <c r="AH93" i="4"/>
  <c r="AH170" i="4"/>
  <c r="AH99" i="4"/>
  <c r="AH145" i="4"/>
  <c r="AH147" i="4"/>
  <c r="AH167" i="4"/>
  <c r="AH176" i="4"/>
  <c r="AH168" i="4"/>
  <c r="AH164" i="4"/>
  <c r="AH165" i="4"/>
  <c r="AH151" i="4"/>
  <c r="AH183" i="4"/>
  <c r="AH95" i="4"/>
  <c r="AH171" i="4"/>
  <c r="AH160" i="4"/>
  <c r="AH144" i="4"/>
  <c r="AH148" i="4"/>
  <c r="AH180" i="4"/>
  <c r="AH136" i="4"/>
  <c r="AH172" i="4"/>
  <c r="AH155" i="4"/>
  <c r="AH149" i="4"/>
  <c r="AH146" i="4"/>
  <c r="AH128" i="4"/>
  <c r="AH126" i="4"/>
  <c r="AH114" i="4"/>
  <c r="AH166" i="4"/>
  <c r="AH111" i="4"/>
  <c r="AH69" i="4"/>
  <c r="AH179" i="4"/>
  <c r="AH161" i="4"/>
  <c r="AH177" i="4"/>
  <c r="AH159" i="4"/>
  <c r="AH55" i="4"/>
  <c r="AH84" i="4"/>
  <c r="AH135" i="4"/>
  <c r="AH134" i="4"/>
  <c r="AH80" i="4"/>
  <c r="AH120" i="4"/>
  <c r="AH141" i="4"/>
  <c r="AH103" i="4"/>
  <c r="AH102" i="4"/>
  <c r="AH121" i="4"/>
  <c r="AH117" i="4"/>
  <c r="AH78" i="4"/>
  <c r="AH87" i="4"/>
  <c r="AH119" i="4"/>
  <c r="AH108" i="4"/>
  <c r="AH123" i="4"/>
  <c r="AH138" i="4"/>
  <c r="AH86" i="4"/>
  <c r="AH97" i="4"/>
  <c r="AH75" i="4"/>
  <c r="AH90" i="4"/>
  <c r="AH54" i="4"/>
  <c r="AH29" i="4"/>
  <c r="AH76" i="4"/>
  <c r="AH72" i="4"/>
  <c r="AH3" i="4"/>
  <c r="AH58" i="4"/>
  <c r="AH39" i="4"/>
  <c r="AH46" i="4"/>
  <c r="AH109" i="4"/>
  <c r="AH21" i="4"/>
  <c r="AH24" i="4"/>
  <c r="AH68" i="4"/>
  <c r="AH4" i="4"/>
  <c r="AH40" i="4"/>
  <c r="AH59" i="4"/>
  <c r="AH89" i="4"/>
  <c r="AH15" i="4"/>
  <c r="AH50" i="4"/>
  <c r="AH31" i="4"/>
  <c r="AH38" i="4"/>
  <c r="AH85" i="4"/>
  <c r="AH13" i="4"/>
  <c r="AH63" i="4"/>
  <c r="AH60" i="4"/>
  <c r="AH129" i="4"/>
  <c r="AH32" i="4"/>
  <c r="AH51" i="4"/>
  <c r="AH49" i="4"/>
  <c r="AH130" i="4"/>
  <c r="AH42" i="4"/>
  <c r="AH53" i="4"/>
  <c r="AH79" i="4"/>
  <c r="AH125" i="4"/>
  <c r="AH48" i="4"/>
  <c r="AH12" i="4"/>
  <c r="AH67" i="4"/>
  <c r="AH47" i="4"/>
  <c r="AH7" i="4"/>
  <c r="AH30" i="4"/>
  <c r="AH77" i="4"/>
  <c r="AH5" i="4"/>
  <c r="AH140" i="4"/>
  <c r="AH52" i="4"/>
  <c r="AH105" i="4"/>
  <c r="AH23" i="4"/>
  <c r="AH43" i="4"/>
  <c r="AH9" i="4"/>
  <c r="AH122" i="4"/>
  <c r="AH34" i="4"/>
  <c r="AH65" i="4"/>
  <c r="AH118" i="4"/>
  <c r="AH22" i="4"/>
  <c r="AH61" i="4"/>
  <c r="AH113" i="4"/>
  <c r="AH132" i="4"/>
  <c r="AH44" i="4"/>
  <c r="AH73" i="4"/>
  <c r="AH139" i="4"/>
  <c r="AH35" i="4"/>
  <c r="AH96" i="4"/>
  <c r="AH98" i="4"/>
  <c r="AH26" i="4"/>
  <c r="AH17" i="4"/>
  <c r="AH14" i="4"/>
  <c r="AH116" i="4"/>
  <c r="AH131" i="4"/>
  <c r="AH64" i="4"/>
  <c r="AH82" i="4"/>
  <c r="AH56" i="4"/>
  <c r="AH70" i="4"/>
  <c r="AH6" i="4"/>
  <c r="AH45" i="4"/>
  <c r="AH57" i="4"/>
  <c r="AH100" i="4"/>
  <c r="AH28" i="4"/>
  <c r="AH25" i="4"/>
  <c r="AH107" i="4"/>
  <c r="AH19" i="4"/>
  <c r="AH8" i="4"/>
  <c r="AH74" i="4"/>
  <c r="AH10" i="4"/>
  <c r="AH94" i="4"/>
  <c r="AH81" i="4"/>
  <c r="AH36" i="4"/>
  <c r="AH41" i="4"/>
  <c r="AH27" i="4"/>
  <c r="AH18" i="4"/>
  <c r="AH16" i="4"/>
  <c r="AH62" i="4"/>
  <c r="AH133" i="4"/>
  <c r="AH37" i="4"/>
  <c r="AH33" i="4"/>
  <c r="AH92" i="4"/>
  <c r="AH20" i="4"/>
  <c r="AH104" i="4"/>
  <c r="AH91" i="4"/>
  <c r="AH11" i="4"/>
  <c r="AH71" i="4"/>
  <c r="AH66" i="4"/>
  <c r="AI186" i="4"/>
  <c r="AI2" i="4" s="1"/>
  <c r="AI156" i="4" l="1"/>
  <c r="AI110" i="4"/>
  <c r="AI174" i="4"/>
  <c r="AI178" i="4"/>
  <c r="AI161" i="4"/>
  <c r="AI127" i="4"/>
  <c r="AI126" i="4"/>
  <c r="AI147" i="4"/>
  <c r="AI155" i="4"/>
  <c r="AI115" i="4"/>
  <c r="AI69" i="4"/>
  <c r="AI146" i="4"/>
  <c r="AI183" i="4"/>
  <c r="AI128" i="4"/>
  <c r="AI99" i="4"/>
  <c r="AI145" i="4"/>
  <c r="AI154" i="4"/>
  <c r="AI153" i="4"/>
  <c r="AI176" i="4"/>
  <c r="AI93" i="4"/>
  <c r="AI179" i="4"/>
  <c r="AI101" i="4"/>
  <c r="AI172" i="4"/>
  <c r="AI173" i="4"/>
  <c r="AI162" i="4"/>
  <c r="AI144" i="4"/>
  <c r="AI143" i="4"/>
  <c r="AI157" i="4"/>
  <c r="AI163" i="4"/>
  <c r="AI95" i="4"/>
  <c r="AI158" i="4"/>
  <c r="AI150" i="4"/>
  <c r="AI148" i="4"/>
  <c r="AI180" i="4"/>
  <c r="AI136" i="4"/>
  <c r="AI112" i="4"/>
  <c r="AI114" i="4"/>
  <c r="AI167" i="4"/>
  <c r="AI149" i="4"/>
  <c r="AI111" i="4"/>
  <c r="AI168" i="4"/>
  <c r="AI169" i="4"/>
  <c r="AI106" i="4"/>
  <c r="AI83" i="4"/>
  <c r="AI181" i="4"/>
  <c r="AI182" i="4"/>
  <c r="AI166" i="4"/>
  <c r="AI160" i="4"/>
  <c r="AI124" i="4"/>
  <c r="AI164" i="4"/>
  <c r="AI170" i="4"/>
  <c r="AI142" i="4"/>
  <c r="AI171" i="4"/>
  <c r="AI175" i="4"/>
  <c r="AI137" i="4"/>
  <c r="AI152" i="4"/>
  <c r="AI165" i="4"/>
  <c r="AI151" i="4"/>
  <c r="AI88" i="4"/>
  <c r="AI177" i="4"/>
  <c r="AI159" i="4"/>
  <c r="AI135" i="4"/>
  <c r="AI138" i="4"/>
  <c r="AI55" i="4"/>
  <c r="AI108" i="4"/>
  <c r="AI141" i="4"/>
  <c r="AI102" i="4"/>
  <c r="AI86" i="4"/>
  <c r="AI123" i="4"/>
  <c r="AI134" i="4"/>
  <c r="AI103" i="4"/>
  <c r="AI84" i="4"/>
  <c r="AI97" i="4"/>
  <c r="AI121" i="4"/>
  <c r="AI120" i="4"/>
  <c r="AI87" i="4"/>
  <c r="AI117" i="4"/>
  <c r="AI90" i="4"/>
  <c r="AI75" i="4"/>
  <c r="AI80" i="4"/>
  <c r="AI119" i="4"/>
  <c r="AI78" i="4"/>
  <c r="AI96" i="4"/>
  <c r="AI44" i="4"/>
  <c r="AI59" i="4"/>
  <c r="AI8" i="4"/>
  <c r="AI23" i="4"/>
  <c r="AI118" i="4"/>
  <c r="AI72" i="4"/>
  <c r="AI36" i="4"/>
  <c r="AI16" i="4"/>
  <c r="AI14" i="4"/>
  <c r="AI129" i="4"/>
  <c r="AI15" i="4"/>
  <c r="AI77" i="4"/>
  <c r="AI57" i="4"/>
  <c r="AI132" i="4"/>
  <c r="AI122" i="4"/>
  <c r="AI49" i="4"/>
  <c r="AI116" i="4"/>
  <c r="AI34" i="4"/>
  <c r="AI81" i="4"/>
  <c r="AI17" i="4"/>
  <c r="AI40" i="4"/>
  <c r="AI47" i="4"/>
  <c r="AI125" i="4"/>
  <c r="AI68" i="4"/>
  <c r="AI4" i="4"/>
  <c r="AI107" i="4"/>
  <c r="AI19" i="4"/>
  <c r="AI6" i="4"/>
  <c r="AI29" i="4"/>
  <c r="AI58" i="4"/>
  <c r="AI73" i="4"/>
  <c r="AI9" i="4"/>
  <c r="AI32" i="4"/>
  <c r="AI39" i="4"/>
  <c r="AI21" i="4"/>
  <c r="AI60" i="4"/>
  <c r="AI62" i="4"/>
  <c r="AI91" i="4"/>
  <c r="AI11" i="4"/>
  <c r="AI133" i="4"/>
  <c r="AI5" i="4"/>
  <c r="AI50" i="4"/>
  <c r="AI65" i="4"/>
  <c r="AI104" i="4"/>
  <c r="AI24" i="4"/>
  <c r="AI31" i="4"/>
  <c r="AI140" i="4"/>
  <c r="AI52" i="4"/>
  <c r="AI38" i="4"/>
  <c r="AI67" i="4"/>
  <c r="AI3" i="4"/>
  <c r="AI109" i="4"/>
  <c r="AI130" i="4"/>
  <c r="AI42" i="4"/>
  <c r="AI51" i="4"/>
  <c r="AI61" i="4"/>
  <c r="AI26" i="4"/>
  <c r="AI113" i="4"/>
  <c r="AI41" i="4"/>
  <c r="AI64" i="4"/>
  <c r="AI79" i="4"/>
  <c r="AI7" i="4"/>
  <c r="AI100" i="4"/>
  <c r="AI28" i="4"/>
  <c r="AI13" i="4"/>
  <c r="AI43" i="4"/>
  <c r="AI70" i="4"/>
  <c r="AI53" i="4"/>
  <c r="AI82" i="4"/>
  <c r="AI18" i="4"/>
  <c r="AI85" i="4"/>
  <c r="AI94" i="4"/>
  <c r="AI98" i="4"/>
  <c r="AI105" i="4"/>
  <c r="AI33" i="4"/>
  <c r="AI56" i="4"/>
  <c r="AI71" i="4"/>
  <c r="AI46" i="4"/>
  <c r="AI92" i="4"/>
  <c r="AI20" i="4"/>
  <c r="AI139" i="4"/>
  <c r="AI35" i="4"/>
  <c r="AI54" i="4"/>
  <c r="AI45" i="4"/>
  <c r="AI74" i="4"/>
  <c r="AI10" i="4"/>
  <c r="AI89" i="4"/>
  <c r="AI25" i="4"/>
  <c r="AI48" i="4"/>
  <c r="AI63" i="4"/>
  <c r="AI22" i="4"/>
  <c r="AI76" i="4"/>
  <c r="AI12" i="4"/>
  <c r="AI131" i="4"/>
  <c r="AI27" i="4"/>
  <c r="AI30" i="4"/>
  <c r="AI37" i="4"/>
  <c r="AI66" i="4"/>
  <c r="Q185" i="4"/>
  <c r="R185" i="4"/>
  <c r="R186" i="4" l="1"/>
  <c r="R65" i="4" s="1"/>
  <c r="Q186" i="4"/>
  <c r="Q2" i="4" s="1"/>
  <c r="Q163" i="4" l="1"/>
  <c r="Q179" i="4"/>
  <c r="Q180" i="4"/>
  <c r="Q164" i="4"/>
  <c r="Q148" i="4"/>
  <c r="R177" i="4"/>
  <c r="R178" i="4"/>
  <c r="R162" i="4"/>
  <c r="R146" i="4"/>
  <c r="R165" i="4"/>
  <c r="Q157" i="4"/>
  <c r="Q162" i="4"/>
  <c r="R175" i="4"/>
  <c r="R160" i="4"/>
  <c r="R144" i="4"/>
  <c r="Q183" i="4"/>
  <c r="Q143" i="4"/>
  <c r="Q159" i="4"/>
  <c r="Q176" i="4"/>
  <c r="Q160" i="4"/>
  <c r="Q144" i="4"/>
  <c r="R173" i="4"/>
  <c r="R174" i="4"/>
  <c r="R158" i="4"/>
  <c r="R142" i="4"/>
  <c r="R157" i="4"/>
  <c r="Q175" i="4"/>
  <c r="Q178" i="4"/>
  <c r="Q146" i="4"/>
  <c r="R176" i="4"/>
  <c r="R159" i="4"/>
  <c r="Q181" i="4"/>
  <c r="Q177" i="4"/>
  <c r="Q155" i="4"/>
  <c r="Q174" i="4"/>
  <c r="Q158" i="4"/>
  <c r="Q142" i="4"/>
  <c r="R163" i="4"/>
  <c r="R172" i="4"/>
  <c r="R156" i="4"/>
  <c r="R183" i="4"/>
  <c r="R153" i="4"/>
  <c r="Q173" i="4"/>
  <c r="Q165" i="4"/>
  <c r="Q153" i="4"/>
  <c r="Q172" i="4"/>
  <c r="Q156" i="4"/>
  <c r="R179" i="4"/>
  <c r="R155" i="4"/>
  <c r="R170" i="4"/>
  <c r="R154" i="4"/>
  <c r="R181" i="4"/>
  <c r="R149" i="4"/>
  <c r="Q169" i="4"/>
  <c r="Q149" i="4"/>
  <c r="Q147" i="4"/>
  <c r="Q168" i="4"/>
  <c r="Q152" i="4"/>
  <c r="R151" i="4"/>
  <c r="R182" i="4"/>
  <c r="R166" i="4"/>
  <c r="R150" i="4"/>
  <c r="R169" i="4"/>
  <c r="Q167" i="4"/>
  <c r="Q145" i="4"/>
  <c r="Q182" i="4"/>
  <c r="Q166" i="4"/>
  <c r="Q150" i="4"/>
  <c r="R143" i="4"/>
  <c r="R180" i="4"/>
  <c r="R164" i="4"/>
  <c r="R148" i="4"/>
  <c r="R167" i="4"/>
  <c r="Q171" i="4"/>
  <c r="Q161" i="4"/>
  <c r="Q151" i="4"/>
  <c r="Q170" i="4"/>
  <c r="Q154" i="4"/>
  <c r="R161" i="4"/>
  <c r="R147" i="4"/>
  <c r="R168" i="4"/>
  <c r="R152" i="4"/>
  <c r="R171" i="4"/>
  <c r="R145" i="4"/>
  <c r="Q114" i="4"/>
  <c r="Q128" i="4"/>
  <c r="Q132" i="4"/>
  <c r="Q91" i="4"/>
  <c r="Q124" i="4"/>
  <c r="Q136" i="4"/>
  <c r="Q109" i="4"/>
  <c r="R108" i="4"/>
  <c r="R104" i="4"/>
  <c r="R100" i="4"/>
  <c r="R127" i="4"/>
  <c r="R94" i="4"/>
  <c r="R19" i="4"/>
  <c r="R75" i="4"/>
  <c r="R38" i="4"/>
  <c r="R54" i="4"/>
  <c r="R117" i="4"/>
  <c r="R6" i="4"/>
  <c r="R103" i="4"/>
  <c r="R5" i="4"/>
  <c r="R39" i="4"/>
  <c r="R76" i="4"/>
  <c r="R56" i="4"/>
  <c r="R118" i="4"/>
  <c r="R110" i="4"/>
  <c r="R30" i="4"/>
  <c r="R57" i="4"/>
  <c r="R115" i="4"/>
  <c r="R47" i="4"/>
  <c r="R10" i="4"/>
  <c r="R45" i="4"/>
  <c r="R8" i="4"/>
  <c r="R90" i="4"/>
  <c r="R86" i="4"/>
  <c r="R70" i="4"/>
  <c r="R79" i="4"/>
  <c r="R88" i="4"/>
  <c r="R15" i="4"/>
  <c r="R64" i="4"/>
  <c r="R49" i="4"/>
  <c r="R92" i="4"/>
  <c r="R77" i="4"/>
  <c r="R26" i="4"/>
  <c r="R113" i="4"/>
  <c r="R128" i="4"/>
  <c r="R17" i="4"/>
  <c r="R46" i="4"/>
  <c r="R52" i="4"/>
  <c r="R51" i="4"/>
  <c r="R14" i="4"/>
  <c r="Q37" i="4"/>
  <c r="Q56" i="4"/>
  <c r="Q93" i="4"/>
  <c r="Q90" i="4"/>
  <c r="Q23" i="4"/>
  <c r="Q13" i="4"/>
  <c r="Q32" i="4"/>
  <c r="Q74" i="4"/>
  <c r="Q133" i="4"/>
  <c r="R84" i="4"/>
  <c r="R24" i="4"/>
  <c r="R109" i="4"/>
  <c r="R119" i="4"/>
  <c r="R81" i="4"/>
  <c r="R9" i="4"/>
  <c r="R34" i="4"/>
  <c r="R32" i="4"/>
  <c r="R129" i="4"/>
  <c r="R58" i="4"/>
  <c r="R44" i="4"/>
  <c r="R37" i="4"/>
  <c r="R29" i="4"/>
  <c r="R23" i="4"/>
  <c r="R16" i="4"/>
  <c r="R73" i="4"/>
  <c r="R69" i="4"/>
  <c r="R131" i="4"/>
  <c r="R71" i="4"/>
  <c r="R126" i="4"/>
  <c r="R11" i="4"/>
  <c r="R25" i="4"/>
  <c r="R62" i="4"/>
  <c r="R122" i="4"/>
  <c r="R101" i="4"/>
  <c r="R48" i="4"/>
  <c r="R112" i="4"/>
  <c r="R60" i="4"/>
  <c r="R130" i="4"/>
  <c r="R7" i="4"/>
  <c r="R120" i="4"/>
  <c r="R33" i="4"/>
  <c r="R116" i="4"/>
  <c r="R42" i="4"/>
  <c r="R2" i="4"/>
  <c r="S2" i="4" s="1"/>
  <c r="R134" i="4"/>
  <c r="R4" i="4"/>
  <c r="R66" i="4"/>
  <c r="R50" i="4"/>
  <c r="R125" i="4"/>
  <c r="R53" i="4"/>
  <c r="R36" i="4"/>
  <c r="R43" i="4"/>
  <c r="R35" i="4"/>
  <c r="Q47" i="4"/>
  <c r="Q3" i="4"/>
  <c r="Q104" i="4"/>
  <c r="Q87" i="4"/>
  <c r="Q62" i="4"/>
  <c r="Q59" i="4"/>
  <c r="Q20" i="4"/>
  <c r="Q69" i="4"/>
  <c r="Q102" i="4"/>
  <c r="R106" i="4"/>
  <c r="R27" i="4"/>
  <c r="R105" i="4"/>
  <c r="R114" i="4"/>
  <c r="R3" i="4"/>
  <c r="R21" i="4"/>
  <c r="R111" i="4"/>
  <c r="R97" i="4"/>
  <c r="R59" i="4"/>
  <c r="R63" i="4"/>
  <c r="R107" i="4"/>
  <c r="R72" i="4"/>
  <c r="R139" i="4"/>
  <c r="R89" i="4"/>
  <c r="R136" i="4"/>
  <c r="R99" i="4"/>
  <c r="R13" i="4"/>
  <c r="R68" i="4"/>
  <c r="R20" i="4"/>
  <c r="R67" i="4"/>
  <c r="R31" i="4"/>
  <c r="R74" i="4"/>
  <c r="R93" i="4"/>
  <c r="R91" i="4"/>
  <c r="R140" i="4"/>
  <c r="Q65" i="4"/>
  <c r="S65" i="4" s="1"/>
  <c r="Q51" i="4"/>
  <c r="Q39" i="4"/>
  <c r="Q58" i="4"/>
  <c r="Q68" i="4"/>
  <c r="Q88" i="4"/>
  <c r="Q94" i="4"/>
  <c r="Q89" i="4"/>
  <c r="R123" i="4"/>
  <c r="R22" i="4"/>
  <c r="R133" i="4"/>
  <c r="R85" i="4"/>
  <c r="R78" i="4"/>
  <c r="R102" i="4"/>
  <c r="R28" i="4"/>
  <c r="R82" i="4"/>
  <c r="R87" i="4"/>
  <c r="Q96" i="4"/>
  <c r="Q16" i="4"/>
  <c r="Q12" i="4"/>
  <c r="Q125" i="4"/>
  <c r="Q57" i="4"/>
  <c r="Q28" i="4"/>
  <c r="Q63" i="4"/>
  <c r="Q19" i="4"/>
  <c r="Q131" i="4"/>
  <c r="Q35" i="4"/>
  <c r="Q118" i="4"/>
  <c r="Q76" i="4"/>
  <c r="S76" i="4" s="1"/>
  <c r="Q44" i="4"/>
  <c r="Q100" i="4"/>
  <c r="Q92" i="4"/>
  <c r="S92" i="4" s="1"/>
  <c r="R95" i="4"/>
  <c r="R121" i="4"/>
  <c r="R12" i="4"/>
  <c r="R61" i="4"/>
  <c r="Q34" i="4"/>
  <c r="Q40" i="4"/>
  <c r="Q52" i="4"/>
  <c r="Q9" i="4"/>
  <c r="S9" i="4" s="1"/>
  <c r="Q5" i="4"/>
  <c r="Q66" i="4"/>
  <c r="Q71" i="4"/>
  <c r="Q70" i="4"/>
  <c r="Q83" i="4"/>
  <c r="Q29" i="4"/>
  <c r="Q82" i="4"/>
  <c r="Q36" i="4"/>
  <c r="Q43" i="4"/>
  <c r="Q112" i="4"/>
  <c r="Q120" i="4"/>
  <c r="Q117" i="4"/>
  <c r="Q64" i="4"/>
  <c r="Q30" i="4"/>
  <c r="Q86" i="4"/>
  <c r="Q14" i="4"/>
  <c r="Q116" i="4"/>
  <c r="Q55" i="4"/>
  <c r="Q108" i="4"/>
  <c r="Q98" i="4"/>
  <c r="Q26" i="4"/>
  <c r="Q25" i="4"/>
  <c r="Q10" i="4"/>
  <c r="Q106" i="4"/>
  <c r="Q72" i="4"/>
  <c r="Q110" i="4"/>
  <c r="Q101" i="4"/>
  <c r="S101" i="4" s="1"/>
  <c r="Q103" i="4"/>
  <c r="Q48" i="4"/>
  <c r="Q22" i="4"/>
  <c r="Q17" i="4"/>
  <c r="Q115" i="4"/>
  <c r="Q140" i="4"/>
  <c r="Q7" i="4"/>
  <c r="Q6" i="4"/>
  <c r="Q84" i="4"/>
  <c r="Q41" i="4"/>
  <c r="Q24" i="4"/>
  <c r="Q79" i="4"/>
  <c r="Q122" i="4"/>
  <c r="Q127" i="4"/>
  <c r="Q126" i="4"/>
  <c r="Q53" i="4"/>
  <c r="S53" i="4" s="1"/>
  <c r="Q75" i="4"/>
  <c r="Q21" i="4"/>
  <c r="S21" i="4" s="1"/>
  <c r="Q77" i="4"/>
  <c r="Q99" i="4"/>
  <c r="S99" i="4" s="1"/>
  <c r="Q97" i="4"/>
  <c r="Q113" i="4"/>
  <c r="Q129" i="4"/>
  <c r="Q81" i="4"/>
  <c r="Q95" i="4"/>
  <c r="Q33" i="4"/>
  <c r="Q15" i="4"/>
  <c r="Q42" i="4"/>
  <c r="Q111" i="4"/>
  <c r="Q46" i="4"/>
  <c r="R80" i="4"/>
  <c r="R138" i="4"/>
  <c r="R55" i="4"/>
  <c r="R137" i="4"/>
  <c r="R40" i="4"/>
  <c r="R18" i="4"/>
  <c r="R83" i="4"/>
  <c r="R41" i="4"/>
  <c r="R132" i="4"/>
  <c r="R141" i="4"/>
  <c r="R96" i="4"/>
  <c r="R135" i="4"/>
  <c r="R124" i="4"/>
  <c r="R98" i="4"/>
  <c r="Q11" i="4"/>
  <c r="Q67" i="4"/>
  <c r="Q138" i="4"/>
  <c r="Q78" i="4"/>
  <c r="Q130" i="4"/>
  <c r="Q135" i="4"/>
  <c r="Q134" i="4"/>
  <c r="S134" i="4" s="1"/>
  <c r="Q61" i="4"/>
  <c r="Q38" i="4"/>
  <c r="Q60" i="4"/>
  <c r="Q141" i="4"/>
  <c r="Q107" i="4"/>
  <c r="Q121" i="4"/>
  <c r="Q137" i="4"/>
  <c r="S137" i="4" s="1"/>
  <c r="Q4" i="4"/>
  <c r="Q49" i="4"/>
  <c r="S49" i="4" s="1"/>
  <c r="Q31" i="4"/>
  <c r="Q18" i="4"/>
  <c r="Q8" i="4"/>
  <c r="Q50" i="4"/>
  <c r="Q119" i="4"/>
  <c r="Q54" i="4"/>
  <c r="Q45" i="4"/>
  <c r="S45" i="4" s="1"/>
  <c r="Q139" i="4"/>
  <c r="Q85" i="4"/>
  <c r="Q123" i="4"/>
  <c r="S123" i="4" s="1"/>
  <c r="Q27" i="4"/>
  <c r="Q73" i="4"/>
  <c r="Q80" i="4"/>
  <c r="Q105" i="4"/>
  <c r="AK185" i="4"/>
  <c r="AJ185" i="4"/>
  <c r="S27" i="4" l="1"/>
  <c r="S87" i="4"/>
  <c r="S106" i="4"/>
  <c r="S52" i="4"/>
  <c r="S58" i="4"/>
  <c r="S135" i="4"/>
  <c r="S139" i="4"/>
  <c r="S61" i="4"/>
  <c r="S42" i="4"/>
  <c r="S102" i="4"/>
  <c r="S47" i="4"/>
  <c r="S151" i="4"/>
  <c r="S48" i="4"/>
  <c r="S50" i="4"/>
  <c r="S78" i="4"/>
  <c r="S6" i="4"/>
  <c r="S120" i="4"/>
  <c r="S71" i="4"/>
  <c r="S16" i="4"/>
  <c r="S39" i="4"/>
  <c r="S167" i="4"/>
  <c r="S10" i="4"/>
  <c r="S17" i="4"/>
  <c r="S24" i="4"/>
  <c r="S88" i="4"/>
  <c r="S131" i="4"/>
  <c r="S15" i="4"/>
  <c r="S75" i="4"/>
  <c r="S165" i="4"/>
  <c r="S126" i="4"/>
  <c r="S112" i="4"/>
  <c r="S44" i="4"/>
  <c r="S100" i="4"/>
  <c r="S28" i="4"/>
  <c r="S150" i="4"/>
  <c r="S178" i="4"/>
  <c r="S160" i="4"/>
  <c r="S164" i="4"/>
  <c r="S86" i="4"/>
  <c r="S77" i="4"/>
  <c r="S30" i="4"/>
  <c r="S173" i="4"/>
  <c r="S176" i="4"/>
  <c r="S180" i="4"/>
  <c r="S95" i="4"/>
  <c r="S8" i="4"/>
  <c r="S55" i="4"/>
  <c r="S96" i="4"/>
  <c r="S19" i="4"/>
  <c r="S129" i="4"/>
  <c r="S7" i="4"/>
  <c r="S110" i="4"/>
  <c r="S66" i="4"/>
  <c r="S51" i="4"/>
  <c r="S149" i="4"/>
  <c r="S140" i="4"/>
  <c r="S43" i="4"/>
  <c r="S104" i="4"/>
  <c r="S128" i="4"/>
  <c r="S82" i="4"/>
  <c r="S25" i="4"/>
  <c r="S57" i="4"/>
  <c r="S23" i="4"/>
  <c r="S109" i="4"/>
  <c r="S166" i="4"/>
  <c r="S175" i="4"/>
  <c r="S157" i="4"/>
  <c r="S94" i="4"/>
  <c r="S158" i="4"/>
  <c r="S83" i="4"/>
  <c r="S90" i="4"/>
  <c r="S79" i="4"/>
  <c r="S13" i="4"/>
  <c r="S162" i="4"/>
  <c r="S117" i="4"/>
  <c r="S59" i="4"/>
  <c r="S143" i="4"/>
  <c r="S37" i="4"/>
  <c r="S74" i="4"/>
  <c r="S73" i="4"/>
  <c r="S107" i="4"/>
  <c r="S81" i="4"/>
  <c r="S108" i="4"/>
  <c r="S35" i="4"/>
  <c r="S62" i="4"/>
  <c r="S56" i="4"/>
  <c r="S183" i="4"/>
  <c r="S141" i="4"/>
  <c r="S138" i="4"/>
  <c r="S133" i="4"/>
  <c r="S132" i="4"/>
  <c r="S156" i="4"/>
  <c r="S18" i="4"/>
  <c r="S60" i="4"/>
  <c r="S67" i="4"/>
  <c r="S46" i="4"/>
  <c r="S113" i="4"/>
  <c r="S127" i="4"/>
  <c r="S72" i="4"/>
  <c r="S116" i="4"/>
  <c r="S5" i="4"/>
  <c r="S154" i="4"/>
  <c r="S169" i="4"/>
  <c r="S172" i="4"/>
  <c r="S85" i="4"/>
  <c r="S31" i="4"/>
  <c r="S38" i="4"/>
  <c r="S11" i="4"/>
  <c r="S111" i="4"/>
  <c r="S97" i="4"/>
  <c r="S122" i="4"/>
  <c r="S115" i="4"/>
  <c r="S14" i="4"/>
  <c r="S36" i="4"/>
  <c r="S63" i="4"/>
  <c r="S89" i="4"/>
  <c r="S3" i="4"/>
  <c r="S32" i="4"/>
  <c r="S114" i="4"/>
  <c r="S170" i="4"/>
  <c r="S153" i="4"/>
  <c r="S142" i="4"/>
  <c r="S146" i="4"/>
  <c r="S144" i="4"/>
  <c r="S148" i="4"/>
  <c r="S4" i="4"/>
  <c r="S29" i="4"/>
  <c r="S69" i="4"/>
  <c r="S174" i="4"/>
  <c r="S105" i="4"/>
  <c r="S54" i="4"/>
  <c r="S33" i="4"/>
  <c r="S41" i="4"/>
  <c r="S26" i="4"/>
  <c r="S64" i="4"/>
  <c r="S34" i="4"/>
  <c r="S125" i="4"/>
  <c r="S68" i="4"/>
  <c r="S20" i="4"/>
  <c r="S136" i="4"/>
  <c r="S171" i="4"/>
  <c r="S182" i="4"/>
  <c r="S152" i="4"/>
  <c r="S155" i="4"/>
  <c r="S159" i="4"/>
  <c r="S179" i="4"/>
  <c r="S22" i="4"/>
  <c r="S40" i="4"/>
  <c r="S161" i="4"/>
  <c r="S80" i="4"/>
  <c r="S119" i="4"/>
  <c r="S121" i="4"/>
  <c r="S130" i="4"/>
  <c r="S84" i="4"/>
  <c r="S103" i="4"/>
  <c r="S98" i="4"/>
  <c r="S70" i="4"/>
  <c r="S118" i="4"/>
  <c r="S12" i="4"/>
  <c r="S93" i="4"/>
  <c r="S124" i="4"/>
  <c r="S145" i="4"/>
  <c r="S168" i="4"/>
  <c r="S177" i="4"/>
  <c r="S163" i="4"/>
  <c r="S91" i="4"/>
  <c r="S147" i="4"/>
  <c r="S181" i="4"/>
  <c r="AJ186" i="4"/>
  <c r="AJ2" i="4" s="1"/>
  <c r="AK186" i="4"/>
  <c r="AK103" i="4" s="1"/>
  <c r="AJ131" i="4" l="1"/>
  <c r="AJ51" i="4"/>
  <c r="AJ52" i="4"/>
  <c r="AJ66" i="4"/>
  <c r="AJ82" i="4"/>
  <c r="AJ74" i="4"/>
  <c r="AJ67" i="4"/>
  <c r="AJ169" i="4"/>
  <c r="AJ171" i="4"/>
  <c r="AJ179" i="4"/>
  <c r="AJ142" i="4"/>
  <c r="AJ114" i="4"/>
  <c r="AJ69" i="4"/>
  <c r="AJ126" i="4"/>
  <c r="AJ157" i="4"/>
  <c r="AJ165" i="4"/>
  <c r="AJ181" i="4"/>
  <c r="AJ168" i="4"/>
  <c r="AJ144" i="4"/>
  <c r="AJ95" i="4"/>
  <c r="AJ99" i="4"/>
  <c r="AJ136" i="4"/>
  <c r="AJ174" i="4"/>
  <c r="AJ146" i="4"/>
  <c r="AJ158" i="4"/>
  <c r="AJ148" i="4"/>
  <c r="AJ152" i="4"/>
  <c r="AJ110" i="4"/>
  <c r="AJ93" i="4"/>
  <c r="AJ161" i="4"/>
  <c r="AJ173" i="4"/>
  <c r="AJ170" i="4"/>
  <c r="AJ154" i="4"/>
  <c r="AJ150" i="4"/>
  <c r="AJ88" i="4"/>
  <c r="AJ83" i="4"/>
  <c r="AJ127" i="4"/>
  <c r="AK156" i="4"/>
  <c r="AK163" i="4"/>
  <c r="AK124" i="4"/>
  <c r="AK111" i="4"/>
  <c r="AK180" i="4"/>
  <c r="AK151" i="4"/>
  <c r="AK178" i="4"/>
  <c r="AK143" i="4"/>
  <c r="AK181" i="4"/>
  <c r="AK95" i="4"/>
  <c r="AK115" i="4"/>
  <c r="AK168" i="4"/>
  <c r="AK149" i="4"/>
  <c r="AK144" i="4"/>
  <c r="AK171" i="4"/>
  <c r="AK155" i="4"/>
  <c r="AK112" i="4"/>
  <c r="AK83" i="4"/>
  <c r="AK93" i="4"/>
  <c r="AK161" i="4"/>
  <c r="AK147" i="4"/>
  <c r="AK166" i="4"/>
  <c r="AK169" i="4"/>
  <c r="AK167" i="4"/>
  <c r="AK69" i="4"/>
  <c r="AK99" i="4"/>
  <c r="AK162" i="4"/>
  <c r="AK148" i="4"/>
  <c r="AK114" i="4"/>
  <c r="AJ92" i="4"/>
  <c r="AJ65" i="4"/>
  <c r="AJ70" i="4"/>
  <c r="AJ89" i="4"/>
  <c r="AJ105" i="4"/>
  <c r="AJ36" i="4"/>
  <c r="AJ175" i="4"/>
  <c r="AJ176" i="4"/>
  <c r="AJ143" i="4"/>
  <c r="AJ182" i="4"/>
  <c r="AJ145" i="4"/>
  <c r="AJ128" i="4"/>
  <c r="AJ167" i="4"/>
  <c r="AJ163" i="4"/>
  <c r="AJ160" i="4"/>
  <c r="AJ155" i="4"/>
  <c r="AJ166" i="4"/>
  <c r="AJ164" i="4"/>
  <c r="AJ124" i="4"/>
  <c r="AJ106" i="4"/>
  <c r="AJ183" i="4"/>
  <c r="AJ149" i="4"/>
  <c r="AJ153" i="4"/>
  <c r="AJ147" i="4"/>
  <c r="AJ178" i="4"/>
  <c r="AJ112" i="4"/>
  <c r="AJ137" i="4"/>
  <c r="AJ115" i="4"/>
  <c r="AJ180" i="4"/>
  <c r="AJ162" i="4"/>
  <c r="AJ151" i="4"/>
  <c r="AJ156" i="4"/>
  <c r="AJ172" i="4"/>
  <c r="AJ111" i="4"/>
  <c r="AJ101" i="4"/>
  <c r="AK164" i="4"/>
  <c r="AK158" i="4"/>
  <c r="AK145" i="4"/>
  <c r="AK128" i="4"/>
  <c r="AK110" i="4"/>
  <c r="AK142" i="4"/>
  <c r="AK170" i="4"/>
  <c r="AK165" i="4"/>
  <c r="AK183" i="4"/>
  <c r="AK101" i="4"/>
  <c r="AK126" i="4"/>
  <c r="AK136" i="4"/>
  <c r="AK179" i="4"/>
  <c r="AK146" i="4"/>
  <c r="AK152" i="4"/>
  <c r="AK160" i="4"/>
  <c r="AK175" i="4"/>
  <c r="AK88" i="4"/>
  <c r="AK137" i="4"/>
  <c r="AK176" i="4"/>
  <c r="AK173" i="4"/>
  <c r="AK174" i="4"/>
  <c r="AK182" i="4"/>
  <c r="AK153" i="4"/>
  <c r="AK127" i="4"/>
  <c r="AK106" i="4"/>
  <c r="AK172" i="4"/>
  <c r="AK157" i="4"/>
  <c r="AK150" i="4"/>
  <c r="AK154" i="4"/>
  <c r="AJ177" i="4"/>
  <c r="AK159" i="4"/>
  <c r="AK177" i="4"/>
  <c r="AJ159" i="4"/>
  <c r="AJ58" i="4"/>
  <c r="AJ50" i="4"/>
  <c r="AJ39" i="4"/>
  <c r="AJ6" i="4"/>
  <c r="AJ20" i="4"/>
  <c r="AJ33" i="4"/>
  <c r="AJ108" i="4"/>
  <c r="AJ18" i="4"/>
  <c r="AJ49" i="4"/>
  <c r="AJ102" i="4"/>
  <c r="AJ94" i="4"/>
  <c r="AJ59" i="4"/>
  <c r="AJ32" i="4"/>
  <c r="AJ44" i="4"/>
  <c r="AJ30" i="4"/>
  <c r="AK134" i="4"/>
  <c r="AJ42" i="4"/>
  <c r="AJ37" i="4"/>
  <c r="AJ53" i="4"/>
  <c r="AK97" i="4"/>
  <c r="AK120" i="4"/>
  <c r="AK119" i="4"/>
  <c r="AJ55" i="4"/>
  <c r="AJ135" i="4"/>
  <c r="AJ68" i="4"/>
  <c r="AJ23" i="4"/>
  <c r="AJ4" i="4"/>
  <c r="AJ91" i="4"/>
  <c r="AJ79" i="4"/>
  <c r="AK86" i="4"/>
  <c r="AK117" i="4"/>
  <c r="AK87" i="4"/>
  <c r="AJ141" i="4"/>
  <c r="AJ123" i="4"/>
  <c r="AJ57" i="4"/>
  <c r="AJ47" i="4"/>
  <c r="AJ15" i="4"/>
  <c r="AK123" i="4"/>
  <c r="AK102" i="4"/>
  <c r="AK108" i="4"/>
  <c r="AJ119" i="4"/>
  <c r="AJ117" i="4"/>
  <c r="AJ103" i="4"/>
  <c r="AJ31" i="4"/>
  <c r="AJ34" i="4"/>
  <c r="AJ48" i="4"/>
  <c r="AJ13" i="4"/>
  <c r="AJ17" i="4"/>
  <c r="AJ16" i="4"/>
  <c r="AJ129" i="4"/>
  <c r="AK90" i="4"/>
  <c r="AK138" i="4"/>
  <c r="AK75" i="4"/>
  <c r="AJ134" i="4"/>
  <c r="AJ87" i="4"/>
  <c r="AJ75" i="4"/>
  <c r="AK55" i="4"/>
  <c r="AJ14" i="4"/>
  <c r="AJ45" i="4"/>
  <c r="AJ54" i="4"/>
  <c r="AJ7" i="4"/>
  <c r="AJ64" i="4"/>
  <c r="AK135" i="4"/>
  <c r="AK84" i="4"/>
  <c r="AK78" i="4"/>
  <c r="AJ90" i="4"/>
  <c r="AJ121" i="4"/>
  <c r="AJ97" i="4"/>
  <c r="AJ25" i="4"/>
  <c r="AJ118" i="4"/>
  <c r="AJ3" i="4"/>
  <c r="AJ77" i="4"/>
  <c r="AK80" i="4"/>
  <c r="AK121" i="4"/>
  <c r="AJ138" i="4"/>
  <c r="AJ86" i="4"/>
  <c r="AJ80" i="4"/>
  <c r="AJ41" i="4"/>
  <c r="AJ27" i="4"/>
  <c r="AJ62" i="4"/>
  <c r="AK141" i="4"/>
  <c r="AJ78" i="4"/>
  <c r="AJ84" i="4"/>
  <c r="AJ120" i="4"/>
  <c r="AK2" i="4"/>
  <c r="AK27" i="4"/>
  <c r="AK21" i="4"/>
  <c r="AK66" i="4"/>
  <c r="AK3" i="4"/>
  <c r="AK64" i="4"/>
  <c r="AK129" i="4"/>
  <c r="AK17" i="4"/>
  <c r="AK132" i="4"/>
  <c r="AK139" i="4"/>
  <c r="AK29" i="4"/>
  <c r="AK81" i="4"/>
  <c r="AK58" i="4"/>
  <c r="AK125" i="4"/>
  <c r="AK41" i="4"/>
  <c r="AK74" i="4"/>
  <c r="AK105" i="4"/>
  <c r="AK70" i="4"/>
  <c r="AK65" i="4"/>
  <c r="AK4" i="4"/>
  <c r="AK8" i="4"/>
  <c r="AK33" i="4"/>
  <c r="AK67" i="4"/>
  <c r="AK34" i="4"/>
  <c r="AK72" i="4"/>
  <c r="AK130" i="4"/>
  <c r="AK89" i="4"/>
  <c r="AK35" i="4"/>
  <c r="AK76" i="4"/>
  <c r="AK122" i="4"/>
  <c r="AK98" i="4"/>
  <c r="AK10" i="4"/>
  <c r="AK43" i="4"/>
  <c r="AK50" i="4"/>
  <c r="AK109" i="4"/>
  <c r="AK51" i="4"/>
  <c r="AK116" i="4"/>
  <c r="AK46" i="4"/>
  <c r="AK25" i="4"/>
  <c r="AK36" i="4"/>
  <c r="AK131" i="4"/>
  <c r="AK45" i="4"/>
  <c r="AK49" i="4"/>
  <c r="AK62" i="4"/>
  <c r="AK26" i="4"/>
  <c r="AK79" i="4"/>
  <c r="AK38" i="4"/>
  <c r="AK7" i="4"/>
  <c r="AK71" i="4"/>
  <c r="AK118" i="4"/>
  <c r="AK22" i="4"/>
  <c r="AK44" i="4"/>
  <c r="AK133" i="4"/>
  <c r="AK37" i="4"/>
  <c r="AK23" i="4"/>
  <c r="AK15" i="4"/>
  <c r="AK39" i="4"/>
  <c r="AK96" i="4"/>
  <c r="AK140" i="4"/>
  <c r="AK94" i="4"/>
  <c r="AK48" i="4"/>
  <c r="AK13" i="4"/>
  <c r="AK107" i="4"/>
  <c r="AK61" i="4"/>
  <c r="AK6" i="4"/>
  <c r="AK18" i="4"/>
  <c r="AK14" i="4"/>
  <c r="AK82" i="4"/>
  <c r="AK92" i="4"/>
  <c r="AK30" i="4"/>
  <c r="AK28" i="4"/>
  <c r="AK104" i="4"/>
  <c r="AK47" i="4"/>
  <c r="AK59" i="4"/>
  <c r="AK12" i="4"/>
  <c r="AK54" i="4"/>
  <c r="AK57" i="4"/>
  <c r="AK31" i="4"/>
  <c r="AK60" i="4"/>
  <c r="AK20" i="4"/>
  <c r="AK5" i="4"/>
  <c r="AK52" i="4"/>
  <c r="AK32" i="4"/>
  <c r="AK63" i="4"/>
  <c r="AK24" i="4"/>
  <c r="AK91" i="4"/>
  <c r="AK113" i="4"/>
  <c r="AK68" i="4"/>
  <c r="AK85" i="4"/>
  <c r="AK40" i="4"/>
  <c r="AK73" i="4"/>
  <c r="AK100" i="4"/>
  <c r="AK11" i="4"/>
  <c r="AK16" i="4"/>
  <c r="AK19" i="4"/>
  <c r="AK9" i="4"/>
  <c r="AK56" i="4"/>
  <c r="AK42" i="4"/>
  <c r="AK77" i="4"/>
  <c r="AK53" i="4"/>
  <c r="AJ96" i="4"/>
  <c r="AJ61" i="4"/>
  <c r="AJ85" i="4"/>
  <c r="AJ72" i="4"/>
  <c r="AJ43" i="4"/>
  <c r="AJ63" i="4"/>
  <c r="AJ38" i="4"/>
  <c r="AJ19" i="4"/>
  <c r="AJ28" i="4"/>
  <c r="AJ22" i="4"/>
  <c r="AJ56" i="4"/>
  <c r="AJ24" i="4"/>
  <c r="AJ60" i="4"/>
  <c r="AJ130" i="4"/>
  <c r="AJ98" i="4"/>
  <c r="AJ73" i="4"/>
  <c r="AJ107" i="4"/>
  <c r="AJ46" i="4"/>
  <c r="AJ71" i="4"/>
  <c r="AJ81" i="4"/>
  <c r="AJ113" i="4"/>
  <c r="AJ140" i="4"/>
  <c r="AJ100" i="4"/>
  <c r="AJ109" i="4"/>
  <c r="AJ5" i="4"/>
  <c r="AJ11" i="4"/>
  <c r="AJ116" i="4"/>
  <c r="AJ35" i="4"/>
  <c r="AJ139" i="4"/>
  <c r="AJ133" i="4"/>
  <c r="AJ21" i="4"/>
  <c r="AJ10" i="4"/>
  <c r="AJ8" i="4"/>
  <c r="AJ122" i="4"/>
  <c r="AJ12" i="4"/>
  <c r="AJ9" i="4"/>
  <c r="AJ76" i="4"/>
  <c r="AJ125" i="4"/>
  <c r="AJ132" i="4"/>
  <c r="AJ40" i="4"/>
  <c r="AJ29" i="4"/>
  <c r="AJ26" i="4"/>
  <c r="AJ104" i="4"/>
  <c r="N192" i="3"/>
  <c r="N193" i="3" l="1"/>
  <c r="N51" i="3" s="1"/>
  <c r="N2" i="3" l="1"/>
  <c r="N76" i="3"/>
  <c r="N181" i="3"/>
  <c r="N135" i="3"/>
  <c r="N20" i="3"/>
  <c r="N177" i="3"/>
  <c r="N155" i="3"/>
  <c r="N21" i="3"/>
  <c r="N169" i="3"/>
  <c r="N110" i="3"/>
  <c r="N5" i="3"/>
  <c r="N125" i="3"/>
  <c r="N43" i="3"/>
  <c r="N69" i="3"/>
  <c r="N174" i="3"/>
  <c r="N132" i="3"/>
  <c r="N40" i="3"/>
  <c r="N34" i="3"/>
  <c r="N94" i="3"/>
  <c r="N31" i="3"/>
  <c r="N101" i="3"/>
  <c r="N10" i="3"/>
  <c r="N52" i="3"/>
  <c r="N18" i="3"/>
  <c r="N39" i="3"/>
  <c r="N130" i="3"/>
  <c r="N128" i="3"/>
  <c r="N88" i="3"/>
  <c r="N136" i="3"/>
  <c r="N30" i="3"/>
  <c r="N36" i="3"/>
  <c r="N75" i="3"/>
  <c r="N35" i="3"/>
  <c r="N53" i="3"/>
  <c r="N42" i="3"/>
  <c r="N170" i="3"/>
  <c r="N9" i="3"/>
  <c r="N95" i="3"/>
  <c r="N45" i="3"/>
  <c r="N176" i="3"/>
  <c r="N27" i="3"/>
  <c r="N182" i="3"/>
  <c r="N96" i="3"/>
  <c r="N49" i="3"/>
  <c r="N102" i="3"/>
  <c r="N17" i="3"/>
  <c r="N121" i="3"/>
  <c r="N87" i="3"/>
  <c r="N97" i="3"/>
  <c r="N179" i="3"/>
  <c r="N123" i="3"/>
  <c r="N83" i="3"/>
  <c r="N85" i="3"/>
  <c r="N126" i="3"/>
  <c r="N180" i="3"/>
  <c r="N129" i="3"/>
  <c r="N14" i="3"/>
  <c r="N72" i="3"/>
  <c r="N48" i="3"/>
  <c r="N28" i="3"/>
  <c r="N66" i="3"/>
  <c r="N137" i="3"/>
  <c r="N168" i="3"/>
  <c r="N143" i="3"/>
  <c r="N93" i="3"/>
  <c r="N152" i="3"/>
  <c r="N19" i="3"/>
  <c r="N171" i="3"/>
  <c r="N32" i="3"/>
  <c r="N59" i="3"/>
  <c r="N64" i="3"/>
  <c r="N91" i="3"/>
  <c r="N98" i="3"/>
  <c r="N3" i="3"/>
  <c r="N106" i="3"/>
  <c r="N149" i="3"/>
  <c r="N65" i="3"/>
  <c r="N147" i="3"/>
  <c r="N26" i="3"/>
  <c r="N142" i="3"/>
  <c r="N144" i="3"/>
  <c r="N58" i="3"/>
  <c r="N138" i="3"/>
  <c r="N29" i="3"/>
  <c r="N124" i="3"/>
  <c r="N50" i="3"/>
  <c r="N80" i="3"/>
  <c r="N145" i="3"/>
  <c r="N38" i="3"/>
  <c r="N89" i="3"/>
  <c r="N157" i="3"/>
  <c r="N140" i="3"/>
  <c r="N131" i="3"/>
  <c r="N77" i="3"/>
  <c r="N60" i="3"/>
  <c r="N167" i="3"/>
  <c r="N7" i="3"/>
  <c r="N148" i="3"/>
  <c r="N6" i="3"/>
  <c r="N81" i="3"/>
  <c r="N156" i="3"/>
  <c r="N160" i="3"/>
  <c r="N146" i="3"/>
  <c r="N33" i="3"/>
  <c r="N55" i="3"/>
  <c r="N141" i="3"/>
  <c r="N41" i="3"/>
  <c r="N86" i="3"/>
  <c r="N111" i="3"/>
  <c r="N61" i="3"/>
  <c r="N162" i="3"/>
  <c r="N139" i="3"/>
  <c r="N68" i="3"/>
  <c r="N13" i="3"/>
  <c r="N120" i="3"/>
  <c r="N15" i="3"/>
  <c r="N116" i="3"/>
  <c r="N54" i="3"/>
  <c r="N178" i="3"/>
  <c r="N173" i="3"/>
  <c r="N16" i="3"/>
  <c r="N127" i="3"/>
  <c r="N115" i="3"/>
  <c r="N175" i="3"/>
  <c r="N151" i="3"/>
  <c r="N107" i="3"/>
  <c r="N104" i="3"/>
  <c r="N70" i="3"/>
  <c r="N71" i="3"/>
  <c r="N12" i="3"/>
  <c r="N57" i="3"/>
  <c r="N73" i="3"/>
  <c r="N78" i="3"/>
  <c r="N134" i="3"/>
  <c r="N24" i="3"/>
  <c r="N46" i="3"/>
  <c r="N23" i="3"/>
  <c r="N165" i="3"/>
  <c r="N112" i="3"/>
  <c r="N99" i="3"/>
  <c r="N163" i="3"/>
  <c r="N11" i="3"/>
  <c r="N133" i="3"/>
  <c r="N84" i="3"/>
  <c r="N82" i="3"/>
  <c r="N161" i="3"/>
  <c r="N100" i="3"/>
  <c r="N47" i="3"/>
  <c r="N22" i="3"/>
  <c r="N67" i="3"/>
  <c r="N153" i="3"/>
  <c r="N183" i="3"/>
  <c r="N74" i="3"/>
  <c r="N109" i="3"/>
  <c r="N108" i="3"/>
  <c r="N4" i="3"/>
  <c r="N122" i="3"/>
  <c r="N117" i="3"/>
  <c r="N159" i="3"/>
  <c r="N158" i="3"/>
  <c r="N164" i="3"/>
  <c r="N166" i="3"/>
  <c r="N8" i="3"/>
  <c r="N119" i="3"/>
  <c r="N90" i="3"/>
  <c r="N103" i="3"/>
  <c r="N92" i="3"/>
  <c r="N154" i="3"/>
  <c r="N25" i="3"/>
  <c r="N44" i="3"/>
  <c r="N150" i="3"/>
  <c r="N118" i="3"/>
  <c r="N37" i="3"/>
  <c r="N172" i="3"/>
  <c r="N79" i="3"/>
  <c r="N56" i="3"/>
  <c r="N105" i="3"/>
  <c r="N113" i="3"/>
  <c r="N114" i="3"/>
  <c r="N63" i="3"/>
  <c r="N62" i="3"/>
  <c r="N188" i="3" l="1"/>
  <c r="N186" i="3"/>
  <c r="N185" i="3"/>
  <c r="N189" i="3"/>
  <c r="N187" i="3"/>
  <c r="AF185" i="4"/>
  <c r="AF186" i="4" l="1"/>
  <c r="AF31" i="4" s="1"/>
  <c r="AL31" i="4" s="1"/>
  <c r="AF134" i="4" l="1"/>
  <c r="AL134" i="4" s="1"/>
  <c r="AF98" i="4"/>
  <c r="AL98" i="4" s="1"/>
  <c r="AF97" i="4"/>
  <c r="AL97" i="4" s="1"/>
  <c r="AF159" i="4"/>
  <c r="AL159" i="4" s="1"/>
  <c r="AF135" i="4"/>
  <c r="AL135" i="4" s="1"/>
  <c r="AF177" i="4"/>
  <c r="AL177" i="4" s="1"/>
  <c r="AF74" i="4"/>
  <c r="AL74" i="4" s="1"/>
  <c r="AF139" i="4"/>
  <c r="AL139" i="4" s="1"/>
  <c r="AF133" i="4"/>
  <c r="AL133" i="4" s="1"/>
  <c r="AF36" i="4"/>
  <c r="AL36" i="4" s="1"/>
  <c r="AF132" i="4"/>
  <c r="AL132" i="4" s="1"/>
  <c r="AF116" i="4"/>
  <c r="AL116" i="4" s="1"/>
  <c r="AF107" i="4"/>
  <c r="AL107" i="4" s="1"/>
  <c r="AF63" i="4"/>
  <c r="AL63" i="4" s="1"/>
  <c r="AF130" i="4"/>
  <c r="AL130" i="4" s="1"/>
  <c r="AF82" i="4"/>
  <c r="AL82" i="4" s="1"/>
  <c r="AF113" i="4"/>
  <c r="AL113" i="4" s="1"/>
  <c r="AF52" i="4"/>
  <c r="AL52" i="4" s="1"/>
  <c r="AF155" i="4"/>
  <c r="AL155" i="4" s="1"/>
  <c r="AF162" i="4"/>
  <c r="AL162" i="4" s="1"/>
  <c r="AF157" i="4"/>
  <c r="AL157" i="4" s="1"/>
  <c r="AF142" i="4"/>
  <c r="AL142" i="4" s="1"/>
  <c r="AF182" i="4"/>
  <c r="AL182" i="4" s="1"/>
  <c r="AF173" i="4"/>
  <c r="AL173" i="4" s="1"/>
  <c r="AF153" i="4"/>
  <c r="AL153" i="4" s="1"/>
  <c r="AF88" i="4"/>
  <c r="AL88" i="4" s="1"/>
  <c r="AF164" i="4"/>
  <c r="AL164" i="4" s="1"/>
  <c r="AF179" i="4"/>
  <c r="AL179" i="4" s="1"/>
  <c r="AF161" i="4"/>
  <c r="AL161" i="4" s="1"/>
  <c r="AF126" i="4"/>
  <c r="AL126" i="4" s="1"/>
  <c r="AF114" i="4"/>
  <c r="AL114" i="4" s="1"/>
  <c r="AF167" i="4"/>
  <c r="AL167" i="4" s="1"/>
  <c r="AF115" i="4"/>
  <c r="AL115" i="4" s="1"/>
  <c r="AF69" i="4"/>
  <c r="AL69" i="4" s="1"/>
  <c r="AF150" i="4"/>
  <c r="AL150" i="4" s="1"/>
  <c r="AF178" i="4"/>
  <c r="AL178" i="4" s="1"/>
  <c r="AF168" i="4"/>
  <c r="AL168" i="4" s="1"/>
  <c r="AF165" i="4"/>
  <c r="AL165" i="4" s="1"/>
  <c r="AF151" i="4"/>
  <c r="AL151" i="4" s="1"/>
  <c r="AF112" i="4"/>
  <c r="AL112" i="4" s="1"/>
  <c r="AF95" i="4"/>
  <c r="AL95" i="4" s="1"/>
  <c r="AF154" i="4"/>
  <c r="AL154" i="4" s="1"/>
  <c r="AF176" i="4"/>
  <c r="AL176" i="4" s="1"/>
  <c r="AF124" i="4"/>
  <c r="AL124" i="4" s="1"/>
  <c r="AF148" i="4"/>
  <c r="AL148" i="4" s="1"/>
  <c r="AF183" i="4"/>
  <c r="AL183" i="4" s="1"/>
  <c r="AF101" i="4"/>
  <c r="AL101" i="4" s="1"/>
  <c r="AF84" i="4"/>
  <c r="AL84" i="4" s="1"/>
  <c r="AF94" i="4"/>
  <c r="AL94" i="4" s="1"/>
  <c r="AF138" i="4"/>
  <c r="AL138" i="4" s="1"/>
  <c r="AF109" i="4"/>
  <c r="AL109" i="4" s="1"/>
  <c r="AF70" i="4"/>
  <c r="AL70" i="4" s="1"/>
  <c r="AF72" i="4"/>
  <c r="AL72" i="4" s="1"/>
  <c r="AF92" i="4"/>
  <c r="AL92" i="4" s="1"/>
  <c r="AF67" i="4"/>
  <c r="AL67" i="4" s="1"/>
  <c r="AF104" i="4"/>
  <c r="AL104" i="4" s="1"/>
  <c r="AF105" i="4"/>
  <c r="AL105" i="4" s="1"/>
  <c r="AF65" i="4"/>
  <c r="AL65" i="4" s="1"/>
  <c r="AF131" i="4"/>
  <c r="AL131" i="4" s="1"/>
  <c r="AF51" i="4"/>
  <c r="AL51" i="4" s="1"/>
  <c r="AF66" i="4"/>
  <c r="AL66" i="4" s="1"/>
  <c r="AF89" i="4"/>
  <c r="AL89" i="4" s="1"/>
  <c r="AF171" i="4"/>
  <c r="AL171" i="4" s="1"/>
  <c r="AF160" i="4"/>
  <c r="AL160" i="4" s="1"/>
  <c r="AF93" i="4"/>
  <c r="AL93" i="4" s="1"/>
  <c r="AF83" i="4"/>
  <c r="AL83" i="4" s="1"/>
  <c r="AF145" i="4"/>
  <c r="AL145" i="4" s="1"/>
  <c r="AF172" i="4"/>
  <c r="AL172" i="4" s="1"/>
  <c r="AF166" i="4"/>
  <c r="AL166" i="4" s="1"/>
  <c r="AF137" i="4"/>
  <c r="AL137" i="4" s="1"/>
  <c r="AF152" i="4"/>
  <c r="AL152" i="4" s="1"/>
  <c r="AF163" i="4"/>
  <c r="AL163" i="4" s="1"/>
  <c r="AF170" i="4"/>
  <c r="AL170" i="4" s="1"/>
  <c r="AF127" i="4"/>
  <c r="AL127" i="4" s="1"/>
  <c r="AF156" i="4"/>
  <c r="AL156" i="4" s="1"/>
  <c r="AF175" i="4"/>
  <c r="AL175" i="4" s="1"/>
  <c r="AF158" i="4"/>
  <c r="AL158" i="4" s="1"/>
  <c r="AF111" i="4"/>
  <c r="AL111" i="4" s="1"/>
  <c r="AF144" i="4"/>
  <c r="AL144" i="4" s="1"/>
  <c r="AF174" i="4"/>
  <c r="AL174" i="4" s="1"/>
  <c r="AF180" i="4"/>
  <c r="AL180" i="4" s="1"/>
  <c r="AF143" i="4"/>
  <c r="AL143" i="4" s="1"/>
  <c r="AF169" i="4"/>
  <c r="AL169" i="4" s="1"/>
  <c r="AF136" i="4"/>
  <c r="AL136" i="4" s="1"/>
  <c r="AF99" i="4"/>
  <c r="AL99" i="4" s="1"/>
  <c r="AF181" i="4"/>
  <c r="AL181" i="4" s="1"/>
  <c r="AF147" i="4"/>
  <c r="AL147" i="4" s="1"/>
  <c r="AF149" i="4"/>
  <c r="AL149" i="4" s="1"/>
  <c r="AF110" i="4"/>
  <c r="AL110" i="4" s="1"/>
  <c r="AF146" i="4"/>
  <c r="AL146" i="4" s="1"/>
  <c r="AF106" i="4"/>
  <c r="AL106" i="4" s="1"/>
  <c r="AF128" i="4"/>
  <c r="AL128" i="4" s="1"/>
  <c r="AF46" i="4"/>
  <c r="AL46" i="4" s="1"/>
  <c r="AF15" i="4"/>
  <c r="AL15" i="4" s="1"/>
  <c r="AF78" i="4"/>
  <c r="AL78" i="4" s="1"/>
  <c r="AF8" i="4"/>
  <c r="AL8" i="4" s="1"/>
  <c r="AF23" i="4"/>
  <c r="AL23" i="4" s="1"/>
  <c r="AF59" i="4"/>
  <c r="AL59" i="4" s="1"/>
  <c r="AF91" i="4"/>
  <c r="AL91" i="4" s="1"/>
  <c r="AF5" i="4"/>
  <c r="AL5" i="4" s="1"/>
  <c r="AF10" i="4"/>
  <c r="AL10" i="4" s="1"/>
  <c r="AF80" i="4"/>
  <c r="AL80" i="4" s="1"/>
  <c r="AF49" i="4"/>
  <c r="AL49" i="4" s="1"/>
  <c r="AF28" i="4"/>
  <c r="AL28" i="4" s="1"/>
  <c r="AF141" i="4"/>
  <c r="AL141" i="4" s="1"/>
  <c r="AF96" i="4"/>
  <c r="AL96" i="4" s="1"/>
  <c r="AF18" i="4"/>
  <c r="AL18" i="4" s="1"/>
  <c r="AF81" i="4"/>
  <c r="AL81" i="4" s="1"/>
  <c r="AF76" i="4"/>
  <c r="AL76" i="4" s="1"/>
  <c r="AF122" i="4"/>
  <c r="AL122" i="4" s="1"/>
  <c r="AF2" i="4"/>
  <c r="AL2" i="4" s="1"/>
  <c r="AF25" i="4"/>
  <c r="AL25" i="4" s="1"/>
  <c r="AF90" i="4"/>
  <c r="AL90" i="4" s="1"/>
  <c r="AF100" i="4"/>
  <c r="AL100" i="4" s="1"/>
  <c r="AF4" i="4"/>
  <c r="AL4" i="4" s="1"/>
  <c r="AF21" i="4"/>
  <c r="AL21" i="4" s="1"/>
  <c r="AF6" i="4"/>
  <c r="AL6" i="4" s="1"/>
  <c r="AF121" i="4"/>
  <c r="AL121" i="4" s="1"/>
  <c r="AF3" i="4"/>
  <c r="AL3" i="4" s="1"/>
  <c r="AF60" i="4"/>
  <c r="AL60" i="4" s="1"/>
  <c r="AF77" i="4"/>
  <c r="AL77" i="4" s="1"/>
  <c r="AF123" i="4"/>
  <c r="AL123" i="4" s="1"/>
  <c r="AF27" i="4"/>
  <c r="AL27" i="4" s="1"/>
  <c r="AF50" i="4"/>
  <c r="AL50" i="4" s="1"/>
  <c r="AF24" i="4"/>
  <c r="AL24" i="4" s="1"/>
  <c r="AF118" i="4"/>
  <c r="AL118" i="4" s="1"/>
  <c r="AF61" i="4"/>
  <c r="AL61" i="4" s="1"/>
  <c r="AF79" i="4"/>
  <c r="AL79" i="4" s="1"/>
  <c r="AF32" i="4"/>
  <c r="AL32" i="4" s="1"/>
  <c r="AF40" i="4"/>
  <c r="AL40" i="4" s="1"/>
  <c r="AF34" i="4"/>
  <c r="AL34" i="4" s="1"/>
  <c r="AF55" i="4"/>
  <c r="AL55" i="4" s="1"/>
  <c r="AF33" i="4"/>
  <c r="AL33" i="4" s="1"/>
  <c r="AF85" i="4"/>
  <c r="AL85" i="4" s="1"/>
  <c r="AF102" i="4"/>
  <c r="AL102" i="4" s="1"/>
  <c r="AF41" i="4"/>
  <c r="AL41" i="4" s="1"/>
  <c r="AF12" i="4"/>
  <c r="AL12" i="4" s="1"/>
  <c r="AF20" i="4"/>
  <c r="AL20" i="4" s="1"/>
  <c r="AF19" i="4"/>
  <c r="AL19" i="4" s="1"/>
  <c r="AF13" i="4"/>
  <c r="AL13" i="4" s="1"/>
  <c r="AF44" i="4"/>
  <c r="AL44" i="4" s="1"/>
  <c r="AF48" i="4"/>
  <c r="AL48" i="4" s="1"/>
  <c r="AF140" i="4"/>
  <c r="AL140" i="4" s="1"/>
  <c r="AF57" i="4"/>
  <c r="AL57" i="4" s="1"/>
  <c r="AF26" i="4"/>
  <c r="AL26" i="4" s="1"/>
  <c r="AF22" i="4"/>
  <c r="AL22" i="4" s="1"/>
  <c r="AF29" i="4"/>
  <c r="AL29" i="4" s="1"/>
  <c r="AF73" i="4"/>
  <c r="AL73" i="4" s="1"/>
  <c r="AF30" i="4"/>
  <c r="AL30" i="4" s="1"/>
  <c r="AF47" i="4"/>
  <c r="AL47" i="4" s="1"/>
  <c r="AF39" i="4"/>
  <c r="AL39" i="4" s="1"/>
  <c r="AF43" i="4"/>
  <c r="AL43" i="4" s="1"/>
  <c r="AF62" i="4"/>
  <c r="AL62" i="4" s="1"/>
  <c r="AF129" i="4"/>
  <c r="AL129" i="4" s="1"/>
  <c r="AF64" i="4"/>
  <c r="AL64" i="4" s="1"/>
  <c r="AF35" i="4"/>
  <c r="AL35" i="4" s="1"/>
  <c r="AF71" i="4"/>
  <c r="AL71" i="4" s="1"/>
  <c r="AF117" i="4"/>
  <c r="AL117" i="4" s="1"/>
  <c r="AF125" i="4"/>
  <c r="AL125" i="4" s="1"/>
  <c r="AF68" i="4"/>
  <c r="AL68" i="4" s="1"/>
  <c r="AF119" i="4"/>
  <c r="AL119" i="4" s="1"/>
  <c r="AF16" i="4"/>
  <c r="AL16" i="4" s="1"/>
  <c r="AF38" i="4"/>
  <c r="AL38" i="4" s="1"/>
  <c r="AF54" i="4"/>
  <c r="AL54" i="4" s="1"/>
  <c r="AF56" i="4"/>
  <c r="AL56" i="4" s="1"/>
  <c r="AF120" i="4"/>
  <c r="AL120" i="4" s="1"/>
  <c r="AF75" i="4"/>
  <c r="AL75" i="4" s="1"/>
  <c r="AF103" i="4"/>
  <c r="AL103" i="4" s="1"/>
  <c r="AF86" i="4"/>
  <c r="AL86" i="4" s="1"/>
  <c r="AF17" i="4"/>
  <c r="AL17" i="4" s="1"/>
  <c r="AF11" i="4"/>
  <c r="AL11" i="4" s="1"/>
  <c r="AF108" i="4"/>
  <c r="AL108" i="4" s="1"/>
  <c r="AF7" i="4"/>
  <c r="AL7" i="4" s="1"/>
  <c r="AF87" i="4"/>
  <c r="AL87" i="4" s="1"/>
  <c r="AF37" i="4"/>
  <c r="AL37" i="4" s="1"/>
  <c r="AF45" i="4"/>
  <c r="AL45" i="4" s="1"/>
  <c r="AF42" i="4"/>
  <c r="AL42" i="4" s="1"/>
  <c r="AF58" i="4"/>
  <c r="AL58" i="4" s="1"/>
  <c r="AF53" i="4"/>
  <c r="AL53" i="4" s="1"/>
  <c r="AF14" i="4"/>
  <c r="AL14" i="4" s="1"/>
  <c r="AF9" i="4"/>
  <c r="AL9" i="4" s="1"/>
</calcChain>
</file>

<file path=xl/connections.xml><?xml version="1.0" encoding="utf-8"?>
<connections xmlns="http://schemas.openxmlformats.org/spreadsheetml/2006/main">
  <connection id="1" name="simResults" type="6" refreshedVersion="4" background="1">
    <textPr codePage="437" sourceFile="W:\Education\2015 Interns\RHMS\simResults.csv" tab="0">
      <textFields>
        <textField/>
      </textFields>
    </textPr>
  </connection>
  <connection id="2" name="simResults1" type="6" refreshedVersion="4" background="1" saveData="1">
    <textPr codePage="437" sourceFile="W:\Education\2015 Interns\RHMS\simResults.csv" tab="0">
      <textFields>
        <textField/>
      </textFields>
    </textPr>
  </connection>
</connections>
</file>

<file path=xl/sharedStrings.xml><?xml version="1.0" encoding="utf-8"?>
<sst xmlns="http://schemas.openxmlformats.org/spreadsheetml/2006/main" count="1278" uniqueCount="364">
  <si>
    <t>Name</t>
  </si>
  <si>
    <t>Team</t>
  </si>
  <si>
    <t>Pos</t>
  </si>
  <si>
    <t>g</t>
  </si>
  <si>
    <t>R</t>
  </si>
  <si>
    <t>HR</t>
  </si>
  <si>
    <t>RBI</t>
  </si>
  <si>
    <t>SB</t>
  </si>
  <si>
    <t>OBP</t>
  </si>
  <si>
    <t>PA</t>
  </si>
  <si>
    <t>H</t>
  </si>
  <si>
    <t>BB</t>
  </si>
  <si>
    <t>Anthony Rizzo</t>
  </si>
  <si>
    <t>CHC</t>
  </si>
  <si>
    <t>1B</t>
  </si>
  <si>
    <t>Kris Bryant</t>
  </si>
  <si>
    <t>3B</t>
  </si>
  <si>
    <t>Jose Bautista</t>
  </si>
  <si>
    <t>TOR</t>
  </si>
  <si>
    <t>1B/OF</t>
  </si>
  <si>
    <t>Dexter Fowler</t>
  </si>
  <si>
    <t>OF</t>
  </si>
  <si>
    <t>Paul Goldschmidt</t>
  </si>
  <si>
    <t>ARI</t>
  </si>
  <si>
    <t>Andrew McCutchen</t>
  </si>
  <si>
    <t>PIT</t>
  </si>
  <si>
    <t>DET</t>
  </si>
  <si>
    <t>1B/3B</t>
  </si>
  <si>
    <t>Jhonny Peralta</t>
  </si>
  <si>
    <t>STL</t>
  </si>
  <si>
    <t>SS</t>
  </si>
  <si>
    <t>Bryce Harper</t>
  </si>
  <si>
    <t>WAS</t>
  </si>
  <si>
    <t>Ryan Braun</t>
  </si>
  <si>
    <t>MIL</t>
  </si>
  <si>
    <t>Josh Donaldson</t>
  </si>
  <si>
    <t>Miguel Montero</t>
  </si>
  <si>
    <t>C</t>
  </si>
  <si>
    <t>Carlos Gomez</t>
  </si>
  <si>
    <t>Starling Marte</t>
  </si>
  <si>
    <t>Matt Carpenter</t>
  </si>
  <si>
    <t>Buster Posey</t>
  </si>
  <si>
    <t>SF</t>
  </si>
  <si>
    <t>C/1B</t>
  </si>
  <si>
    <t>Brian Dozier</t>
  </si>
  <si>
    <t>MIN</t>
  </si>
  <si>
    <t>2B</t>
  </si>
  <si>
    <t>Edwin Encarnacion</t>
  </si>
  <si>
    <t>Adam Jones</t>
  </si>
  <si>
    <t>BAL</t>
  </si>
  <si>
    <t>Manny Machado</t>
  </si>
  <si>
    <t>Chris Coghlan</t>
  </si>
  <si>
    <t>Justin Upton</t>
  </si>
  <si>
    <t>SD</t>
  </si>
  <si>
    <t>Kolten Wong</t>
  </si>
  <si>
    <t>Lorenzo Cain</t>
  </si>
  <si>
    <t>KC</t>
  </si>
  <si>
    <t>Michael Brantley</t>
  </si>
  <si>
    <t>CLE</t>
  </si>
  <si>
    <t>Chris Davis</t>
  </si>
  <si>
    <t>Troy Tulowitzki</t>
  </si>
  <si>
    <t>COL</t>
  </si>
  <si>
    <t>Jason Kipnis</t>
  </si>
  <si>
    <t>Jose Reyes</t>
  </si>
  <si>
    <t>Joe Panik</t>
  </si>
  <si>
    <t>Victor Martinez</t>
  </si>
  <si>
    <t>Nelson Cruz</t>
  </si>
  <si>
    <t>SEA</t>
  </si>
  <si>
    <t>Charlie Blackmon</t>
  </si>
  <si>
    <t>Maikel Franco</t>
  </si>
  <si>
    <t>PHI</t>
  </si>
  <si>
    <t>Todd Frazier</t>
  </si>
  <si>
    <t>CIN</t>
  </si>
  <si>
    <t>Angel Pagan</t>
  </si>
  <si>
    <t>Mike Moustakas</t>
  </si>
  <si>
    <t>Joc Pederson</t>
  </si>
  <si>
    <t>LAD</t>
  </si>
  <si>
    <t>Neil Walker</t>
  </si>
  <si>
    <t>Jonathan Lucroy</t>
  </si>
  <si>
    <t>AJ Pollock</t>
  </si>
  <si>
    <t>Lucas Duda</t>
  </si>
  <si>
    <t>NYM</t>
  </si>
  <si>
    <t>Eric Hosmer</t>
  </si>
  <si>
    <t>HOU</t>
  </si>
  <si>
    <t>Evan Longoria</t>
  </si>
  <si>
    <t>TB</t>
  </si>
  <si>
    <t>Brandon Belt</t>
  </si>
  <si>
    <t>Carlos Santana</t>
  </si>
  <si>
    <t>C/1B/3B</t>
  </si>
  <si>
    <t>Hanley Ramirez</t>
  </si>
  <si>
    <t>BOS</t>
  </si>
  <si>
    <t>SS/OF</t>
  </si>
  <si>
    <t>Ben Revere</t>
  </si>
  <si>
    <t>Mike Trout</t>
  </si>
  <si>
    <t>LAA</t>
  </si>
  <si>
    <t>1B/3B/OF</t>
  </si>
  <si>
    <t>Curtis Granderson</t>
  </si>
  <si>
    <t>Yasiel Puig</t>
  </si>
  <si>
    <t>Joey Votto</t>
  </si>
  <si>
    <t>Carlos Gonzalez</t>
  </si>
  <si>
    <t>Starlin Castro</t>
  </si>
  <si>
    <t>Gregory Polanco</t>
  </si>
  <si>
    <t>Jose Altuve</t>
  </si>
  <si>
    <t>Russell Martin</t>
  </si>
  <si>
    <t>Matt Kemp</t>
  </si>
  <si>
    <t>Alcides Escobar</t>
  </si>
  <si>
    <t>Jose Abreu</t>
  </si>
  <si>
    <t>CHW</t>
  </si>
  <si>
    <t>Cameron Maybin</t>
  </si>
  <si>
    <t>ATL</t>
  </si>
  <si>
    <t>Yunel Escobar</t>
  </si>
  <si>
    <t>SS/3B</t>
  </si>
  <si>
    <t>Derek Norris</t>
  </si>
  <si>
    <t>Jace Peterson</t>
  </si>
  <si>
    <t>2B/3B</t>
  </si>
  <si>
    <t>Eddie Rosario</t>
  </si>
  <si>
    <t>2B/OF</t>
  </si>
  <si>
    <t>Robinson Cano</t>
  </si>
  <si>
    <t>Danny Espinosa</t>
  </si>
  <si>
    <t>1B/2B/SS/3B</t>
  </si>
  <si>
    <t>Brandon Crawford</t>
  </si>
  <si>
    <t>Michael Cuddyer</t>
  </si>
  <si>
    <t>Mookie Betts</t>
  </si>
  <si>
    <t>Yoenis Cespedes</t>
  </si>
  <si>
    <t>Adrian Gonzalez</t>
  </si>
  <si>
    <t>Ryan Howard</t>
  </si>
  <si>
    <t>Justin Turner</t>
  </si>
  <si>
    <t>Prince Fielder</t>
  </si>
  <si>
    <t>TEX</t>
  </si>
  <si>
    <t>Logan Morrison</t>
  </si>
  <si>
    <t>Nick Markakis</t>
  </si>
  <si>
    <t>Kendrys Morales</t>
  </si>
  <si>
    <t>Yadier Molina</t>
  </si>
  <si>
    <t>David Ortiz</t>
  </si>
  <si>
    <t>J.D. Martinez</t>
  </si>
  <si>
    <t>Daniel Murphy</t>
  </si>
  <si>
    <t>Ian Kinsler</t>
  </si>
  <si>
    <t>Austin Jackson</t>
  </si>
  <si>
    <t>Nolan Arenado</t>
  </si>
  <si>
    <t>Jake Lamb</t>
  </si>
  <si>
    <t>Kyle Seager</t>
  </si>
  <si>
    <t>Cesar Hernandez</t>
  </si>
  <si>
    <t>2B/SS/3B</t>
  </si>
  <si>
    <t>MIA</t>
  </si>
  <si>
    <t>Brandon Moss</t>
  </si>
  <si>
    <t>Francisco Lindor</t>
  </si>
  <si>
    <t>Jay Bruce</t>
  </si>
  <si>
    <t>Christian Yelich</t>
  </si>
  <si>
    <t>Yasmany Tomas</t>
  </si>
  <si>
    <t>3B/OF</t>
  </si>
  <si>
    <t>Matt Duffy</t>
  </si>
  <si>
    <t>Billy Burns</t>
  </si>
  <si>
    <t>OAK</t>
  </si>
  <si>
    <t>Logan Forsythe</t>
  </si>
  <si>
    <t>1B/2B</t>
  </si>
  <si>
    <t>Jung Ho Kang</t>
  </si>
  <si>
    <t>DJ LeMahieu</t>
  </si>
  <si>
    <t>Ian Desmond</t>
  </si>
  <si>
    <t>Adam LaRoche</t>
  </si>
  <si>
    <t>Evan Gattis</t>
  </si>
  <si>
    <t>Addison Russell</t>
  </si>
  <si>
    <t>2B/SS</t>
  </si>
  <si>
    <t>Albert Pujols</t>
  </si>
  <si>
    <t>Adrian Beltre</t>
  </si>
  <si>
    <t>Wilson Ramos</t>
  </si>
  <si>
    <t>Stephen Vogt</t>
  </si>
  <si>
    <t>C/1B/OF</t>
  </si>
  <si>
    <t>Shin-Soo Choo</t>
  </si>
  <si>
    <t>Justin Bour</t>
  </si>
  <si>
    <t>Domonic Brown</t>
  </si>
  <si>
    <t>Pedro Alvarez</t>
  </si>
  <si>
    <t>Yan Gomes</t>
  </si>
  <si>
    <t>Salvador Perez</t>
  </si>
  <si>
    <t>Francisco Cervelli</t>
  </si>
  <si>
    <t>Matt Wieters</t>
  </si>
  <si>
    <t>A.J. Pierzynski</t>
  </si>
  <si>
    <t>Order</t>
  </si>
  <si>
    <t>Avg</t>
  </si>
  <si>
    <t>Total</t>
  </si>
  <si>
    <t>Max</t>
  </si>
  <si>
    <t>Min</t>
  </si>
  <si>
    <t>Stddev</t>
  </si>
  <si>
    <t>Per Team</t>
  </si>
  <si>
    <t>Categories</t>
  </si>
  <si>
    <t>Cat Avg</t>
  </si>
  <si>
    <t>Simulated Data</t>
  </si>
  <si>
    <t>Trimmed Data</t>
  </si>
  <si>
    <t>SGP</t>
  </si>
  <si>
    <t>Crude SGP Value</t>
  </si>
  <si>
    <t>SGP Value</t>
  </si>
  <si>
    <t>Crude PVM Value</t>
  </si>
  <si>
    <t>PVM Value</t>
  </si>
  <si>
    <t>Included?</t>
  </si>
  <si>
    <t>Included SGP</t>
  </si>
  <si>
    <t>CI SGP</t>
  </si>
  <si>
    <t>Incl SGP Value</t>
  </si>
  <si>
    <t>OBP Diff</t>
  </si>
  <si>
    <t>Incl OBP Diff</t>
  </si>
  <si>
    <t>IC PVM</t>
  </si>
  <si>
    <t>Incl PVM Value</t>
  </si>
  <si>
    <t>SGP Factors</t>
  </si>
  <si>
    <t>I g</t>
  </si>
  <si>
    <t>I R</t>
  </si>
  <si>
    <t>I HR</t>
  </si>
  <si>
    <t>I RBI</t>
  </si>
  <si>
    <t>I SB</t>
  </si>
  <si>
    <t>I OBP</t>
  </si>
  <si>
    <t>I PA</t>
  </si>
  <si>
    <t>I H</t>
  </si>
  <si>
    <t>I BB</t>
  </si>
  <si>
    <t>Z-score</t>
  </si>
  <si>
    <t>R Scale</t>
  </si>
  <si>
    <t>HR Scale</t>
  </si>
  <si>
    <t>RBI Scale</t>
  </si>
  <si>
    <t>SB Scale</t>
  </si>
  <si>
    <t>OBP Scale</t>
  </si>
  <si>
    <t>OB</t>
  </si>
  <si>
    <t>I OB</t>
  </si>
  <si>
    <t>Team OB</t>
  </si>
  <si>
    <t>I Team OB</t>
  </si>
  <si>
    <t>OBMod Z-Score</t>
  </si>
  <si>
    <t>Weighted Scale</t>
  </si>
  <si>
    <t>Scale Weights</t>
  </si>
  <si>
    <t>OB Scale</t>
  </si>
  <si>
    <t>OB Tot Scale</t>
  </si>
  <si>
    <t>Tot Scale</t>
  </si>
  <si>
    <t>OB Weighted Scale</t>
  </si>
  <si>
    <t>Number</t>
  </si>
  <si>
    <t>BSKL SGP</t>
  </si>
  <si>
    <t>Tot Value</t>
  </si>
  <si>
    <t>OB Tot Value</t>
  </si>
  <si>
    <t>OB Weighted Value</t>
  </si>
  <si>
    <t>Weighted Value</t>
  </si>
  <si>
    <t>Z Value</t>
  </si>
  <si>
    <t>OB Z Value</t>
  </si>
  <si>
    <t>I R Scale</t>
  </si>
  <si>
    <t>I HR Scale</t>
  </si>
  <si>
    <t>I RBI Scale</t>
  </si>
  <si>
    <t>I SB Scale</t>
  </si>
  <si>
    <t>I OBP Scale</t>
  </si>
  <si>
    <t>I OB Scale</t>
  </si>
  <si>
    <t>I Tot Scale</t>
  </si>
  <si>
    <t>I OB Tot Scale</t>
  </si>
  <si>
    <t>I Weighted Scale</t>
  </si>
  <si>
    <t>I OB Weighted Scale</t>
  </si>
  <si>
    <t>I Z-score</t>
  </si>
  <si>
    <t>I OBMod Z-Score</t>
  </si>
  <si>
    <t>I Tot Value</t>
  </si>
  <si>
    <t>I OB Tot Value</t>
  </si>
  <si>
    <t>I Weighted Value</t>
  </si>
  <si>
    <t>I OB Weighted Value</t>
  </si>
  <si>
    <t>I Z Value</t>
  </si>
  <si>
    <t>I OB Z Value</t>
  </si>
  <si>
    <t>Jorge Soler</t>
  </si>
  <si>
    <t>Delino DeShields</t>
  </si>
  <si>
    <t>Howie Kendrick</t>
  </si>
  <si>
    <t>Marlon Byrd</t>
  </si>
  <si>
    <t>Brandon Phillips</t>
  </si>
  <si>
    <t>Hunter Pence</t>
  </si>
  <si>
    <t>Kole Calhoun</t>
  </si>
  <si>
    <t>Ben Paulsen</t>
  </si>
  <si>
    <t>Michael Taylor</t>
  </si>
  <si>
    <t>John Jaso</t>
  </si>
  <si>
    <t>James Loney</t>
  </si>
  <si>
    <t>Xander Bogaerts</t>
  </si>
  <si>
    <t>Mitch Moreland</t>
  </si>
  <si>
    <t>Brock Holt</t>
  </si>
  <si>
    <t>1B/2B/SS/3B/OF</t>
  </si>
  <si>
    <t>Alex Rodriguez</t>
  </si>
  <si>
    <t>NYY</t>
  </si>
  <si>
    <t>Billy Hamilton</t>
  </si>
  <si>
    <t>Jacoby Ellsbury</t>
  </si>
  <si>
    <t>Adam Eaton</t>
  </si>
  <si>
    <t>Yasmani Grandal</t>
  </si>
  <si>
    <t>David Peralta</t>
  </si>
  <si>
    <t>Kris Negron</t>
  </si>
  <si>
    <t>2B/SS/3B/OF</t>
  </si>
  <si>
    <t>Mike Napoli</t>
  </si>
  <si>
    <t>Johnny Giavotella</t>
  </si>
  <si>
    <t>Adeiny Hechavarria</t>
  </si>
  <si>
    <t>Mark Teixeira</t>
  </si>
  <si>
    <t>Carlos Correa</t>
  </si>
  <si>
    <t>Brett Gardner</t>
  </si>
  <si>
    <t>Alex Avila</t>
  </si>
  <si>
    <t>Wilmer Flores</t>
  </si>
  <si>
    <t>Cole Gillespie</t>
  </si>
  <si>
    <t>C/OF</t>
  </si>
  <si>
    <t>Miguel Sano</t>
  </si>
  <si>
    <t>David Freese</t>
  </si>
  <si>
    <t>Ben Zobrist</t>
  </si>
  <si>
    <t>2B/SS/OF</t>
  </si>
  <si>
    <t>Erick Aybar</t>
  </si>
  <si>
    <t>Nick Hundley</t>
  </si>
  <si>
    <t>Brayan Pena</t>
  </si>
  <si>
    <t>Welington Castillo</t>
  </si>
  <si>
    <t>Kevin Plawecki</t>
  </si>
  <si>
    <t>Carlos Ruiz</t>
  </si>
  <si>
    <t>Mike Zunino</t>
  </si>
  <si>
    <t>Tyler Flowers</t>
  </si>
  <si>
    <t>Rene Rivera</t>
  </si>
  <si>
    <t>Robinson Chirinos</t>
  </si>
  <si>
    <t>Ryan Hanigan</t>
  </si>
  <si>
    <t>Carlos Perez</t>
  </si>
  <si>
    <t>Kurt Suzuki</t>
  </si>
  <si>
    <t>J.T. Realmuto</t>
  </si>
  <si>
    <t>Brian McCann</t>
  </si>
  <si>
    <t>Jason Castro</t>
  </si>
  <si>
    <t>Chris Iannetta</t>
  </si>
  <si>
    <t>Jimmy Rollins</t>
  </si>
  <si>
    <t>Alexei Ramirez</t>
  </si>
  <si>
    <t>Rougned Odor</t>
  </si>
  <si>
    <t>Elvis Andrus</t>
  </si>
  <si>
    <t>Brad Miller</t>
  </si>
  <si>
    <t>Ruben Tejada</t>
  </si>
  <si>
    <t>Omar Infante</t>
  </si>
  <si>
    <t>Andrew Romine</t>
  </si>
  <si>
    <t>Jordy Mercer</t>
  </si>
  <si>
    <t>Nick Ahmed</t>
  </si>
  <si>
    <t>Chris Owings</t>
  </si>
  <si>
    <t>Luis Valbuena</t>
  </si>
  <si>
    <t>Jose Iglesias</t>
  </si>
  <si>
    <t>Miguel Rojas</t>
  </si>
  <si>
    <t>Andrelton Simmons</t>
  </si>
  <si>
    <t>Brett Lawrie</t>
  </si>
  <si>
    <t>Jean Segura</t>
  </si>
  <si>
    <t>Devon Travis</t>
  </si>
  <si>
    <t>Actual Pos</t>
  </si>
  <si>
    <t>Average Val</t>
  </si>
  <si>
    <t>I Average Val</t>
  </si>
  <si>
    <t>Radj</t>
  </si>
  <si>
    <t>HRAdj</t>
  </si>
  <si>
    <t>RBIAdj</t>
  </si>
  <si>
    <t>SBAdj</t>
  </si>
  <si>
    <t>OBPAdj</t>
  </si>
  <si>
    <t>TotalAdj</t>
  </si>
  <si>
    <t>Diff</t>
  </si>
  <si>
    <t>Value</t>
  </si>
  <si>
    <t>MS PVM Weights</t>
  </si>
  <si>
    <t>Lowest Adj</t>
  </si>
  <si>
    <t>Players Per Position</t>
  </si>
  <si>
    <t>=C</t>
  </si>
  <si>
    <t>=1B</t>
  </si>
  <si>
    <t>=2B</t>
  </si>
  <si>
    <t>=SS</t>
  </si>
  <si>
    <t>=3B</t>
  </si>
  <si>
    <t>=OF</t>
  </si>
  <si>
    <t>=UT</t>
  </si>
  <si>
    <t>Players Included</t>
  </si>
  <si>
    <t>MinPos</t>
  </si>
  <si>
    <t>FakeMin</t>
  </si>
  <si>
    <t>Column1</t>
  </si>
  <si>
    <t>Column2</t>
  </si>
  <si>
    <t>Column3</t>
  </si>
  <si>
    <t>Column4</t>
  </si>
  <si>
    <t>Column5</t>
  </si>
  <si>
    <t>Column6</t>
  </si>
  <si>
    <t>Column8</t>
  </si>
  <si>
    <t>Column7</t>
  </si>
  <si>
    <t>Team OBP</t>
  </si>
  <si>
    <t>Column9</t>
  </si>
  <si>
    <t>Column10</t>
  </si>
  <si>
    <t>Val Adj</t>
  </si>
  <si>
    <t>Val $</t>
  </si>
  <si>
    <t>1:90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</si>
</sst>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0.#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8" borderId="8" applyNumberFormat="0" applyFont="0" applyAlignment="0" applyProtection="0"/>
    <xf numFmtId="0" fontId="2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47">
    <xf numFmtId="0" fontId="0" fillId="0" borderId="0" xfId="0"/>
    <xf numFmtId="2" fontId="0" fillId="0" borderId="0" xfId="0" applyNumberFormat="1"/>
    <xf numFmtId="0" fontId="20" fillId="0" borderId="0" xfId="41" applyNumberFormat="1" applyFont="1" applyFill="1" applyBorder="1" applyAlignment="1" applyProtection="1"/>
    <xf numFmtId="0" fontId="17" fillId="0" borderId="0" xfId="0" applyFont="1"/>
    <xf numFmtId="0" fontId="21" fillId="0" borderId="0" xfId="42" applyFont="1" applyFill="1"/>
    <xf numFmtId="0" fontId="16" fillId="0" borderId="0" xfId="0" applyFont="1"/>
    <xf numFmtId="0" fontId="20" fillId="0" borderId="0" xfId="41" applyNumberFormat="1" applyFont="1" applyFill="1" applyAlignment="1" applyProtection="1"/>
    <xf numFmtId="2" fontId="16" fillId="0" borderId="0" xfId="0" applyNumberFormat="1" applyFont="1"/>
    <xf numFmtId="0" fontId="20" fillId="0" borderId="0" xfId="42" applyNumberFormat="1" applyFont="1" applyFill="1" applyBorder="1" applyAlignment="1" applyProtection="1"/>
    <xf numFmtId="0" fontId="19" fillId="0" borderId="0" xfId="42"/>
    <xf numFmtId="0" fontId="19" fillId="0" borderId="0" xfId="42" applyNumberFormat="1" applyFont="1" applyFill="1" applyBorder="1" applyAlignment="1" applyProtection="1"/>
    <xf numFmtId="0" fontId="19" fillId="0" borderId="0" xfId="42" applyFill="1"/>
    <xf numFmtId="0" fontId="20" fillId="0" borderId="0" xfId="42" applyNumberFormat="1" applyFont="1" applyFill="1" applyAlignment="1" applyProtection="1"/>
    <xf numFmtId="0" fontId="0" fillId="0" borderId="0" xfId="0" applyNumberFormat="1"/>
    <xf numFmtId="0" fontId="19" fillId="0" borderId="0" xfId="42" applyNumberFormat="1" applyFill="1"/>
    <xf numFmtId="0" fontId="22" fillId="0" borderId="0" xfId="42" applyFont="1" applyFill="1"/>
    <xf numFmtId="0" fontId="19" fillId="0" borderId="0" xfId="42" applyFill="1"/>
    <xf numFmtId="0" fontId="23" fillId="0" borderId="0" xfId="50"/>
    <xf numFmtId="0" fontId="23" fillId="0" borderId="0" xfId="50" applyNumberFormat="1" applyFont="1" applyFill="1" applyBorder="1" applyAlignment="1" applyProtection="1"/>
    <xf numFmtId="164" fontId="23" fillId="0" borderId="0" xfId="50" applyNumberFormat="1" applyFont="1" applyFill="1" applyBorder="1" applyAlignment="1" applyProtection="1"/>
    <xf numFmtId="0" fontId="0" fillId="0" borderId="0" xfId="0" applyAlignment="1">
      <alignment horizontal="center" vertical="center"/>
    </xf>
    <xf numFmtId="49" fontId="0" fillId="0" borderId="0" xfId="0" applyNumberFormat="1"/>
    <xf numFmtId="2" fontId="0" fillId="0" borderId="0" xfId="0" applyNumberFormat="1" applyFont="1"/>
    <xf numFmtId="0" fontId="18" fillId="33" borderId="11" xfId="42" applyNumberFormat="1" applyFont="1" applyFill="1" applyBorder="1" applyAlignment="1"/>
    <xf numFmtId="0" fontId="18" fillId="0" borderId="11" xfId="42" applyNumberFormat="1" applyFont="1" applyBorder="1" applyAlignment="1"/>
    <xf numFmtId="0" fontId="0" fillId="0" borderId="0" xfId="0"/>
    <xf numFmtId="2" fontId="0" fillId="0" borderId="0" xfId="0" applyNumberFormat="1"/>
    <xf numFmtId="0" fontId="20" fillId="0" borderId="0" xfId="41" applyNumberFormat="1" applyFont="1" applyFill="1" applyBorder="1" applyAlignment="1" applyProtection="1"/>
    <xf numFmtId="0" fontId="17" fillId="0" borderId="0" xfId="0" applyFont="1"/>
    <xf numFmtId="0" fontId="21" fillId="0" borderId="0" xfId="51" applyFont="1" applyFill="1"/>
    <xf numFmtId="0" fontId="16" fillId="0" borderId="0" xfId="0" applyFont="1"/>
    <xf numFmtId="0" fontId="20" fillId="0" borderId="0" xfId="41" applyNumberFormat="1" applyFont="1" applyFill="1" applyAlignment="1" applyProtection="1"/>
    <xf numFmtId="0" fontId="18" fillId="0" borderId="0" xfId="51" applyNumberFormat="1" applyFont="1" applyFill="1" applyBorder="1" applyAlignment="1" applyProtection="1"/>
    <xf numFmtId="0" fontId="18" fillId="0" borderId="0" xfId="51" applyFill="1"/>
    <xf numFmtId="0" fontId="18" fillId="0" borderId="0" xfId="51" applyNumberFormat="1" applyFill="1"/>
    <xf numFmtId="0" fontId="22" fillId="0" borderId="0" xfId="51" applyFont="1" applyFill="1"/>
    <xf numFmtId="0" fontId="18" fillId="0" borderId="0" xfId="55" applyNumberFormat="1" applyFont="1" applyFill="1" applyBorder="1" applyAlignment="1" applyProtection="1"/>
    <xf numFmtId="164" fontId="18" fillId="0" borderId="0" xfId="55" applyNumberFormat="1" applyFont="1" applyFill="1" applyBorder="1" applyAlignment="1" applyProtection="1"/>
    <xf numFmtId="49" fontId="0" fillId="0" borderId="0" xfId="0" applyNumberFormat="1"/>
    <xf numFmtId="2" fontId="0" fillId="0" borderId="0" xfId="0" applyNumberFormat="1" applyFont="1"/>
    <xf numFmtId="0" fontId="18" fillId="0" borderId="10" xfId="51" applyNumberFormat="1" applyFont="1" applyBorder="1" applyAlignment="1"/>
    <xf numFmtId="0" fontId="20" fillId="0" borderId="0" xfId="41" applyNumberFormat="1" applyFont="1" applyFill="1" applyBorder="1" applyAlignment="1" applyProtection="1"/>
    <xf numFmtId="0" fontId="18" fillId="0" borderId="0" xfId="60"/>
    <xf numFmtId="0" fontId="18" fillId="0" borderId="0" xfId="60" applyNumberFormat="1" applyFont="1" applyFill="1" applyBorder="1" applyAlignment="1" applyProtection="1"/>
    <xf numFmtId="0" fontId="18" fillId="0" borderId="0" xfId="6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6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56"/>
    <cellStyle name="Normal 2 3" xfId="51"/>
    <cellStyle name="Normal 3" xfId="43"/>
    <cellStyle name="Normal 4" xfId="44"/>
    <cellStyle name="Normal 4 2" xfId="57"/>
    <cellStyle name="Normal 4 3" xfId="52"/>
    <cellStyle name="Normal 5" xfId="45"/>
    <cellStyle name="Normal 5 2" xfId="46"/>
    <cellStyle name="Normal 5 2 2" xfId="47"/>
    <cellStyle name="Normal 5 2 2 2" xfId="59"/>
    <cellStyle name="Normal 5 2 2 3" xfId="54"/>
    <cellStyle name="Normal 5 2 3" xfId="58"/>
    <cellStyle name="Normal 5 2 4" xfId="53"/>
    <cellStyle name="Normal 6" xfId="48"/>
    <cellStyle name="Normal 7" xfId="41"/>
    <cellStyle name="Normal 8" xfId="50"/>
    <cellStyle name="Normal 8 2" xfId="60"/>
    <cellStyle name="Normal 8 3" xfId="55"/>
    <cellStyle name="Note 2" xfId="49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08"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#0.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z val="10"/>
        <color auto="1"/>
        <name val="Arial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imResults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le1" displayName="Table1" ref="A1:AB183" totalsRowShown="0" headerRowDxfId="107" headerRowCellStyle="Normal 7" dataCellStyle="Normal 2">
  <autoFilter ref="A1:AB183">
    <filterColumn colId="5">
      <filters>
        <filter val="SS"/>
      </filters>
    </filterColumn>
  </autoFilter>
  <tableColumns count="28">
    <tableColumn id="17" name="Included?" dataDxfId="106" dataCellStyle="Normal 2"/>
    <tableColumn id="2" name="Order"/>
    <tableColumn id="3" name="Name" dataCellStyle="Normal 2"/>
    <tableColumn id="4" name="Team" dataCellStyle="Normal 2"/>
    <tableColumn id="5" name="Pos" dataCellStyle="Normal 2"/>
    <tableColumn id="1" name="Actual Pos" dataCellStyle="Normal 8"/>
    <tableColumn id="6" name="g" dataCellStyle="Normal 2"/>
    <tableColumn id="7" name="R" dataCellStyle="Normal 2"/>
    <tableColumn id="8" name="HR" dataCellStyle="Normal 2"/>
    <tableColumn id="9" name="RBI" dataCellStyle="Normal 2"/>
    <tableColumn id="10" name="SB" dataCellStyle="Normal 2"/>
    <tableColumn id="11" name="OBP" dataCellStyle="Normal 2"/>
    <tableColumn id="12" name="PA" dataCellStyle="Normal 2"/>
    <tableColumn id="13" name="H" dataCellStyle="Normal 2"/>
    <tableColumn id="14" name="BB" dataCellStyle="Normal 2"/>
    <tableColumn id="16" name="OB" dataDxfId="105" dataCellStyle="Normal 2">
      <calculatedColumnFormula>Table1[[#This Row],[OBP]]*Table1[[#This Row],[PA]]</calculatedColumnFormula>
    </tableColumn>
    <tableColumn id="30" name="Team OB" dataDxfId="104" dataCellStyle="Normal 2">
      <calculatedColumnFormula>(8*P$185+Table1[[#This Row],[OB]])/(8*M$185+Table1[[#This Row],[PA]])</calculatedColumnFormula>
    </tableColumn>
    <tableColumn id="19" name="I g" dataDxfId="103" dataCellStyle="Normal 2">
      <calculatedColumnFormula>IF(Table1[[#This Row],[Included?]],Table1[[#This Row],[g]],"")</calculatedColumnFormula>
    </tableColumn>
    <tableColumn id="20" name="I R" dataDxfId="102" dataCellStyle="Normal 2">
      <calculatedColumnFormula>IF(Table1[[#This Row],[Included?]],Table1[[#This Row],[R]],"")</calculatedColumnFormula>
    </tableColumn>
    <tableColumn id="21" name="I HR" dataDxfId="101" dataCellStyle="Normal 2">
      <calculatedColumnFormula>IF(Table1[[#This Row],[Included?]],Table1[[#This Row],[HR]],"")</calculatedColumnFormula>
    </tableColumn>
    <tableColumn id="22" name="I RBI" dataDxfId="100" dataCellStyle="Normal 2">
      <calculatedColumnFormula>IF(Table1[[#This Row],[Included?]],Table1[[#This Row],[RBI]],"")</calculatedColumnFormula>
    </tableColumn>
    <tableColumn id="23" name="I SB" dataDxfId="99" dataCellStyle="Normal 2">
      <calculatedColumnFormula>IF(Table1[[#This Row],[Included?]],Table1[[#This Row],[SB]],"")</calculatedColumnFormula>
    </tableColumn>
    <tableColumn id="24" name="I OBP" dataDxfId="98" dataCellStyle="Normal 2">
      <calculatedColumnFormula>IF(Table1[[#This Row],[Included?]],Table1[[#This Row],[OBP]],"")</calculatedColumnFormula>
    </tableColumn>
    <tableColumn id="25" name="I PA" dataDxfId="97" dataCellStyle="Normal 2">
      <calculatedColumnFormula>IF(Table1[[#This Row],[Included?]],Table1[[#This Row],[PA]],"")</calculatedColumnFormula>
    </tableColumn>
    <tableColumn id="26" name="I H" dataDxfId="96" dataCellStyle="Normal 2">
      <calculatedColumnFormula>IF(Table1[[#This Row],[Included?]],Table1[[#This Row],[H]],"")</calculatedColumnFormula>
    </tableColumn>
    <tableColumn id="27" name="I BB" dataDxfId="95" dataCellStyle="Normal 2">
      <calculatedColumnFormula>IF(Table1[[#This Row],[Included?]],Table1[[#This Row],[BB]],"")</calculatedColumnFormula>
    </tableColumn>
    <tableColumn id="28" name="I OB" dataDxfId="94" dataCellStyle="Normal 2">
      <calculatedColumnFormula>IF(Table1[[#This Row],[Included?]],Table1[[#This Row],[OB]],"")</calculatedColumnFormula>
    </tableColumn>
    <tableColumn id="31" name="I Team OB" dataDxfId="93" dataCellStyle="Normal 2">
      <calculatedColumnFormula>IF(Table1[[#This Row],[Included?]], (8*AA$185+Table1[[#This Row],[I OB]])/(8*X$185+Table1[[#This Row],[I PA]]), 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N183" totalsRowShown="0" headerRowDxfId="92" headerRowCellStyle="Normal 2">
  <autoFilter ref="B1:N183"/>
  <tableColumns count="13">
    <tableColumn id="1" name="SGP" dataDxfId="91">
      <calculatedColumnFormula>Table1[[#This Row],[R]]*Data!B$191+Table1[[#This Row],[HR]]*Data!C$191+Table1[[#This Row],[RBI]]*Data!D$191+Table1[[#This Row],[SB]]*Data!E$191+(((Data!P$185*8+Table1[[#This Row],[OB]])/(Data!M$185*8+Table1[[#This Row],[PA]])-Data!P$185/Data!M$185)/Data!F$191)</calculatedColumnFormula>
    </tableColumn>
    <tableColumn id="2" name="Crude SGP Value" dataDxfId="90">
      <calculatedColumnFormula>Data!D$186/'SGP and PVM'!B$186*Table2[[#This Row],[SGP]]</calculatedColumnFormula>
    </tableColumn>
    <tableColumn id="3" name="SGP Value" dataDxfId="89">
      <calculatedColumnFormula>((Table2[[#This Row],[SGP]]-B$188)*(Data!D$186-COUNT(Table2[SGP])))/('SGP and PVM'!B$186-'SGP and PVM'!B$188*COUNT(Table2[SGP]))+1</calculatedColumnFormula>
    </tableColumn>
    <tableColumn id="10" name="Included SGP" dataDxfId="88">
      <calculatedColumnFormula>IF(Table1[[#This Row],[Included?]],Table2[[#This Row],[SGP]],"")</calculatedColumnFormula>
    </tableColumn>
    <tableColumn id="9" name="CI SGP" dataDxfId="87">
      <calculatedColumnFormula>IF(Table2[[#This Row],[Included SGP]]&lt;&gt;"", Data!D$186/'SGP and PVM'!E$186*Table2[[#This Row],[Included SGP]], "")</calculatedColumnFormula>
    </tableColumn>
    <tableColumn id="11" name="Incl SGP Value" dataDxfId="86">
      <calculatedColumnFormula>IF(Table2[[#This Row],[CI SGP]]&lt;&gt;"", ((Table2[[#This Row],[CI SGP]]-F$188)*(Data!D$186-COUNT(Table2[CI SGP])))/('SGP and PVM'!F$186-'SGP and PVM'!F$188*COUNT(Table2[CI SGP]))+1, "")</calculatedColumnFormula>
    </tableColumn>
    <tableColumn id="12" name="OBP Diff" dataDxfId="85">
      <calculatedColumnFormula>(Table1[[#This Row],[OBP]]-MEDIAN(Table1[OBP]))*Table1[[#This Row],[PA]]</calculatedColumnFormula>
    </tableColumn>
    <tableColumn id="5" name="Crude PVM Value" dataDxfId="84">
      <calculatedColumnFormula>360*(Table1[[#This Row],[R]]/Data!H$186+Table1[[#This Row],[HR]]/Data!I$186+Table1[[#This Row],[RBI]]/Data!J$186+Table1[[#This Row],[SB]]/Data!K$186+(Table2[[#This Row],[OBP Diff]]-H$188)/(H$186-H$188*COUNT(Table2[OBP Diff])))</calculatedColumnFormula>
    </tableColumn>
    <tableColumn id="6" name="PVM Value" dataDxfId="83">
      <calculatedColumnFormula>(Table2[[#This Row],[Crude PVM Value]]-I$188)*('SGP and PVM'!C$186-COUNT(Table2[Crude PVM Value]))/('SGP and PVM'!C$186-'SGP and PVM'!I$188*COUNT(Table2[Crude PVM Value]))+1</calculatedColumnFormula>
    </tableColumn>
    <tableColumn id="7" name="Incl OBP Diff" dataDxfId="82">
      <calculatedColumnFormula>IF(Table1[[#This Row],[Included?]],Table2[[#This Row],[OBP Diff]],"")</calculatedColumnFormula>
    </tableColumn>
    <tableColumn id="13" name="IC PVM" dataDxfId="81">
      <calculatedColumnFormula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calculatedColumnFormula>
    </tableColumn>
    <tableColumn id="14" name="Incl PVM Value" dataDxfId="80">
      <calculatedColumnFormula>IF(Table1[[#This Row],[Included?]], (Table2[[#This Row],[IC PVM]]-L$188)*('SGP and PVM'!C$186-COUNT(Table2[IC PVM]))/('SGP and PVM'!C$186-'SGP and PVM'!L$188*COUNT(Table2[IC PVM]))+1, "")</calculatedColumnFormula>
    </tableColumn>
    <tableColumn id="15" name="BSKL SGP" dataDxfId="79">
      <calculatedColumnFormula>Table2[[#This Row],[SGP Value]]*N$192+N$193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:I183" totalsRowShown="0">
  <autoFilter ref="A1:I183"/>
  <tableColumns count="9">
    <tableColumn id="1" name="Radj" dataDxfId="78">
      <calculatedColumnFormula>IF(Table1[[#This Row],[Included?]], (Table1[[#This Row],[I R]]-Data!S$188)/(Data!S$186-90*Data!S$188)*Data!B$193, "")</calculatedColumnFormula>
    </tableColumn>
    <tableColumn id="2" name="HRAdj" dataDxfId="77">
      <calculatedColumnFormula>IF(Table1[[#This Row],[Included?]], (Table1[[#This Row],[I HR]]-Data!T$188)/(Data!T$186-90*Data!T$188)*Data!C$193, "")</calculatedColumnFormula>
    </tableColumn>
    <tableColumn id="3" name="RBIAdj" dataDxfId="76">
      <calculatedColumnFormula>IF(Table1[[#This Row],[Included?]], (Table1[[#This Row],[I RBI]]-Data!U$188)/(Data!U$186-90*Data!U$188)*Data!D$193, "")</calculatedColumnFormula>
    </tableColumn>
    <tableColumn id="4" name="SBAdj" dataDxfId="75">
      <calculatedColumnFormula>IF(Table1[[#This Row],[Included?]], (Table1[[#This Row],[I SB]]-Data!V$188)/(Data!V$186-90*Data!V$188)*Data!E$193, "")</calculatedColumnFormula>
    </tableColumn>
    <tableColumn id="5" name="OBPAdj" dataDxfId="74">
      <calculatedColumnFormula>IF(Table1[[#This Row],[Included?]], (Table1[[#This Row],[I OBP]]-Data!W$188)/(Data!W$186-90*Data!W$188)*Data!F$193, "")</calculatedColumnFormula>
    </tableColumn>
    <tableColumn id="6" name="TotalAdj" dataDxfId="73">
      <calculatedColumnFormula>IF( Table1[[#This Row],[Included?]], SUM(Table5[[#This Row],[Radj]:[OBPAdj]]), "")</calculatedColumnFormula>
    </tableColumn>
    <tableColumn id="15" name="MinPos" dataDxfId="72">
      <calculatedColumnFormula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calculatedColumnFormula>
    </tableColumn>
    <tableColumn id="7" name="Diff" dataDxfId="71">
      <calculatedColumnFormula>IF(Table1[[#This Row],[Included?]], Table5[[#This Row],[TotalAdj]]-Table5[[#This Row],[MinPos]], "")</calculatedColumnFormula>
    </tableColumn>
    <tableColumn id="8" name="Value" dataDxfId="70">
      <calculatedColumnFormula>IF(Table1[[#This Row],[Included?]], 1+(Data!D$186-Data!B$185)*Table5[[#This Row],[Diff]]/SUM(Table5[Diff]), "")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S183" totalsRowShown="0" dataDxfId="69">
  <autoFilter ref="A1:S183"/>
  <tableColumns count="19">
    <tableColumn id="3" name="R Scale" dataDxfId="68">
      <calculatedColumnFormula>(Table1[[#This Row],[R]]-Data!H$188)/(Data!H$187-Data!H$188)</calculatedColumnFormula>
    </tableColumn>
    <tableColumn id="4" name="HR Scale" dataDxfId="67">
      <calculatedColumnFormula>(Table1[[#This Row],[HR]]-Data!I$188)/(Data!I$187-Data!I$188)</calculatedColumnFormula>
    </tableColumn>
    <tableColumn id="5" name="RBI Scale" dataDxfId="66">
      <calculatedColumnFormula>(Table1[[#This Row],[RBI]]-Data!J$188)/(Data!J$187-Data!J$188)</calculatedColumnFormula>
    </tableColumn>
    <tableColumn id="6" name="SB Scale" dataDxfId="65">
      <calculatedColumnFormula>(Table1[[#This Row],[SB]]-Data!K$188)/(Data!K$187-Data!K$188)</calculatedColumnFormula>
    </tableColumn>
    <tableColumn id="7" name="OBP Scale" dataDxfId="64">
      <calculatedColumnFormula>(Table1[[#This Row],[OBP]]-Data!L$188)/(Data!L$187-Data!L$188)</calculatedColumnFormula>
    </tableColumn>
    <tableColumn id="10" name="OB Scale" dataDxfId="63">
      <calculatedColumnFormula>(Table1[[#This Row],[OB]]-Data!P$188)/(Data!P$187-Data!P$188)</calculatedColumnFormula>
    </tableColumn>
    <tableColumn id="9" name="Tot Scale" dataDxfId="62">
      <calculatedColumnFormula>SUM(Table3[[#This Row],[R Scale]:[OBP Scale]])</calculatedColumnFormula>
    </tableColumn>
    <tableColumn id="11" name="OB Tot Scale" dataDxfId="61">
      <calculatedColumnFormula>SUM(Table3[[#This Row],[R Scale]:[SB Scale]],Table3[[#This Row],[OB Scale]])</calculatedColumnFormula>
    </tableColumn>
    <tableColumn id="8" name="Weighted Scale" dataDxfId="60">
      <calculatedColumnFormula>Table3[[#This Row],[R Scale]]*Data!B$192+Table3[[#This Row],[HR Scale]]*Data!C$192+Table3[[#This Row],[RBI Scale]]*Data!D$192+Table3[[#This Row],[SB Scale]]*Data!E$192+Table3[[#This Row],[OBP Scale]]*Data!F$192</calculatedColumnFormula>
    </tableColumn>
    <tableColumn id="12" name="OB Weighted Scale" dataDxfId="59">
      <calculatedColumnFormula>Table3[[#This Row],[R Scale]]*Data!B$192+Table3[[#This Row],[HR Scale]]*Data!C$192+Table3[[#This Row],[RBI Scale]]*Data!D$192+Table3[[#This Row],[SB Scale]]*Data!E$192+Table3[[#This Row],[OB Scale]]*Data!F$192</calculatedColumnFormula>
    </tableColumn>
    <tableColumn id="1" name="Z-score" dataDxfId="58">
      <calculatedColumnFormula>(Table1[[#This Row],[R]]-Data!H$185)/Data!H$189+(Table1[[#This Row],[HR]]-Data!I$185)/Data!I$189+(Table1[[#This Row],[RBI]]-Data!J$185)/Data!J$189+(Table1[[#This Row],[SB]]-Data!K$185)/Data!K$189+(Table1[[#This Row],[OBP]]-Data!L$185)/Data!L$189</calculatedColumnFormula>
    </tableColumn>
    <tableColumn id="2" name="OBMod Z-Score" dataDxfId="57">
      <calculatedColumnFormula>(Table1[[#This Row],[R]]-Data!H$185)/Data!H$189+(Table1[[#This Row],[HR]]-Data!I$185)/Data!I$189+(Table1[[#This Row],[RBI]]-Data!J$185)/Data!J$189+(Table1[[#This Row],[SB]]-Data!K$185)/Data!K$189+(Table1[[#This Row],[Team OB]]-Data!Q$185)/Data!Q$189</calculatedColumnFormula>
    </tableColumn>
    <tableColumn id="16" name="Tot Value" dataDxfId="56">
      <calculatedColumnFormula>Table3[[#This Row],[Tot Scale]]*M$185+M$186</calculatedColumnFormula>
    </tableColumn>
    <tableColumn id="17" name="OB Tot Value" dataDxfId="55">
      <calculatedColumnFormula>Table3[[#This Row],[OB Tot Scale]]*N$185+N$186</calculatedColumnFormula>
    </tableColumn>
    <tableColumn id="18" name="Weighted Value" dataDxfId="54">
      <calculatedColumnFormula>Table3[[#This Row],[Weighted Scale]]*O$185+O$186</calculatedColumnFormula>
    </tableColumn>
    <tableColumn id="19" name="OB Weighted Value" dataDxfId="53">
      <calculatedColumnFormula>Table3[[#This Row],[OB Weighted Scale]]*P$185+P$186</calculatedColumnFormula>
    </tableColumn>
    <tableColumn id="20" name="Z Value" dataDxfId="52">
      <calculatedColumnFormula>Table3[[#This Row],[Z-score]]*Q$185+Q$186</calculatedColumnFormula>
    </tableColumn>
    <tableColumn id="13" name="OB Z Value" dataDxfId="51">
      <calculatedColumnFormula>Table3[[#This Row],[OBMod Z-Score]]*R$185+R$186</calculatedColumnFormula>
    </tableColumn>
    <tableColumn id="21" name="Average Val" dataDxfId="50">
      <calculatedColumnFormula>AVERAGE(Table3[[#This Row],[Tot Value]:[OB Z Value]])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4" name="Table35" displayName="Table35" ref="T1:AL183" totalsRowShown="0" dataDxfId="49">
  <autoFilter ref="T1:AL183"/>
  <tableColumns count="19">
    <tableColumn id="3" name="I R Scale" dataDxfId="48">
      <calculatedColumnFormula>IF(Table1[[#This Row],[Included?]], (Table1[[#This Row],[I R]]-Data!S$188)/(Data!S$187-Data!S$188), "")</calculatedColumnFormula>
    </tableColumn>
    <tableColumn id="4" name="I HR Scale" dataDxfId="47">
      <calculatedColumnFormula>IF(Table1[[#This Row],[Included?]], (Table1[[#This Row],[I HR]]-Data!T$188)/(Data!T$187-Data!T$188), "")</calculatedColumnFormula>
    </tableColumn>
    <tableColumn id="5" name="I RBI Scale" dataDxfId="46">
      <calculatedColumnFormula>IF(Table1[[#This Row],[Included?]], (Table1[[#This Row],[I RBI]]-Data!U$188)/(Data!U$187-Data!U$188), "")</calculatedColumnFormula>
    </tableColumn>
    <tableColumn id="6" name="I SB Scale" dataDxfId="45">
      <calculatedColumnFormula>IF(Table1[[#This Row],[Included?]], (Table1[[#This Row],[I SB]]-Data!V$188)/(Data!V$187-Data!V$188), "")</calculatedColumnFormula>
    </tableColumn>
    <tableColumn id="7" name="I OBP Scale" dataDxfId="44">
      <calculatedColumnFormula>IF(Table1[[#This Row],[Included?]], (Table1[[#This Row],[I OBP]]-Data!W$188)/(Data!W$187-Data!W$188), "")</calculatedColumnFormula>
    </tableColumn>
    <tableColumn id="10" name="I OB Scale" dataDxfId="43">
      <calculatedColumnFormula>IF(Table1[[#This Row],[Included?]], (Table1[[#This Row],[I OB]]-Data!AA$188)/(Data!AA$187-Data!AA$188), "")</calculatedColumnFormula>
    </tableColumn>
    <tableColumn id="9" name="I Tot Scale" dataDxfId="42">
      <calculatedColumnFormula>IF(Table1[[#This Row],[Included?]], SUM(Table35[[#This Row],[I R Scale]:[I OBP Scale]]), "")</calculatedColumnFormula>
    </tableColumn>
    <tableColumn id="11" name="I OB Tot Scale" dataDxfId="41">
      <calculatedColumnFormula>IF(Table1[[#This Row],[Included?]], SUM(Table35[[#This Row],[I R Scale]:[I SB Scale]],Table35[[#This Row],[I OB Scale]]), "")</calculatedColumnFormula>
    </tableColumn>
    <tableColumn id="8" name="I Weighted Scale" dataDxfId="40">
      <calculatedColumnFormula>IF(Table1[[#This Row],[Included?]], Table35[[#This Row],[I R Scale]]*Data!B$192+Table35[[#This Row],[I HR Scale]]*Data!C$192+Table35[[#This Row],[I RBI Scale]]*Data!D$192+Table35[[#This Row],[I SB Scale]]*Data!E$192+Table35[[#This Row],[I OBP Scale]]*Data!F$192, "")</calculatedColumnFormula>
    </tableColumn>
    <tableColumn id="12" name="I OB Weighted Scale" dataDxfId="39">
      <calculatedColumnFormula>IF(Table1[[#This Row],[Included?]], Table35[[#This Row],[I R Scale]]*Data!B$192+Table35[[#This Row],[I HR Scale]]*Data!C$192+Table35[[#This Row],[I RBI Scale]]*Data!D$192+Table35[[#This Row],[I SB Scale]]*Data!E$192+Table35[[#This Row],[I OB Scale]]*Data!F$192, "")</calculatedColumnFormula>
    </tableColumn>
    <tableColumn id="1" name="I Z-score" dataDxfId="38">
      <calculatedColumnFormula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calculatedColumnFormula>
    </tableColumn>
    <tableColumn id="2" name="I OBMod Z-Score" dataDxfId="37">
      <calculatedColumnFormula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calculatedColumnFormula>
    </tableColumn>
    <tableColumn id="16" name="I Tot Value" dataDxfId="36">
      <calculatedColumnFormula>IF(Table1[[#This Row],[Included?]], Table35[[#This Row],[I Tot Scale]]*AF$185+AF$186, "")</calculatedColumnFormula>
    </tableColumn>
    <tableColumn id="17" name="I OB Tot Value" dataDxfId="35">
      <calculatedColumnFormula>IF(Table1[[#This Row],[Included?]], Table35[[#This Row],[I OB Tot Scale]]*AG$185+AG$186, "")</calculatedColumnFormula>
    </tableColumn>
    <tableColumn id="18" name="I Weighted Value" dataDxfId="34">
      <calculatedColumnFormula>IF(Table1[[#This Row],[Included?]], Table35[[#This Row],[I Weighted Scale]]*AH$185+AH$186, "")</calculatedColumnFormula>
    </tableColumn>
    <tableColumn id="19" name="I OB Weighted Value" dataDxfId="33">
      <calculatedColumnFormula>IF(Table1[[#This Row],[Included?]], Table35[[#This Row],[I OB Weighted Scale]]*AI$185+AI$186, "")</calculatedColumnFormula>
    </tableColumn>
    <tableColumn id="20" name="I Z Value" dataDxfId="32">
      <calculatedColumnFormula>IF(Table1[[#This Row],[Included?]], Table35[[#This Row],[I Z-score]]*AJ$185+AJ$186, "")</calculatedColumnFormula>
    </tableColumn>
    <tableColumn id="21" name="I OB Z Value" dataDxfId="31">
      <calculatedColumnFormula>IF(Table1[[#This Row],[Included?]], Table35[[#This Row],[I OBMod Z-Score]]*AK$185+AK$186, "")</calculatedColumnFormula>
    </tableColumn>
    <tableColumn id="13" name="I Average Val" dataDxfId="30">
      <calculatedColumnFormula>IF(Table1[[#This Row],[Included?]], AVERAGE(Table35[[#This Row],[I Tot Value]:[I OB Z Value]]), 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F183" totalsRowShown="0">
  <autoFilter ref="A1:F183"/>
  <tableColumns count="6">
    <tableColumn id="1" name="C">
      <calculatedColumnFormula>ISNUMBER(SEARCH(Table6[[#Headers],[C]],Table1[[#This Row],[Actual Pos]]))</calculatedColumnFormula>
    </tableColumn>
    <tableColumn id="2" name="1B">
      <calculatedColumnFormula>ISNUMBER(SEARCH(Table6[[#Headers],[1B]],Table1[[#This Row],[Actual Pos]]))</calculatedColumnFormula>
    </tableColumn>
    <tableColumn id="3" name="2B">
      <calculatedColumnFormula>ISNUMBER(SEARCH(Table6[[#Headers],[2B]],Table1[[#This Row],[Actual Pos]]))</calculatedColumnFormula>
    </tableColumn>
    <tableColumn id="4" name="SS">
      <calculatedColumnFormula>ISNUMBER(SEARCH(Table6[[#Headers],[SS]],Table1[[#This Row],[Actual Pos]]))</calculatedColumnFormula>
    </tableColumn>
    <tableColumn id="5" name="3B">
      <calculatedColumnFormula>ISNUMBER(SEARCH(Table6[[#Headers],[3B]],Table1[[#This Row],[Actual Pos]]))</calculatedColumnFormula>
    </tableColumn>
    <tableColumn id="6" name="OF">
      <calculatedColumnFormula>ISNUMBER(SEARCH(Table6[[#Headers],[OF]],Table1[[#This Row],[Actual Pos]]))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AC91" totalsRowShown="0" headerRowDxfId="29" dataDxfId="28" headerRowCellStyle="Normal 7" dataCellStyle="Normal 2 3">
  <autoFilter ref="A1:AC91"/>
  <tableColumns count="29">
    <tableColumn id="1" name="Included?" dataDxfId="27" dataCellStyle="Normal 2 3"/>
    <tableColumn id="2" name="Order"/>
    <tableColumn id="3" name="Name" dataDxfId="26" dataCellStyle="Normal 8 3"/>
    <tableColumn id="4" name="Team" dataDxfId="25" dataCellStyle="Normal 8 3"/>
    <tableColumn id="5" name="Pos" dataDxfId="24" dataCellStyle="Normal 8 3"/>
    <tableColumn id="6" name="Actual Pos" dataDxfId="23" dataCellStyle="Normal 8 3"/>
    <tableColumn id="7" name="g" dataDxfId="22" dataCellStyle="Normal 8 3"/>
    <tableColumn id="8" name="R" dataDxfId="21" dataCellStyle="Normal 8 3"/>
    <tableColumn id="9" name="Column1" dataDxfId="20" dataCellStyle="Normal 8 3"/>
    <tableColumn id="10" name="Column2" dataDxfId="19" dataCellStyle="Normal 8 3"/>
    <tableColumn id="11" name="HR" dataDxfId="18" dataCellStyle="Normal 8 3"/>
    <tableColumn id="12" name="Column3" dataDxfId="17" dataCellStyle="Normal 8 3"/>
    <tableColumn id="13" name="Column4" dataDxfId="16" dataCellStyle="Normal 8 3"/>
    <tableColumn id="14" name="RBI" dataDxfId="15" dataCellStyle="Normal 8 3"/>
    <tableColumn id="15" name="Column5" dataDxfId="14" dataCellStyle="Normal 8 3"/>
    <tableColumn id="16" name="Column6" dataDxfId="13" dataCellStyle="Normal 8 3"/>
    <tableColumn id="17" name="SB" dataDxfId="12" dataCellStyle="Normal 8 3"/>
    <tableColumn id="18" name="Column8" dataDxfId="11" dataCellStyle="Normal 8 3"/>
    <tableColumn id="19" name="Column7" dataDxfId="10" dataCellStyle="Normal 8 3"/>
    <tableColumn id="20" name="OBP" dataDxfId="9" dataCellStyle="Normal 8 3"/>
    <tableColumn id="21" name="OB" dataDxfId="8" dataCellStyle="Normal 8 3"/>
    <tableColumn id="22" name="Team OBP" dataDxfId="7" dataCellStyle="Normal 8 3"/>
    <tableColumn id="23" name="Column9" dataDxfId="6" dataCellStyle="Normal 8 3"/>
    <tableColumn id="24" name="Column10" dataDxfId="5" dataCellStyle="Normal 8 3"/>
    <tableColumn id="25" name="PA" dataDxfId="4" dataCellStyle="Normal 8 3"/>
    <tableColumn id="26" name="Total" dataDxfId="3" dataCellStyle="Normal 2 3"/>
    <tableColumn id="27" name="MinPos" dataDxfId="2" dataCellStyle="Normal 2 3"/>
    <tableColumn id="28" name="Val Adj" dataDxfId="1" dataCellStyle="Normal 2 3"/>
    <tableColumn id="29" name="Val $" dataDxfId="0" dataCellStyle="Normal 2 3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04"/>
  <sheetViews>
    <sheetView tabSelected="1" zoomScale="70" zoomScaleNormal="70" workbookViewId="0">
      <selection activeCell="C118" sqref="C118:Q160"/>
    </sheetView>
  </sheetViews>
  <sheetFormatPr defaultRowHeight="15" x14ac:dyDescent="0.25"/>
  <cols>
    <col min="1" max="1" width="20.7109375" bestFit="1" customWidth="1"/>
    <col min="2" max="2" width="11.42578125" bestFit="1" customWidth="1"/>
    <col min="3" max="3" width="18.28515625" bestFit="1" customWidth="1"/>
    <col min="4" max="4" width="10.7109375" bestFit="1" customWidth="1"/>
    <col min="5" max="5" width="12.5703125" bestFit="1" customWidth="1"/>
    <col min="6" max="6" width="16.7109375" bestFit="1" customWidth="1"/>
    <col min="7" max="7" width="8.85546875" bestFit="1" customWidth="1"/>
    <col min="8" max="8" width="8.140625" customWidth="1"/>
    <col min="9" max="9" width="8.28515625" customWidth="1"/>
    <col min="10" max="10" width="8.85546875" customWidth="1"/>
    <col min="11" max="11" width="8.140625" customWidth="1"/>
    <col min="12" max="12" width="12.5703125" customWidth="1"/>
    <col min="13" max="13" width="9.28515625" customWidth="1"/>
    <col min="14" max="14" width="8.140625" customWidth="1"/>
    <col min="15" max="15" width="8.28515625" customWidth="1"/>
    <col min="16" max="16" width="11" customWidth="1"/>
    <col min="17" max="17" width="14.5703125" customWidth="1"/>
    <col min="18" max="27" width="9.140625" customWidth="1"/>
    <col min="28" max="28" width="13.85546875" customWidth="1"/>
  </cols>
  <sheetData>
    <row r="1" spans="1:28" x14ac:dyDescent="0.25">
      <c r="A1" s="2" t="s">
        <v>192</v>
      </c>
      <c r="B1" s="3" t="s">
        <v>176</v>
      </c>
      <c r="C1" s="2" t="s">
        <v>0</v>
      </c>
      <c r="D1" s="2" t="s">
        <v>1</v>
      </c>
      <c r="E1" s="2" t="s">
        <v>2</v>
      </c>
      <c r="F1" s="41" t="s">
        <v>326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216</v>
      </c>
      <c r="Q1" s="2" t="s">
        <v>218</v>
      </c>
      <c r="R1" s="6" t="s">
        <v>201</v>
      </c>
      <c r="S1" s="6" t="s">
        <v>202</v>
      </c>
      <c r="T1" s="6" t="s">
        <v>203</v>
      </c>
      <c r="U1" s="6" t="s">
        <v>204</v>
      </c>
      <c r="V1" s="6" t="s">
        <v>205</v>
      </c>
      <c r="W1" s="6" t="s">
        <v>206</v>
      </c>
      <c r="X1" s="6" t="s">
        <v>207</v>
      </c>
      <c r="Y1" s="6" t="s">
        <v>208</v>
      </c>
      <c r="Z1" s="6" t="s">
        <v>209</v>
      </c>
      <c r="AA1" s="6" t="s">
        <v>217</v>
      </c>
      <c r="AB1" s="6" t="s">
        <v>219</v>
      </c>
    </row>
    <row r="2" spans="1:28" hidden="1" x14ac:dyDescent="0.25">
      <c r="A2" s="23" t="b">
        <f>IF('Sim Data'!A2&gt;0, TRUE, FALSE)</f>
        <v>1</v>
      </c>
      <c r="B2">
        <v>1</v>
      </c>
      <c r="C2" s="18" t="s">
        <v>12</v>
      </c>
      <c r="D2" s="18" t="s">
        <v>13</v>
      </c>
      <c r="E2" s="18" t="s">
        <v>14</v>
      </c>
      <c r="F2" s="43" t="s">
        <v>14</v>
      </c>
      <c r="G2" s="19">
        <v>7</v>
      </c>
      <c r="H2" s="18">
        <v>4.6129999999999995</v>
      </c>
      <c r="I2" s="18">
        <v>1.5230000000000001</v>
      </c>
      <c r="J2" s="18">
        <v>3.6080000000000005</v>
      </c>
      <c r="K2" s="18">
        <v>0.94300000000000006</v>
      </c>
      <c r="L2" s="18">
        <v>0.39602136673420507</v>
      </c>
      <c r="M2" s="18">
        <v>32.574999999999996</v>
      </c>
      <c r="N2" s="18">
        <v>8.02</v>
      </c>
      <c r="O2" s="18">
        <v>4.0659999999999998</v>
      </c>
      <c r="P2" s="10">
        <f>Table1[[#This Row],[OBP]]*Table1[[#This Row],[PA]]</f>
        <v>12.900396021366728</v>
      </c>
      <c r="Q2" s="10">
        <f>(8*P$185+Table1[[#This Row],[OB]])/(8*M$185+Table1[[#This Row],[PA]])</f>
        <v>0.33781118445404829</v>
      </c>
      <c r="R2" s="11">
        <f>IF(Table1[[#This Row],[Included?]],Table1[[#This Row],[g]],"")</f>
        <v>7</v>
      </c>
      <c r="S2" s="11">
        <f>IF(Table1[[#This Row],[Included?]],Table1[[#This Row],[R]],"")</f>
        <v>4.6129999999999995</v>
      </c>
      <c r="T2" s="11">
        <f>IF(Table1[[#This Row],[Included?]],Table1[[#This Row],[HR]],"")</f>
        <v>1.5230000000000001</v>
      </c>
      <c r="U2" s="11">
        <f>IF(Table1[[#This Row],[Included?]],Table1[[#This Row],[RBI]],"")</f>
        <v>3.6080000000000005</v>
      </c>
      <c r="V2" s="11">
        <f>IF(Table1[[#This Row],[Included?]],Table1[[#This Row],[SB]],"")</f>
        <v>0.94300000000000006</v>
      </c>
      <c r="W2" s="11">
        <f>IF(Table1[[#This Row],[Included?]],Table1[[#This Row],[OBP]],"")</f>
        <v>0.39602136673420507</v>
      </c>
      <c r="X2" s="11">
        <f>IF(Table1[[#This Row],[Included?]],Table1[[#This Row],[PA]],"")</f>
        <v>32.574999999999996</v>
      </c>
      <c r="Y2" s="11">
        <f>IF(Table1[[#This Row],[Included?]],Table1[[#This Row],[H]],"")</f>
        <v>8.02</v>
      </c>
      <c r="Z2" s="11">
        <f>IF(Table1[[#This Row],[Included?]],Table1[[#This Row],[BB]],"")</f>
        <v>4.0659999999999998</v>
      </c>
      <c r="AA2" s="11">
        <f>IF(Table1[[#This Row],[Included?]],Table1[[#This Row],[OB]],"")</f>
        <v>12.900396021366728</v>
      </c>
      <c r="AB2" s="14">
        <f>IF(Table1[[#This Row],[Included?]], (8*AA$185+Table1[[#This Row],[I OB]])/(8*X$185+Table1[[#This Row],[I PA]]), "")</f>
        <v>0.35252400811670409</v>
      </c>
    </row>
    <row r="3" spans="1:28" hidden="1" x14ac:dyDescent="0.25">
      <c r="A3" s="24" t="b">
        <f>IF('Sim Data'!A3&gt;0, TRUE, FALSE)</f>
        <v>1</v>
      </c>
      <c r="B3">
        <v>2</v>
      </c>
      <c r="C3" s="18" t="s">
        <v>15</v>
      </c>
      <c r="D3" s="18" t="s">
        <v>13</v>
      </c>
      <c r="E3" s="18" t="s">
        <v>16</v>
      </c>
      <c r="F3" s="43" t="s">
        <v>16</v>
      </c>
      <c r="G3" s="19">
        <v>7</v>
      </c>
      <c r="H3" s="18">
        <v>4.407</v>
      </c>
      <c r="I3" s="18">
        <v>1.149</v>
      </c>
      <c r="J3" s="18">
        <v>4.3929999999999998</v>
      </c>
      <c r="K3" s="18">
        <v>0.57700000000000007</v>
      </c>
      <c r="L3" s="18">
        <v>0.38130129878298058</v>
      </c>
      <c r="M3" s="18">
        <v>31.797000000000001</v>
      </c>
      <c r="N3" s="18">
        <v>7.2579999999999991</v>
      </c>
      <c r="O3" s="18">
        <v>4.3900000000000006</v>
      </c>
      <c r="P3" s="10">
        <f>Table1[[#This Row],[OBP]]*Table1[[#This Row],[PA]]</f>
        <v>12.124237397402434</v>
      </c>
      <c r="Q3" s="10">
        <f>(8*P$185+Table1[[#This Row],[OB]])/(8*M$185+Table1[[#This Row],[PA]])</f>
        <v>0.33554751797742832</v>
      </c>
      <c r="R3" s="11">
        <f>IF(Table1[[#This Row],[Included?]],Table1[[#This Row],[g]],"")</f>
        <v>7</v>
      </c>
      <c r="S3" s="11">
        <f>IF(Table1[[#This Row],[Included?]],Table1[[#This Row],[R]],"")</f>
        <v>4.407</v>
      </c>
      <c r="T3" s="11">
        <f>IF(Table1[[#This Row],[Included?]],Table1[[#This Row],[HR]],"")</f>
        <v>1.149</v>
      </c>
      <c r="U3" s="11">
        <f>IF(Table1[[#This Row],[Included?]],Table1[[#This Row],[RBI]],"")</f>
        <v>4.3929999999999998</v>
      </c>
      <c r="V3" s="11">
        <f>IF(Table1[[#This Row],[Included?]],Table1[[#This Row],[SB]],"")</f>
        <v>0.57700000000000007</v>
      </c>
      <c r="W3" s="11">
        <f>IF(Table1[[#This Row],[Included?]],Table1[[#This Row],[OBP]],"")</f>
        <v>0.38130129878298058</v>
      </c>
      <c r="X3" s="11">
        <f>IF(Table1[[#This Row],[Included?]],Table1[[#This Row],[PA]],"")</f>
        <v>31.797000000000001</v>
      </c>
      <c r="Y3" s="11">
        <f>IF(Table1[[#This Row],[Included?]],Table1[[#This Row],[H]],"")</f>
        <v>7.2579999999999991</v>
      </c>
      <c r="Z3" s="11">
        <f>IF(Table1[[#This Row],[Included?]],Table1[[#This Row],[BB]],"")</f>
        <v>4.3900000000000006</v>
      </c>
      <c r="AA3" s="11">
        <f>IF(Table1[[#This Row],[Included?]],Table1[[#This Row],[OB]],"")</f>
        <v>12.124237397402434</v>
      </c>
      <c r="AB3" s="14">
        <f>IF(Table1[[#This Row],[Included?]], (8*AA$185+Table1[[#This Row],[I OB]])/(8*X$185+Table1[[#This Row],[I PA]]), "")</f>
        <v>0.35041401843771036</v>
      </c>
    </row>
    <row r="4" spans="1:28" hidden="1" x14ac:dyDescent="0.25">
      <c r="A4" s="23" t="b">
        <f>IF('Sim Data'!A4&gt;0, TRUE, FALSE)</f>
        <v>1</v>
      </c>
      <c r="B4">
        <v>3</v>
      </c>
      <c r="C4" s="18" t="s">
        <v>71</v>
      </c>
      <c r="D4" s="18" t="s">
        <v>72</v>
      </c>
      <c r="E4" s="18" t="s">
        <v>27</v>
      </c>
      <c r="F4" s="43" t="s">
        <v>16</v>
      </c>
      <c r="G4" s="19">
        <v>7</v>
      </c>
      <c r="H4" s="18">
        <v>3.8920000000000003</v>
      </c>
      <c r="I4" s="18">
        <v>1.4790000000000003</v>
      </c>
      <c r="J4" s="18">
        <v>3.9740000000000002</v>
      </c>
      <c r="K4" s="18">
        <v>0.74099999999999999</v>
      </c>
      <c r="L4" s="18">
        <v>0.33648189855121174</v>
      </c>
      <c r="M4" s="18">
        <v>29.752000000000002</v>
      </c>
      <c r="N4" s="18">
        <v>7.5809999999999995</v>
      </c>
      <c r="O4" s="18">
        <v>1.9529999999999998</v>
      </c>
      <c r="P4" s="10">
        <f>Table1[[#This Row],[OBP]]*Table1[[#This Row],[PA]]</f>
        <v>10.011009445695652</v>
      </c>
      <c r="Q4" s="10">
        <f>(8*P$185+Table1[[#This Row],[OB]])/(8*M$185+Table1[[#This Row],[PA]])</f>
        <v>0.32919750985790325</v>
      </c>
      <c r="R4" s="11">
        <f>IF(Table1[[#This Row],[Included?]],Table1[[#This Row],[g]],"")</f>
        <v>7</v>
      </c>
      <c r="S4" s="11">
        <f>IF(Table1[[#This Row],[Included?]],Table1[[#This Row],[R]],"")</f>
        <v>3.8920000000000003</v>
      </c>
      <c r="T4" s="11">
        <f>IF(Table1[[#This Row],[Included?]],Table1[[#This Row],[HR]],"")</f>
        <v>1.4790000000000003</v>
      </c>
      <c r="U4" s="11">
        <f>IF(Table1[[#This Row],[Included?]],Table1[[#This Row],[RBI]],"")</f>
        <v>3.9740000000000002</v>
      </c>
      <c r="V4" s="11">
        <f>IF(Table1[[#This Row],[Included?]],Table1[[#This Row],[SB]],"")</f>
        <v>0.74099999999999999</v>
      </c>
      <c r="W4" s="11">
        <f>IF(Table1[[#This Row],[Included?]],Table1[[#This Row],[OBP]],"")</f>
        <v>0.33648189855121174</v>
      </c>
      <c r="X4" s="11">
        <f>IF(Table1[[#This Row],[Included?]],Table1[[#This Row],[PA]],"")</f>
        <v>29.752000000000002</v>
      </c>
      <c r="Y4" s="11">
        <f>IF(Table1[[#This Row],[Included?]],Table1[[#This Row],[H]],"")</f>
        <v>7.5809999999999995</v>
      </c>
      <c r="Z4" s="11">
        <f>IF(Table1[[#This Row],[Included?]],Table1[[#This Row],[BB]],"")</f>
        <v>1.9529999999999998</v>
      </c>
      <c r="AA4" s="11">
        <f>IF(Table1[[#This Row],[Included?]],Table1[[#This Row],[OB]],"")</f>
        <v>10.011009445695652</v>
      </c>
      <c r="AB4" s="14">
        <f>IF(Table1[[#This Row],[Included?]], (8*AA$185+Table1[[#This Row],[I OB]])/(8*X$185+Table1[[#This Row],[I PA]]), "")</f>
        <v>0.34449159893658998</v>
      </c>
    </row>
    <row r="5" spans="1:28" hidden="1" x14ac:dyDescent="0.25">
      <c r="A5" s="24" t="b">
        <f>IF('Sim Data'!A5&gt;0, TRUE, FALSE)</f>
        <v>1</v>
      </c>
      <c r="B5">
        <v>4</v>
      </c>
      <c r="C5" s="18" t="s">
        <v>22</v>
      </c>
      <c r="D5" s="18" t="s">
        <v>23</v>
      </c>
      <c r="E5" s="18" t="s">
        <v>14</v>
      </c>
      <c r="F5" s="43" t="s">
        <v>14</v>
      </c>
      <c r="G5" s="19">
        <v>6</v>
      </c>
      <c r="H5" s="18">
        <v>3.5629999999999997</v>
      </c>
      <c r="I5" s="18">
        <v>1.278</v>
      </c>
      <c r="J5" s="18">
        <v>3.7570000000000001</v>
      </c>
      <c r="K5" s="18">
        <v>0.89800000000000002</v>
      </c>
      <c r="L5" s="18">
        <v>0.41841249951051424</v>
      </c>
      <c r="M5" s="18">
        <v>25.535</v>
      </c>
      <c r="N5" s="18">
        <v>6.6809999999999992</v>
      </c>
      <c r="O5" s="18">
        <v>3.9259999999999997</v>
      </c>
      <c r="P5" s="10">
        <f>Table1[[#This Row],[OBP]]*Table1[[#This Row],[PA]]</f>
        <v>10.684163175000981</v>
      </c>
      <c r="Q5" s="10">
        <f>(8*P$185+Table1[[#This Row],[OB]])/(8*M$185+Table1[[#This Row],[PA]])</f>
        <v>0.33854564618786537</v>
      </c>
      <c r="R5" s="11">
        <f>IF(Table1[[#This Row],[Included?]],Table1[[#This Row],[g]],"")</f>
        <v>6</v>
      </c>
      <c r="S5" s="11">
        <f>IF(Table1[[#This Row],[Included?]],Table1[[#This Row],[R]],"")</f>
        <v>3.5629999999999997</v>
      </c>
      <c r="T5" s="11">
        <f>IF(Table1[[#This Row],[Included?]],Table1[[#This Row],[HR]],"")</f>
        <v>1.278</v>
      </c>
      <c r="U5" s="11">
        <f>IF(Table1[[#This Row],[Included?]],Table1[[#This Row],[RBI]],"")</f>
        <v>3.7570000000000001</v>
      </c>
      <c r="V5" s="11">
        <f>IF(Table1[[#This Row],[Included?]],Table1[[#This Row],[SB]],"")</f>
        <v>0.89800000000000002</v>
      </c>
      <c r="W5" s="11">
        <f>IF(Table1[[#This Row],[Included?]],Table1[[#This Row],[OBP]],"")</f>
        <v>0.41841249951051424</v>
      </c>
      <c r="X5" s="11">
        <f>IF(Table1[[#This Row],[Included?]],Table1[[#This Row],[PA]],"")</f>
        <v>25.535</v>
      </c>
      <c r="Y5" s="11">
        <f>IF(Table1[[#This Row],[Included?]],Table1[[#This Row],[H]],"")</f>
        <v>6.6809999999999992</v>
      </c>
      <c r="Z5" s="11">
        <f>IF(Table1[[#This Row],[Included?]],Table1[[#This Row],[BB]],"")</f>
        <v>3.9259999999999997</v>
      </c>
      <c r="AA5" s="11">
        <f>IF(Table1[[#This Row],[Included?]],Table1[[#This Row],[OB]],"")</f>
        <v>10.684163175000981</v>
      </c>
      <c r="AB5" s="14">
        <f>IF(Table1[[#This Row],[Included?]], (8*AA$185+Table1[[#This Row],[I OB]])/(8*X$185+Table1[[#This Row],[I PA]]), "")</f>
        <v>0.35367051721992293</v>
      </c>
    </row>
    <row r="6" spans="1:28" hidden="1" x14ac:dyDescent="0.25">
      <c r="A6" s="23" t="b">
        <f>IF('Sim Data'!A6&gt;0, TRUE, FALSE)</f>
        <v>1</v>
      </c>
      <c r="B6">
        <v>5</v>
      </c>
      <c r="C6" s="18" t="s">
        <v>20</v>
      </c>
      <c r="D6" s="18" t="s">
        <v>13</v>
      </c>
      <c r="E6" s="18" t="s">
        <v>21</v>
      </c>
      <c r="F6" s="43" t="s">
        <v>21</v>
      </c>
      <c r="G6" s="19">
        <v>7</v>
      </c>
      <c r="H6" s="18">
        <v>4.5749999999999993</v>
      </c>
      <c r="I6" s="18">
        <v>0.65499999999999992</v>
      </c>
      <c r="J6" s="18">
        <v>2.46</v>
      </c>
      <c r="K6" s="18">
        <v>1.246</v>
      </c>
      <c r="L6" s="18">
        <v>0.35143156947983817</v>
      </c>
      <c r="M6" s="18">
        <v>33.351999999999997</v>
      </c>
      <c r="N6" s="18">
        <v>7.3160000000000007</v>
      </c>
      <c r="O6" s="18">
        <v>4.173</v>
      </c>
      <c r="P6" s="10">
        <f>Table1[[#This Row],[OBP]]*Table1[[#This Row],[PA]]</f>
        <v>11.720945705291561</v>
      </c>
      <c r="Q6" s="10">
        <f>(8*P$185+Table1[[#This Row],[OB]])/(8*M$185+Table1[[#This Row],[PA]])</f>
        <v>0.33149605446051311</v>
      </c>
      <c r="R6" s="11">
        <f>IF(Table1[[#This Row],[Included?]],Table1[[#This Row],[g]],"")</f>
        <v>7</v>
      </c>
      <c r="S6" s="11">
        <f>IF(Table1[[#This Row],[Included?]],Table1[[#This Row],[R]],"")</f>
        <v>4.5749999999999993</v>
      </c>
      <c r="T6" s="11">
        <f>IF(Table1[[#This Row],[Included?]],Table1[[#This Row],[HR]],"")</f>
        <v>0.65499999999999992</v>
      </c>
      <c r="U6" s="11">
        <f>IF(Table1[[#This Row],[Included?]],Table1[[#This Row],[RBI]],"")</f>
        <v>2.46</v>
      </c>
      <c r="V6" s="11">
        <f>IF(Table1[[#This Row],[Included?]],Table1[[#This Row],[SB]],"")</f>
        <v>1.246</v>
      </c>
      <c r="W6" s="11">
        <f>IF(Table1[[#This Row],[Included?]],Table1[[#This Row],[OBP]],"")</f>
        <v>0.35143156947983817</v>
      </c>
      <c r="X6" s="11">
        <f>IF(Table1[[#This Row],[Included?]],Table1[[#This Row],[PA]],"")</f>
        <v>33.351999999999997</v>
      </c>
      <c r="Y6" s="11">
        <f>IF(Table1[[#This Row],[Included?]],Table1[[#This Row],[H]],"")</f>
        <v>7.3160000000000007</v>
      </c>
      <c r="Z6" s="11">
        <f>IF(Table1[[#This Row],[Included?]],Table1[[#This Row],[BB]],"")</f>
        <v>4.173</v>
      </c>
      <c r="AA6" s="11">
        <f>IF(Table1[[#This Row],[Included?]],Table1[[#This Row],[OB]],"")</f>
        <v>11.720945705291561</v>
      </c>
      <c r="AB6" s="14">
        <f>IF(Table1[[#This Row],[Included?]], (8*AA$185+Table1[[#This Row],[I OB]])/(8*X$185+Table1[[#This Row],[I PA]]), "")</f>
        <v>0.34645369237291324</v>
      </c>
    </row>
    <row r="7" spans="1:28" hidden="1" x14ac:dyDescent="0.25">
      <c r="A7" s="24" t="b">
        <f>IF('Sim Data'!A7&gt;0, TRUE, FALSE)</f>
        <v>1</v>
      </c>
      <c r="B7">
        <v>6</v>
      </c>
      <c r="C7" s="18" t="s">
        <v>93</v>
      </c>
      <c r="D7" s="18" t="s">
        <v>94</v>
      </c>
      <c r="E7" s="18" t="s">
        <v>21</v>
      </c>
      <c r="F7" s="43" t="s">
        <v>21</v>
      </c>
      <c r="G7" s="19">
        <v>6</v>
      </c>
      <c r="H7" s="18">
        <v>3.234</v>
      </c>
      <c r="I7" s="18">
        <v>1.448</v>
      </c>
      <c r="J7" s="18">
        <v>3.8559999999999999</v>
      </c>
      <c r="K7" s="18">
        <v>0.65300000000000002</v>
      </c>
      <c r="L7" s="18">
        <v>0.39714922391270935</v>
      </c>
      <c r="M7" s="18">
        <v>26.027000000000001</v>
      </c>
      <c r="N7" s="18">
        <v>6.7799999999999994</v>
      </c>
      <c r="O7" s="18">
        <v>3.1140000000000008</v>
      </c>
      <c r="P7" s="10">
        <f>Table1[[#This Row],[OBP]]*Table1[[#This Row],[PA]]</f>
        <v>10.336602850776087</v>
      </c>
      <c r="Q7" s="10">
        <f>(8*P$185+Table1[[#This Row],[OB]])/(8*M$185+Table1[[#This Row],[PA]])</f>
        <v>0.33621933562994694</v>
      </c>
      <c r="R7" s="11">
        <f>IF(Table1[[#This Row],[Included?]],Table1[[#This Row],[g]],"")</f>
        <v>6</v>
      </c>
      <c r="S7" s="11">
        <f>IF(Table1[[#This Row],[Included?]],Table1[[#This Row],[R]],"")</f>
        <v>3.234</v>
      </c>
      <c r="T7" s="11">
        <f>IF(Table1[[#This Row],[Included?]],Table1[[#This Row],[HR]],"")</f>
        <v>1.448</v>
      </c>
      <c r="U7" s="11">
        <f>IF(Table1[[#This Row],[Included?]],Table1[[#This Row],[RBI]],"")</f>
        <v>3.8559999999999999</v>
      </c>
      <c r="V7" s="11">
        <f>IF(Table1[[#This Row],[Included?]],Table1[[#This Row],[SB]],"")</f>
        <v>0.65300000000000002</v>
      </c>
      <c r="W7" s="11">
        <f>IF(Table1[[#This Row],[Included?]],Table1[[#This Row],[OBP]],"")</f>
        <v>0.39714922391270935</v>
      </c>
      <c r="X7" s="11">
        <f>IF(Table1[[#This Row],[Included?]],Table1[[#This Row],[PA]],"")</f>
        <v>26.027000000000001</v>
      </c>
      <c r="Y7" s="11">
        <f>IF(Table1[[#This Row],[Included?]],Table1[[#This Row],[H]],"")</f>
        <v>6.7799999999999994</v>
      </c>
      <c r="Z7" s="11">
        <f>IF(Table1[[#This Row],[Included?]],Table1[[#This Row],[BB]],"")</f>
        <v>3.1140000000000008</v>
      </c>
      <c r="AA7" s="11">
        <f>IF(Table1[[#This Row],[Included?]],Table1[[#This Row],[OB]],"")</f>
        <v>10.336602850776087</v>
      </c>
      <c r="AB7" s="14">
        <f>IF(Table1[[#This Row],[Included?]], (8*AA$185+Table1[[#This Row],[I OB]])/(8*X$185+Table1[[#This Row],[I PA]]), "")</f>
        <v>0.35142331748841626</v>
      </c>
    </row>
    <row r="8" spans="1:28" hidden="1" x14ac:dyDescent="0.25">
      <c r="A8" s="23" t="b">
        <f>IF('Sim Data'!A8&gt;0, TRUE, FALSE)</f>
        <v>1</v>
      </c>
      <c r="B8">
        <v>7</v>
      </c>
      <c r="C8" s="18" t="s">
        <v>98</v>
      </c>
      <c r="D8" s="18" t="s">
        <v>72</v>
      </c>
      <c r="E8" s="18" t="s">
        <v>14</v>
      </c>
      <c r="F8" s="43" t="s">
        <v>14</v>
      </c>
      <c r="G8" s="19">
        <v>7</v>
      </c>
      <c r="H8" s="18">
        <v>3.8350000000000004</v>
      </c>
      <c r="I8" s="18">
        <v>0.94700000000000006</v>
      </c>
      <c r="J8" s="18">
        <v>2.8050000000000002</v>
      </c>
      <c r="K8" s="18">
        <v>0.36199999999999999</v>
      </c>
      <c r="L8" s="18">
        <v>0.40202437106918243</v>
      </c>
      <c r="M8" s="18">
        <v>30.528999999999996</v>
      </c>
      <c r="N8" s="18">
        <v>6.91</v>
      </c>
      <c r="O8" s="18">
        <v>5.149</v>
      </c>
      <c r="P8" s="10">
        <f>Table1[[#This Row],[OBP]]*Table1[[#This Row],[PA]]</f>
        <v>12.27340202437107</v>
      </c>
      <c r="Q8" s="10">
        <f>(8*P$185+Table1[[#This Row],[OB]])/(8*M$185+Table1[[#This Row],[PA]])</f>
        <v>0.33809573379290886</v>
      </c>
      <c r="R8" s="11">
        <f>IF(Table1[[#This Row],[Included?]],Table1[[#This Row],[g]],"")</f>
        <v>7</v>
      </c>
      <c r="S8" s="11">
        <f>IF(Table1[[#This Row],[Included?]],Table1[[#This Row],[R]],"")</f>
        <v>3.8350000000000004</v>
      </c>
      <c r="T8" s="11">
        <f>IF(Table1[[#This Row],[Included?]],Table1[[#This Row],[HR]],"")</f>
        <v>0.94700000000000006</v>
      </c>
      <c r="U8" s="11">
        <f>IF(Table1[[#This Row],[Included?]],Table1[[#This Row],[RBI]],"")</f>
        <v>2.8050000000000002</v>
      </c>
      <c r="V8" s="11">
        <f>IF(Table1[[#This Row],[Included?]],Table1[[#This Row],[SB]],"")</f>
        <v>0.36199999999999999</v>
      </c>
      <c r="W8" s="11">
        <f>IF(Table1[[#This Row],[Included?]],Table1[[#This Row],[OBP]],"")</f>
        <v>0.40202437106918243</v>
      </c>
      <c r="X8" s="11">
        <f>IF(Table1[[#This Row],[Included?]],Table1[[#This Row],[PA]],"")</f>
        <v>30.528999999999996</v>
      </c>
      <c r="Y8" s="11">
        <f>IF(Table1[[#This Row],[Included?]],Table1[[#This Row],[H]],"")</f>
        <v>6.91</v>
      </c>
      <c r="Z8" s="11">
        <f>IF(Table1[[#This Row],[Included?]],Table1[[#This Row],[BB]],"")</f>
        <v>5.149</v>
      </c>
      <c r="AA8" s="11">
        <f>IF(Table1[[#This Row],[Included?]],Table1[[#This Row],[OB]],"")</f>
        <v>12.27340202437107</v>
      </c>
      <c r="AB8" s="14">
        <f>IF(Table1[[#This Row],[Included?]], (8*AA$185+Table1[[#This Row],[I OB]])/(8*X$185+Table1[[#This Row],[I PA]]), "")</f>
        <v>0.35292244807413586</v>
      </c>
    </row>
    <row r="9" spans="1:28" hidden="1" x14ac:dyDescent="0.25">
      <c r="A9" s="24" t="b">
        <f>IF('Sim Data'!A9&gt;0, TRUE, FALSE)</f>
        <v>1</v>
      </c>
      <c r="B9">
        <v>8</v>
      </c>
      <c r="C9" s="18" t="s">
        <v>24</v>
      </c>
      <c r="D9" s="18" t="s">
        <v>25</v>
      </c>
      <c r="E9" s="18" t="s">
        <v>21</v>
      </c>
      <c r="F9" s="43" t="s">
        <v>21</v>
      </c>
      <c r="G9" s="19">
        <v>6</v>
      </c>
      <c r="H9" s="18">
        <v>3.508</v>
      </c>
      <c r="I9" s="18">
        <v>0.97</v>
      </c>
      <c r="J9" s="18">
        <v>3.746</v>
      </c>
      <c r="K9" s="18">
        <v>0.40300000000000002</v>
      </c>
      <c r="L9" s="18">
        <v>0.40432984312702608</v>
      </c>
      <c r="M9" s="18">
        <v>26.837000000000003</v>
      </c>
      <c r="N9" s="18">
        <v>6.9129999999999994</v>
      </c>
      <c r="O9" s="18">
        <v>3.4820000000000002</v>
      </c>
      <c r="P9" s="10">
        <f>Table1[[#This Row],[OBP]]*Table1[[#This Row],[PA]]</f>
        <v>10.851000000000001</v>
      </c>
      <c r="Q9" s="10">
        <f>(8*P$185+Table1[[#This Row],[OB]])/(8*M$185+Table1[[#This Row],[PA]])</f>
        <v>0.33731060620632253</v>
      </c>
      <c r="R9" s="11">
        <f>IF(Table1[[#This Row],[Included?]],Table1[[#This Row],[g]],"")</f>
        <v>6</v>
      </c>
      <c r="S9" s="11">
        <f>IF(Table1[[#This Row],[Included?]],Table1[[#This Row],[R]],"")</f>
        <v>3.508</v>
      </c>
      <c r="T9" s="11">
        <f>IF(Table1[[#This Row],[Included?]],Table1[[#This Row],[HR]],"")</f>
        <v>0.97</v>
      </c>
      <c r="U9" s="11">
        <f>IF(Table1[[#This Row],[Included?]],Table1[[#This Row],[RBI]],"")</f>
        <v>3.746</v>
      </c>
      <c r="V9" s="11">
        <f>IF(Table1[[#This Row],[Included?]],Table1[[#This Row],[SB]],"")</f>
        <v>0.40300000000000002</v>
      </c>
      <c r="W9" s="11">
        <f>IF(Table1[[#This Row],[Included?]],Table1[[#This Row],[OBP]],"")</f>
        <v>0.40432984312702608</v>
      </c>
      <c r="X9" s="11">
        <f>IF(Table1[[#This Row],[Included?]],Table1[[#This Row],[PA]],"")</f>
        <v>26.837000000000003</v>
      </c>
      <c r="Y9" s="11">
        <f>IF(Table1[[#This Row],[Included?]],Table1[[#This Row],[H]],"")</f>
        <v>6.9129999999999994</v>
      </c>
      <c r="Z9" s="11">
        <f>IF(Table1[[#This Row],[Included?]],Table1[[#This Row],[BB]],"")</f>
        <v>3.4820000000000002</v>
      </c>
      <c r="AA9" s="11">
        <f>IF(Table1[[#This Row],[Included?]],Table1[[#This Row],[OB]],"")</f>
        <v>10.851000000000001</v>
      </c>
      <c r="AB9" s="14">
        <f>IF(Table1[[#This Row],[Included?]], (8*AA$185+Table1[[#This Row],[I OB]])/(8*X$185+Table1[[#This Row],[I PA]]), "")</f>
        <v>0.35240974203864966</v>
      </c>
    </row>
    <row r="10" spans="1:28" hidden="1" x14ac:dyDescent="0.25">
      <c r="A10" s="23" t="b">
        <f>IF('Sim Data'!A10&gt;0, TRUE, FALSE)</f>
        <v>1</v>
      </c>
      <c r="B10">
        <v>9</v>
      </c>
      <c r="C10" s="18" t="s">
        <v>253</v>
      </c>
      <c r="D10" s="18" t="s">
        <v>13</v>
      </c>
      <c r="E10" s="18" t="s">
        <v>21</v>
      </c>
      <c r="F10" s="43" t="s">
        <v>21</v>
      </c>
      <c r="G10" s="19">
        <v>7</v>
      </c>
      <c r="H10" s="18">
        <v>3.6650000000000005</v>
      </c>
      <c r="I10" s="18">
        <v>0.84699999999999998</v>
      </c>
      <c r="J10" s="18">
        <v>4.4320000000000004</v>
      </c>
      <c r="K10" s="18">
        <v>9.2999999999999999E-2</v>
      </c>
      <c r="L10" s="18">
        <v>0.32871280745301568</v>
      </c>
      <c r="M10" s="18">
        <v>31.018999999999998</v>
      </c>
      <c r="N10" s="18">
        <v>7.7039999999999997</v>
      </c>
      <c r="O10" s="18">
        <v>2.2749999999999999</v>
      </c>
      <c r="P10" s="10">
        <f>Table1[[#This Row],[OBP]]*Table1[[#This Row],[PA]]</f>
        <v>10.196342574385092</v>
      </c>
      <c r="Q10" s="10">
        <f>(8*P$185+Table1[[#This Row],[OB]])/(8*M$185+Table1[[#This Row],[PA]])</f>
        <v>0.3281720061126398</v>
      </c>
      <c r="R10" s="11">
        <f>IF(Table1[[#This Row],[Included?]],Table1[[#This Row],[g]],"")</f>
        <v>7</v>
      </c>
      <c r="S10" s="11">
        <f>IF(Table1[[#This Row],[Included?]],Table1[[#This Row],[R]],"")</f>
        <v>3.6650000000000005</v>
      </c>
      <c r="T10" s="11">
        <f>IF(Table1[[#This Row],[Included?]],Table1[[#This Row],[HR]],"")</f>
        <v>0.84699999999999998</v>
      </c>
      <c r="U10" s="11">
        <f>IF(Table1[[#This Row],[Included?]],Table1[[#This Row],[RBI]],"")</f>
        <v>4.4320000000000004</v>
      </c>
      <c r="V10" s="11">
        <f>IF(Table1[[#This Row],[Included?]],Table1[[#This Row],[SB]],"")</f>
        <v>9.2999999999999999E-2</v>
      </c>
      <c r="W10" s="11">
        <f>IF(Table1[[#This Row],[Included?]],Table1[[#This Row],[OBP]],"")</f>
        <v>0.32871280745301568</v>
      </c>
      <c r="X10" s="11">
        <f>IF(Table1[[#This Row],[Included?]],Table1[[#This Row],[PA]],"")</f>
        <v>31.018999999999998</v>
      </c>
      <c r="Y10" s="11">
        <f>IF(Table1[[#This Row],[Included?]],Table1[[#This Row],[H]],"")</f>
        <v>7.7039999999999997</v>
      </c>
      <c r="Z10" s="11">
        <f>IF(Table1[[#This Row],[Included?]],Table1[[#This Row],[BB]],"")</f>
        <v>2.2749999999999999</v>
      </c>
      <c r="AA10" s="11">
        <f>IF(Table1[[#This Row],[Included?]],Table1[[#This Row],[OB]],"")</f>
        <v>10.196342574385092</v>
      </c>
      <c r="AB10" s="14">
        <f>IF(Table1[[#This Row],[Included?]], (8*AA$185+Table1[[#This Row],[I OB]])/(8*X$185+Table1[[#This Row],[I PA]]), "")</f>
        <v>0.34343233968877507</v>
      </c>
    </row>
    <row r="11" spans="1:28" hidden="1" x14ac:dyDescent="0.25">
      <c r="A11" s="24" t="b">
        <f>IF('Sim Data'!A11&gt;0, TRUE, FALSE)</f>
        <v>1</v>
      </c>
      <c r="B11">
        <v>10</v>
      </c>
      <c r="C11" s="18" t="s">
        <v>75</v>
      </c>
      <c r="D11" s="18" t="s">
        <v>76</v>
      </c>
      <c r="E11" s="18" t="s">
        <v>21</v>
      </c>
      <c r="F11" s="43" t="s">
        <v>21</v>
      </c>
      <c r="G11" s="19">
        <v>6</v>
      </c>
      <c r="H11" s="18">
        <v>4.0920000000000005</v>
      </c>
      <c r="I11" s="18">
        <v>1.1460000000000001</v>
      </c>
      <c r="J11" s="18">
        <v>2.6579999999999999</v>
      </c>
      <c r="K11" s="18">
        <v>0.313</v>
      </c>
      <c r="L11" s="18">
        <v>0.3708778365159851</v>
      </c>
      <c r="M11" s="18">
        <v>27.808999999999997</v>
      </c>
      <c r="N11" s="18">
        <v>5.4509999999999996</v>
      </c>
      <c r="O11" s="18">
        <v>4.585</v>
      </c>
      <c r="P11" s="10">
        <f>Table1[[#This Row],[OBP]]*Table1[[#This Row],[PA]]</f>
        <v>10.313741755673028</v>
      </c>
      <c r="Q11" s="10">
        <f>(8*P$185+Table1[[#This Row],[OB]])/(8*M$185+Table1[[#This Row],[PA]])</f>
        <v>0.33342740553228617</v>
      </c>
      <c r="R11" s="11">
        <f>IF(Table1[[#This Row],[Included?]],Table1[[#This Row],[g]],"")</f>
        <v>6</v>
      </c>
      <c r="S11" s="11">
        <f>IF(Table1[[#This Row],[Included?]],Table1[[#This Row],[R]],"")</f>
        <v>4.0920000000000005</v>
      </c>
      <c r="T11" s="11">
        <f>IF(Table1[[#This Row],[Included?]],Table1[[#This Row],[HR]],"")</f>
        <v>1.1460000000000001</v>
      </c>
      <c r="U11" s="11">
        <f>IF(Table1[[#This Row],[Included?]],Table1[[#This Row],[RBI]],"")</f>
        <v>2.6579999999999999</v>
      </c>
      <c r="V11" s="11">
        <f>IF(Table1[[#This Row],[Included?]],Table1[[#This Row],[SB]],"")</f>
        <v>0.313</v>
      </c>
      <c r="W11" s="11">
        <f>IF(Table1[[#This Row],[Included?]],Table1[[#This Row],[OBP]],"")</f>
        <v>0.3708778365159851</v>
      </c>
      <c r="X11" s="11">
        <f>IF(Table1[[#This Row],[Included?]],Table1[[#This Row],[PA]],"")</f>
        <v>27.808999999999997</v>
      </c>
      <c r="Y11" s="11">
        <f>IF(Table1[[#This Row],[Included?]],Table1[[#This Row],[H]],"")</f>
        <v>5.4509999999999996</v>
      </c>
      <c r="Z11" s="11">
        <f>IF(Table1[[#This Row],[Included?]],Table1[[#This Row],[BB]],"")</f>
        <v>4.585</v>
      </c>
      <c r="AA11" s="11">
        <f>IF(Table1[[#This Row],[Included?]],Table1[[#This Row],[OB]],"")</f>
        <v>10.313741755673028</v>
      </c>
      <c r="AB11" s="14">
        <f>IF(Table1[[#This Row],[Included?]], (8*AA$185+Table1[[#This Row],[I OB]])/(8*X$185+Table1[[#This Row],[I PA]]), "")</f>
        <v>0.34864795057984438</v>
      </c>
    </row>
    <row r="12" spans="1:28" hidden="1" x14ac:dyDescent="0.25">
      <c r="A12" s="23" t="b">
        <f>IF('Sim Data'!A12&gt;0, TRUE, FALSE)</f>
        <v>1</v>
      </c>
      <c r="B12">
        <v>11</v>
      </c>
      <c r="C12" s="18" t="s">
        <v>55</v>
      </c>
      <c r="D12" s="18" t="s">
        <v>56</v>
      </c>
      <c r="E12" s="18" t="s">
        <v>21</v>
      </c>
      <c r="F12" s="43" t="s">
        <v>21</v>
      </c>
      <c r="G12" s="19">
        <v>7</v>
      </c>
      <c r="H12" s="18">
        <v>3.0879999999999996</v>
      </c>
      <c r="I12" s="18">
        <v>0.58099999999999996</v>
      </c>
      <c r="J12" s="18">
        <v>3.5519999999999996</v>
      </c>
      <c r="K12" s="18">
        <v>1.5620000000000001</v>
      </c>
      <c r="L12" s="18">
        <v>0.339885752688172</v>
      </c>
      <c r="M12" s="18">
        <v>29.759999999999998</v>
      </c>
      <c r="N12" s="18">
        <v>7.9929999999999994</v>
      </c>
      <c r="O12" s="18">
        <v>1.7959999999999998</v>
      </c>
      <c r="P12" s="10">
        <f>Table1[[#This Row],[OBP]]*Table1[[#This Row],[PA]]</f>
        <v>10.114999999999998</v>
      </c>
      <c r="Q12" s="10">
        <f>(8*P$185+Table1[[#This Row],[OB]])/(8*M$185+Table1[[#This Row],[PA]])</f>
        <v>0.32964851174310844</v>
      </c>
      <c r="R12" s="11">
        <f>IF(Table1[[#This Row],[Included?]],Table1[[#This Row],[g]],"")</f>
        <v>7</v>
      </c>
      <c r="S12" s="11">
        <f>IF(Table1[[#This Row],[Included?]],Table1[[#This Row],[R]],"")</f>
        <v>3.0879999999999996</v>
      </c>
      <c r="T12" s="11">
        <f>IF(Table1[[#This Row],[Included?]],Table1[[#This Row],[HR]],"")</f>
        <v>0.58099999999999996</v>
      </c>
      <c r="U12" s="11">
        <f>IF(Table1[[#This Row],[Included?]],Table1[[#This Row],[RBI]],"")</f>
        <v>3.5519999999999996</v>
      </c>
      <c r="V12" s="11">
        <f>IF(Table1[[#This Row],[Included?]],Table1[[#This Row],[SB]],"")</f>
        <v>1.5620000000000001</v>
      </c>
      <c r="W12" s="11">
        <f>IF(Table1[[#This Row],[Included?]],Table1[[#This Row],[OBP]],"")</f>
        <v>0.339885752688172</v>
      </c>
      <c r="X12" s="11">
        <f>IF(Table1[[#This Row],[Included?]],Table1[[#This Row],[PA]],"")</f>
        <v>29.759999999999998</v>
      </c>
      <c r="Y12" s="11">
        <f>IF(Table1[[#This Row],[Included?]],Table1[[#This Row],[H]],"")</f>
        <v>7.9929999999999994</v>
      </c>
      <c r="Z12" s="11">
        <f>IF(Table1[[#This Row],[Included?]],Table1[[#This Row],[BB]],"")</f>
        <v>1.7959999999999998</v>
      </c>
      <c r="AA12" s="11">
        <f>IF(Table1[[#This Row],[Included?]],Table1[[#This Row],[OB]],"")</f>
        <v>10.114999999999998</v>
      </c>
      <c r="AB12" s="14">
        <f>IF(Table1[[#This Row],[Included?]], (8*AA$185+Table1[[#This Row],[I OB]])/(8*X$185+Table1[[#This Row],[I PA]]), "")</f>
        <v>0.3449208701156849</v>
      </c>
    </row>
    <row r="13" spans="1:28" hidden="1" x14ac:dyDescent="0.25">
      <c r="A13" s="24" t="b">
        <f>IF('Sim Data'!A13&gt;0, TRUE, FALSE)</f>
        <v>1</v>
      </c>
      <c r="B13">
        <v>12</v>
      </c>
      <c r="C13" s="18" t="s">
        <v>41</v>
      </c>
      <c r="D13" s="18" t="s">
        <v>42</v>
      </c>
      <c r="E13" s="18" t="s">
        <v>43</v>
      </c>
      <c r="F13" s="43" t="s">
        <v>37</v>
      </c>
      <c r="G13" s="19">
        <v>6</v>
      </c>
      <c r="H13" s="18">
        <v>3.4380000000000002</v>
      </c>
      <c r="I13" s="18">
        <v>1.0640000000000001</v>
      </c>
      <c r="J13" s="18">
        <v>4.0829999999999993</v>
      </c>
      <c r="K13" s="18">
        <v>5.3000000000000005E-2</v>
      </c>
      <c r="L13" s="18">
        <v>0.36720774272214596</v>
      </c>
      <c r="M13" s="18">
        <v>26.244000000000003</v>
      </c>
      <c r="N13" s="18">
        <v>7.09</v>
      </c>
      <c r="O13" s="18">
        <v>2.363</v>
      </c>
      <c r="P13" s="10">
        <f>Table1[[#This Row],[OBP]]*Table1[[#This Row],[PA]]</f>
        <v>9.6370000000000005</v>
      </c>
      <c r="Q13" s="10">
        <f>(8*P$185+Table1[[#This Row],[OB]])/(8*M$185+Table1[[#This Row],[PA]])</f>
        <v>0.33272707594310014</v>
      </c>
      <c r="R13" s="11">
        <f>IF(Table1[[#This Row],[Included?]],Table1[[#This Row],[g]],"")</f>
        <v>6</v>
      </c>
      <c r="S13" s="11">
        <f>IF(Table1[[#This Row],[Included?]],Table1[[#This Row],[R]],"")</f>
        <v>3.4380000000000002</v>
      </c>
      <c r="T13" s="11">
        <f>IF(Table1[[#This Row],[Included?]],Table1[[#This Row],[HR]],"")</f>
        <v>1.0640000000000001</v>
      </c>
      <c r="U13" s="11">
        <f>IF(Table1[[#This Row],[Included?]],Table1[[#This Row],[RBI]],"")</f>
        <v>4.0829999999999993</v>
      </c>
      <c r="V13" s="11">
        <f>IF(Table1[[#This Row],[Included?]],Table1[[#This Row],[SB]],"")</f>
        <v>5.3000000000000005E-2</v>
      </c>
      <c r="W13" s="11">
        <f>IF(Table1[[#This Row],[Included?]],Table1[[#This Row],[OBP]],"")</f>
        <v>0.36720774272214596</v>
      </c>
      <c r="X13" s="11">
        <f>IF(Table1[[#This Row],[Included?]],Table1[[#This Row],[PA]],"")</f>
        <v>26.244000000000003</v>
      </c>
      <c r="Y13" s="11">
        <f>IF(Table1[[#This Row],[Included?]],Table1[[#This Row],[H]],"")</f>
        <v>7.09</v>
      </c>
      <c r="Z13" s="11">
        <f>IF(Table1[[#This Row],[Included?]],Table1[[#This Row],[BB]],"")</f>
        <v>2.363</v>
      </c>
      <c r="AA13" s="11">
        <f>IF(Table1[[#This Row],[Included?]],Table1[[#This Row],[OB]],"")</f>
        <v>9.6370000000000005</v>
      </c>
      <c r="AB13" s="14">
        <f>IF(Table1[[#This Row],[Included?]], (8*AA$185+Table1[[#This Row],[I OB]])/(8*X$185+Table1[[#This Row],[I PA]]), "")</f>
        <v>0.3480835926860042</v>
      </c>
    </row>
    <row r="14" spans="1:28" hidden="1" x14ac:dyDescent="0.25">
      <c r="A14" s="23" t="b">
        <f>IF('Sim Data'!A14&gt;0, TRUE, FALSE)</f>
        <v>1</v>
      </c>
      <c r="B14">
        <v>13</v>
      </c>
      <c r="C14" s="18" t="s">
        <v>31</v>
      </c>
      <c r="D14" s="18" t="s">
        <v>32</v>
      </c>
      <c r="E14" s="18" t="s">
        <v>21</v>
      </c>
      <c r="F14" s="43" t="s">
        <v>21</v>
      </c>
      <c r="G14" s="19">
        <v>6</v>
      </c>
      <c r="H14" s="18">
        <v>3.1670000000000007</v>
      </c>
      <c r="I14" s="18">
        <v>1.2490000000000001</v>
      </c>
      <c r="J14" s="18">
        <v>3.5390000000000001</v>
      </c>
      <c r="K14" s="18">
        <v>0.22600000000000003</v>
      </c>
      <c r="L14" s="18">
        <v>0.39310013607620264</v>
      </c>
      <c r="M14" s="18">
        <v>24.988000000000003</v>
      </c>
      <c r="N14" s="18">
        <v>6.4340000000000002</v>
      </c>
      <c r="O14" s="18">
        <v>3.2389999999999999</v>
      </c>
      <c r="P14" s="10">
        <f>Table1[[#This Row],[OBP]]*Table1[[#This Row],[PA]]</f>
        <v>9.8227862002721533</v>
      </c>
      <c r="Q14" s="10">
        <f>(8*P$185+Table1[[#This Row],[OB]])/(8*M$185+Table1[[#This Row],[PA]])</f>
        <v>0.33547155989465727</v>
      </c>
      <c r="R14" s="11">
        <f>IF(Table1[[#This Row],[Included?]],Table1[[#This Row],[g]],"")</f>
        <v>6</v>
      </c>
      <c r="S14" s="11">
        <f>IF(Table1[[#This Row],[Included?]],Table1[[#This Row],[R]],"")</f>
        <v>3.1670000000000007</v>
      </c>
      <c r="T14" s="11">
        <f>IF(Table1[[#This Row],[Included?]],Table1[[#This Row],[HR]],"")</f>
        <v>1.2490000000000001</v>
      </c>
      <c r="U14" s="11">
        <f>IF(Table1[[#This Row],[Included?]],Table1[[#This Row],[RBI]],"")</f>
        <v>3.5390000000000001</v>
      </c>
      <c r="V14" s="11">
        <f>IF(Table1[[#This Row],[Included?]],Table1[[#This Row],[SB]],"")</f>
        <v>0.22600000000000003</v>
      </c>
      <c r="W14" s="11">
        <f>IF(Table1[[#This Row],[Included?]],Table1[[#This Row],[OBP]],"")</f>
        <v>0.39310013607620264</v>
      </c>
      <c r="X14" s="11">
        <f>IF(Table1[[#This Row],[Included?]],Table1[[#This Row],[PA]],"")</f>
        <v>24.988000000000003</v>
      </c>
      <c r="Y14" s="11">
        <f>IF(Table1[[#This Row],[Included?]],Table1[[#This Row],[H]],"")</f>
        <v>6.4340000000000002</v>
      </c>
      <c r="Z14" s="11">
        <f>IF(Table1[[#This Row],[Included?]],Table1[[#This Row],[BB]],"")</f>
        <v>3.2389999999999999</v>
      </c>
      <c r="AA14" s="11">
        <f>IF(Table1[[#This Row],[Included?]],Table1[[#This Row],[OB]],"")</f>
        <v>9.8227862002721533</v>
      </c>
      <c r="AB14" s="14">
        <f>IF(Table1[[#This Row],[Included?]], (8*AA$185+Table1[[#This Row],[I OB]])/(8*X$185+Table1[[#This Row],[I PA]]), "")</f>
        <v>0.35077980623044647</v>
      </c>
    </row>
    <row r="15" spans="1:28" x14ac:dyDescent="0.25">
      <c r="A15" s="24" t="b">
        <f>IF('Sim Data'!A15&gt;0, TRUE, FALSE)</f>
        <v>1</v>
      </c>
      <c r="B15">
        <v>14</v>
      </c>
      <c r="C15" s="18" t="s">
        <v>126</v>
      </c>
      <c r="D15" s="18" t="s">
        <v>76</v>
      </c>
      <c r="E15" s="18" t="s">
        <v>119</v>
      </c>
      <c r="F15" s="43" t="s">
        <v>30</v>
      </c>
      <c r="G15" s="19">
        <v>6</v>
      </c>
      <c r="H15" s="18">
        <v>3.8149999999999999</v>
      </c>
      <c r="I15" s="18">
        <v>0.48200000000000004</v>
      </c>
      <c r="J15" s="18">
        <v>3.8880000000000003</v>
      </c>
      <c r="K15" s="18">
        <v>0.24900000000000003</v>
      </c>
      <c r="L15" s="18">
        <v>0.37042810019211958</v>
      </c>
      <c r="M15" s="18">
        <v>27.587000000000003</v>
      </c>
      <c r="N15" s="18">
        <v>7.8550000000000004</v>
      </c>
      <c r="O15" s="18">
        <v>1.8680000000000001</v>
      </c>
      <c r="P15" s="10">
        <f>Table1[[#This Row],[OBP]]*Table1[[#This Row],[PA]]</f>
        <v>10.219000000000005</v>
      </c>
      <c r="Q15" s="10">
        <f>(8*P$185+Table1[[#This Row],[OB]])/(8*M$185+Table1[[#This Row],[PA]])</f>
        <v>0.33333430495050698</v>
      </c>
      <c r="R15" s="11">
        <f>IF(Table1[[#This Row],[Included?]],Table1[[#This Row],[g]],"")</f>
        <v>6</v>
      </c>
      <c r="S15" s="11">
        <f>IF(Table1[[#This Row],[Included?]],Table1[[#This Row],[R]],"")</f>
        <v>3.8149999999999999</v>
      </c>
      <c r="T15" s="11">
        <f>IF(Table1[[#This Row],[Included?]],Table1[[#This Row],[HR]],"")</f>
        <v>0.48200000000000004</v>
      </c>
      <c r="U15" s="11">
        <f>IF(Table1[[#This Row],[Included?]],Table1[[#This Row],[RBI]],"")</f>
        <v>3.8880000000000003</v>
      </c>
      <c r="V15" s="11">
        <f>IF(Table1[[#This Row],[Included?]],Table1[[#This Row],[SB]],"")</f>
        <v>0.24900000000000003</v>
      </c>
      <c r="W15" s="11">
        <f>IF(Table1[[#This Row],[Included?]],Table1[[#This Row],[OBP]],"")</f>
        <v>0.37042810019211958</v>
      </c>
      <c r="X15" s="11">
        <f>IF(Table1[[#This Row],[Included?]],Table1[[#This Row],[PA]],"")</f>
        <v>27.587000000000003</v>
      </c>
      <c r="Y15" s="11">
        <f>IF(Table1[[#This Row],[Included?]],Table1[[#This Row],[H]],"")</f>
        <v>7.8550000000000004</v>
      </c>
      <c r="Z15" s="11">
        <f>IF(Table1[[#This Row],[Included?]],Table1[[#This Row],[BB]],"")</f>
        <v>1.8680000000000001</v>
      </c>
      <c r="AA15" s="11">
        <f>IF(Table1[[#This Row],[Included?]],Table1[[#This Row],[OB]],"")</f>
        <v>10.219000000000005</v>
      </c>
      <c r="AB15" s="14">
        <f>IF(Table1[[#This Row],[Included?]], (8*AA$185+Table1[[#This Row],[I OB]])/(8*X$185+Table1[[#This Row],[I PA]]), "")</f>
        <v>0.34857373076226517</v>
      </c>
    </row>
    <row r="16" spans="1:28" hidden="1" x14ac:dyDescent="0.25">
      <c r="A16" s="23" t="b">
        <f>IF('Sim Data'!A16&gt;0, TRUE, FALSE)</f>
        <v>1</v>
      </c>
      <c r="B16">
        <v>15</v>
      </c>
      <c r="C16" s="18" t="s">
        <v>124</v>
      </c>
      <c r="D16" s="18" t="s">
        <v>76</v>
      </c>
      <c r="E16" s="18" t="s">
        <v>14</v>
      </c>
      <c r="F16" s="43" t="s">
        <v>14</v>
      </c>
      <c r="G16" s="19">
        <v>6</v>
      </c>
      <c r="H16" s="18">
        <v>3.4889999999999999</v>
      </c>
      <c r="I16" s="18">
        <v>0.98100000000000009</v>
      </c>
      <c r="J16" s="18">
        <v>4.1430000000000007</v>
      </c>
      <c r="K16" s="18">
        <v>3.4000000000000002E-2</v>
      </c>
      <c r="L16" s="18">
        <v>0.34888558692421989</v>
      </c>
      <c r="M16" s="18">
        <v>26.920999999999999</v>
      </c>
      <c r="N16" s="18">
        <v>7.0179999999999998</v>
      </c>
      <c r="O16" s="18">
        <v>2.266</v>
      </c>
      <c r="P16" s="10">
        <f>Table1[[#This Row],[OBP]]*Table1[[#This Row],[PA]]</f>
        <v>9.392348885586923</v>
      </c>
      <c r="Q16" s="10">
        <f>(8*P$185+Table1[[#This Row],[OB]])/(8*M$185+Table1[[#This Row],[PA]])</f>
        <v>0.33060940666766481</v>
      </c>
      <c r="R16" s="11">
        <f>IF(Table1[[#This Row],[Included?]],Table1[[#This Row],[g]],"")</f>
        <v>6</v>
      </c>
      <c r="S16" s="11">
        <f>IF(Table1[[#This Row],[Included?]],Table1[[#This Row],[R]],"")</f>
        <v>3.4889999999999999</v>
      </c>
      <c r="T16" s="11">
        <f>IF(Table1[[#This Row],[Included?]],Table1[[#This Row],[HR]],"")</f>
        <v>0.98100000000000009</v>
      </c>
      <c r="U16" s="11">
        <f>IF(Table1[[#This Row],[Included?]],Table1[[#This Row],[RBI]],"")</f>
        <v>4.1430000000000007</v>
      </c>
      <c r="V16" s="11">
        <f>IF(Table1[[#This Row],[Included?]],Table1[[#This Row],[SB]],"")</f>
        <v>3.4000000000000002E-2</v>
      </c>
      <c r="W16" s="11">
        <f>IF(Table1[[#This Row],[Included?]],Table1[[#This Row],[OBP]],"")</f>
        <v>0.34888558692421989</v>
      </c>
      <c r="X16" s="11">
        <f>IF(Table1[[#This Row],[Included?]],Table1[[#This Row],[PA]],"")</f>
        <v>26.920999999999999</v>
      </c>
      <c r="Y16" s="11">
        <f>IF(Table1[[#This Row],[Included?]],Table1[[#This Row],[H]],"")</f>
        <v>7.0179999999999998</v>
      </c>
      <c r="Z16" s="11">
        <f>IF(Table1[[#This Row],[Included?]],Table1[[#This Row],[BB]],"")</f>
        <v>2.266</v>
      </c>
      <c r="AA16" s="11">
        <f>IF(Table1[[#This Row],[Included?]],Table1[[#This Row],[OB]],"")</f>
        <v>9.392348885586923</v>
      </c>
      <c r="AB16" s="14">
        <f>IF(Table1[[#This Row],[Included?]], (8*AA$185+Table1[[#This Row],[I OB]])/(8*X$185+Table1[[#This Row],[I PA]]), "")</f>
        <v>0.34602211550144824</v>
      </c>
    </row>
    <row r="17" spans="1:28" hidden="1" x14ac:dyDescent="0.25">
      <c r="A17" s="24" t="b">
        <f>IF('Sim Data'!A17&gt;0, TRUE, FALSE)</f>
        <v>1</v>
      </c>
      <c r="B17">
        <v>16</v>
      </c>
      <c r="C17" s="18" t="s">
        <v>127</v>
      </c>
      <c r="D17" s="18" t="s">
        <v>128</v>
      </c>
      <c r="E17" s="18" t="s">
        <v>14</v>
      </c>
      <c r="F17" s="43" t="s">
        <v>14</v>
      </c>
      <c r="G17" s="19">
        <v>6</v>
      </c>
      <c r="H17" s="18">
        <v>3.21</v>
      </c>
      <c r="I17" s="18">
        <v>1.0369999999999999</v>
      </c>
      <c r="J17" s="18">
        <v>3.6719999999999993</v>
      </c>
      <c r="K17" s="18">
        <v>0</v>
      </c>
      <c r="L17" s="18">
        <v>0.37667332297906964</v>
      </c>
      <c r="M17" s="18">
        <v>27.04</v>
      </c>
      <c r="N17" s="18">
        <v>7.2320000000000011</v>
      </c>
      <c r="O17" s="18">
        <v>2.4940000000000002</v>
      </c>
      <c r="P17" s="10">
        <f>Table1[[#This Row],[OBP]]*Table1[[#This Row],[PA]]</f>
        <v>10.185246653354042</v>
      </c>
      <c r="Q17" s="10">
        <f>(8*P$185+Table1[[#This Row],[OB]])/(8*M$185+Table1[[#This Row],[PA]])</f>
        <v>0.33400353422337542</v>
      </c>
      <c r="R17" s="11">
        <f>IF(Table1[[#This Row],[Included?]],Table1[[#This Row],[g]],"")</f>
        <v>6</v>
      </c>
      <c r="S17" s="11">
        <f>IF(Table1[[#This Row],[Included?]],Table1[[#This Row],[R]],"")</f>
        <v>3.21</v>
      </c>
      <c r="T17" s="11">
        <f>IF(Table1[[#This Row],[Included?]],Table1[[#This Row],[HR]],"")</f>
        <v>1.0369999999999999</v>
      </c>
      <c r="U17" s="11">
        <f>IF(Table1[[#This Row],[Included?]],Table1[[#This Row],[RBI]],"")</f>
        <v>3.6719999999999993</v>
      </c>
      <c r="V17" s="11">
        <f>IF(Table1[[#This Row],[Included?]],Table1[[#This Row],[SB]],"")</f>
        <v>0</v>
      </c>
      <c r="W17" s="11">
        <f>IF(Table1[[#This Row],[Included?]],Table1[[#This Row],[OBP]],"")</f>
        <v>0.37667332297906964</v>
      </c>
      <c r="X17" s="11">
        <f>IF(Table1[[#This Row],[Included?]],Table1[[#This Row],[PA]],"")</f>
        <v>27.04</v>
      </c>
      <c r="Y17" s="11">
        <f>IF(Table1[[#This Row],[Included?]],Table1[[#This Row],[H]],"")</f>
        <v>7.2320000000000011</v>
      </c>
      <c r="Z17" s="11">
        <f>IF(Table1[[#This Row],[Included?]],Table1[[#This Row],[BB]],"")</f>
        <v>2.4940000000000002</v>
      </c>
      <c r="AA17" s="11">
        <f>IF(Table1[[#This Row],[Included?]],Table1[[#This Row],[OB]],"")</f>
        <v>10.185246653354042</v>
      </c>
      <c r="AB17" s="14">
        <f>IF(Table1[[#This Row],[Included?]], (8*AA$185+Table1[[#This Row],[I OB]])/(8*X$185+Table1[[#This Row],[I PA]]), "")</f>
        <v>0.34924687696942397</v>
      </c>
    </row>
    <row r="18" spans="1:28" hidden="1" x14ac:dyDescent="0.25">
      <c r="A18" s="23" t="b">
        <f>IF('Sim Data'!A18&gt;0, TRUE, FALSE)</f>
        <v>1</v>
      </c>
      <c r="B18">
        <v>17</v>
      </c>
      <c r="C18" s="18" t="s">
        <v>146</v>
      </c>
      <c r="D18" s="18" t="s">
        <v>72</v>
      </c>
      <c r="E18" s="18" t="s">
        <v>21</v>
      </c>
      <c r="F18" s="43" t="s">
        <v>21</v>
      </c>
      <c r="G18" s="19">
        <v>7</v>
      </c>
      <c r="H18" s="18">
        <v>3.339</v>
      </c>
      <c r="I18" s="18">
        <v>1.0820000000000001</v>
      </c>
      <c r="J18" s="18">
        <v>3.7549999999999999</v>
      </c>
      <c r="K18" s="18">
        <v>0.501</v>
      </c>
      <c r="L18" s="18">
        <v>0.30947121358553092</v>
      </c>
      <c r="M18" s="18">
        <v>28.974999999999998</v>
      </c>
      <c r="N18" s="18">
        <v>5.92</v>
      </c>
      <c r="O18" s="18">
        <v>2.9609999999999994</v>
      </c>
      <c r="P18" s="10">
        <f>Table1[[#This Row],[OBP]]*Table1[[#This Row],[PA]]</f>
        <v>8.9669284136407583</v>
      </c>
      <c r="Q18" s="10">
        <f>(8*P$185+Table1[[#This Row],[OB]])/(8*M$185+Table1[[#This Row],[PA]])</f>
        <v>0.32567758911399153</v>
      </c>
      <c r="R18" s="11">
        <f>IF(Table1[[#This Row],[Included?]],Table1[[#This Row],[g]],"")</f>
        <v>7</v>
      </c>
      <c r="S18" s="11">
        <f>IF(Table1[[#This Row],[Included?]],Table1[[#This Row],[R]],"")</f>
        <v>3.339</v>
      </c>
      <c r="T18" s="11">
        <f>IF(Table1[[#This Row],[Included?]],Table1[[#This Row],[HR]],"")</f>
        <v>1.0820000000000001</v>
      </c>
      <c r="U18" s="11">
        <f>IF(Table1[[#This Row],[Included?]],Table1[[#This Row],[RBI]],"")</f>
        <v>3.7549999999999999</v>
      </c>
      <c r="V18" s="11">
        <f>IF(Table1[[#This Row],[Included?]],Table1[[#This Row],[SB]],"")</f>
        <v>0.501</v>
      </c>
      <c r="W18" s="11">
        <f>IF(Table1[[#This Row],[Included?]],Table1[[#This Row],[OBP]],"")</f>
        <v>0.30947121358553092</v>
      </c>
      <c r="X18" s="11">
        <f>IF(Table1[[#This Row],[Included?]],Table1[[#This Row],[PA]],"")</f>
        <v>28.974999999999998</v>
      </c>
      <c r="Y18" s="11">
        <f>IF(Table1[[#This Row],[Included?]],Table1[[#This Row],[H]],"")</f>
        <v>5.92</v>
      </c>
      <c r="Z18" s="11">
        <f>IF(Table1[[#This Row],[Included?]],Table1[[#This Row],[BB]],"")</f>
        <v>2.9609999999999994</v>
      </c>
      <c r="AA18" s="11">
        <f>IF(Table1[[#This Row],[Included?]],Table1[[#This Row],[OB]],"")</f>
        <v>8.9669284136407583</v>
      </c>
      <c r="AB18" s="14">
        <f>IF(Table1[[#This Row],[Included?]], (8*AA$185+Table1[[#This Row],[I OB]])/(8*X$185+Table1[[#This Row],[I PA]]), "")</f>
        <v>0.34118834150621952</v>
      </c>
    </row>
    <row r="19" spans="1:28" hidden="1" x14ac:dyDescent="0.25">
      <c r="A19" s="24" t="b">
        <f>IF('Sim Data'!A19&gt;0, TRUE, FALSE)</f>
        <v>1</v>
      </c>
      <c r="B19">
        <v>18</v>
      </c>
      <c r="C19" s="18" t="s">
        <v>39</v>
      </c>
      <c r="D19" s="18" t="s">
        <v>25</v>
      </c>
      <c r="E19" s="18" t="s">
        <v>21</v>
      </c>
      <c r="F19" s="43" t="s">
        <v>21</v>
      </c>
      <c r="G19" s="19">
        <v>6</v>
      </c>
      <c r="H19" s="18">
        <v>2.9650000000000003</v>
      </c>
      <c r="I19" s="18">
        <v>0.76600000000000001</v>
      </c>
      <c r="J19" s="18">
        <v>3.6499999999999995</v>
      </c>
      <c r="K19" s="18">
        <v>1.171</v>
      </c>
      <c r="L19" s="18">
        <v>0.34824806083069043</v>
      </c>
      <c r="M19" s="18">
        <v>26.170999999999999</v>
      </c>
      <c r="N19" s="18">
        <v>6.6970000000000001</v>
      </c>
      <c r="O19" s="18">
        <v>1.605</v>
      </c>
      <c r="P19" s="10">
        <f>Table1[[#This Row],[OBP]]*Table1[[#This Row],[PA]]</f>
        <v>9.113999999999999</v>
      </c>
      <c r="Q19" s="10">
        <f>(8*P$185+Table1[[#This Row],[OB]])/(8*M$185+Table1[[#This Row],[PA]])</f>
        <v>0.33047197933054268</v>
      </c>
      <c r="R19" s="11">
        <f>IF(Table1[[#This Row],[Included?]],Table1[[#This Row],[g]],"")</f>
        <v>6</v>
      </c>
      <c r="S19" s="11">
        <f>IF(Table1[[#This Row],[Included?]],Table1[[#This Row],[R]],"")</f>
        <v>2.9650000000000003</v>
      </c>
      <c r="T19" s="11">
        <f>IF(Table1[[#This Row],[Included?]],Table1[[#This Row],[HR]],"")</f>
        <v>0.76600000000000001</v>
      </c>
      <c r="U19" s="11">
        <f>IF(Table1[[#This Row],[Included?]],Table1[[#This Row],[RBI]],"")</f>
        <v>3.6499999999999995</v>
      </c>
      <c r="V19" s="11">
        <f>IF(Table1[[#This Row],[Included?]],Table1[[#This Row],[SB]],"")</f>
        <v>1.171</v>
      </c>
      <c r="W19" s="11">
        <f>IF(Table1[[#This Row],[Included?]],Table1[[#This Row],[OBP]],"")</f>
        <v>0.34824806083069043</v>
      </c>
      <c r="X19" s="11">
        <f>IF(Table1[[#This Row],[Included?]],Table1[[#This Row],[PA]],"")</f>
        <v>26.170999999999999</v>
      </c>
      <c r="Y19" s="11">
        <f>IF(Table1[[#This Row],[Included?]],Table1[[#This Row],[H]],"")</f>
        <v>6.6970000000000001</v>
      </c>
      <c r="Z19" s="11">
        <f>IF(Table1[[#This Row],[Included?]],Table1[[#This Row],[BB]],"")</f>
        <v>1.605</v>
      </c>
      <c r="AA19" s="11">
        <f>IF(Table1[[#This Row],[Included?]],Table1[[#This Row],[OB]],"")</f>
        <v>9.113999999999999</v>
      </c>
      <c r="AB19" s="14">
        <f>IF(Table1[[#This Row],[Included?]], (8*AA$185+Table1[[#This Row],[I OB]])/(8*X$185+Table1[[#This Row],[I PA]]), "")</f>
        <v>0.34594102570832541</v>
      </c>
    </row>
    <row r="20" spans="1:28" hidden="1" x14ac:dyDescent="0.25">
      <c r="A20" s="23" t="b">
        <f>IF('Sim Data'!A20&gt;0, TRUE, FALSE)</f>
        <v>1</v>
      </c>
      <c r="B20">
        <v>19</v>
      </c>
      <c r="C20" s="18" t="s">
        <v>66</v>
      </c>
      <c r="D20" s="18" t="s">
        <v>67</v>
      </c>
      <c r="E20" s="18" t="s">
        <v>21</v>
      </c>
      <c r="F20" s="43" t="s">
        <v>21</v>
      </c>
      <c r="G20" s="19">
        <v>6</v>
      </c>
      <c r="H20" s="18">
        <v>2.9550000000000001</v>
      </c>
      <c r="I20" s="18">
        <v>1.4789999999999999</v>
      </c>
      <c r="J20" s="18">
        <v>3.4650000000000003</v>
      </c>
      <c r="K20" s="18">
        <v>0.16900000000000001</v>
      </c>
      <c r="L20" s="18">
        <v>0.34639681796911559</v>
      </c>
      <c r="M20" s="18">
        <v>25.642999999999997</v>
      </c>
      <c r="N20" s="18">
        <v>6.580000000000001</v>
      </c>
      <c r="O20" s="18">
        <v>2.1240000000000006</v>
      </c>
      <c r="P20" s="10">
        <f>Table1[[#This Row],[OBP]]*Table1[[#This Row],[PA]]</f>
        <v>8.88265360318203</v>
      </c>
      <c r="Q20" s="10">
        <f>(8*P$185+Table1[[#This Row],[OB]])/(8*M$185+Table1[[#This Row],[PA]])</f>
        <v>0.33021426426266881</v>
      </c>
      <c r="R20" s="11">
        <f>IF(Table1[[#This Row],[Included?]],Table1[[#This Row],[g]],"")</f>
        <v>6</v>
      </c>
      <c r="S20" s="11">
        <f>IF(Table1[[#This Row],[Included?]],Table1[[#This Row],[R]],"")</f>
        <v>2.9550000000000001</v>
      </c>
      <c r="T20" s="11">
        <f>IF(Table1[[#This Row],[Included?]],Table1[[#This Row],[HR]],"")</f>
        <v>1.4789999999999999</v>
      </c>
      <c r="U20" s="11">
        <f>IF(Table1[[#This Row],[Included?]],Table1[[#This Row],[RBI]],"")</f>
        <v>3.4650000000000003</v>
      </c>
      <c r="V20" s="11">
        <f>IF(Table1[[#This Row],[Included?]],Table1[[#This Row],[SB]],"")</f>
        <v>0.16900000000000001</v>
      </c>
      <c r="W20" s="11">
        <f>IF(Table1[[#This Row],[Included?]],Table1[[#This Row],[OBP]],"")</f>
        <v>0.34639681796911559</v>
      </c>
      <c r="X20" s="11">
        <f>IF(Table1[[#This Row],[Included?]],Table1[[#This Row],[PA]],"")</f>
        <v>25.642999999999997</v>
      </c>
      <c r="Y20" s="11">
        <f>IF(Table1[[#This Row],[Included?]],Table1[[#This Row],[H]],"")</f>
        <v>6.580000000000001</v>
      </c>
      <c r="Z20" s="11">
        <f>IF(Table1[[#This Row],[Included?]],Table1[[#This Row],[BB]],"")</f>
        <v>2.1240000000000006</v>
      </c>
      <c r="AA20" s="11">
        <f>IF(Table1[[#This Row],[Included?]],Table1[[#This Row],[OB]],"")</f>
        <v>8.88265360318203</v>
      </c>
      <c r="AB20" s="14">
        <f>IF(Table1[[#This Row],[Included?]], (8*AA$185+Table1[[#This Row],[I OB]])/(8*X$185+Table1[[#This Row],[I PA]]), "")</f>
        <v>0.34573089623192649</v>
      </c>
    </row>
    <row r="21" spans="1:28" hidden="1" x14ac:dyDescent="0.25">
      <c r="A21" s="24" t="b">
        <f>IF('Sim Data'!A21&gt;0, TRUE, FALSE)</f>
        <v>1</v>
      </c>
      <c r="B21">
        <v>20</v>
      </c>
      <c r="C21" s="18" t="s">
        <v>254</v>
      </c>
      <c r="D21" s="18" t="s">
        <v>128</v>
      </c>
      <c r="E21" s="18" t="s">
        <v>116</v>
      </c>
      <c r="F21" s="43" t="s">
        <v>46</v>
      </c>
      <c r="G21" s="19">
        <v>6</v>
      </c>
      <c r="H21" s="18">
        <v>3.4260000000000002</v>
      </c>
      <c r="I21" s="18">
        <v>0.20200000000000001</v>
      </c>
      <c r="J21" s="18">
        <v>2.2429999999999999</v>
      </c>
      <c r="K21" s="18">
        <v>2.1360000000000001</v>
      </c>
      <c r="L21" s="18">
        <v>0.34841756537675334</v>
      </c>
      <c r="M21" s="18">
        <v>28.373000000000001</v>
      </c>
      <c r="N21" s="18">
        <v>6.3819999999999997</v>
      </c>
      <c r="O21" s="18">
        <v>3.0779999999999994</v>
      </c>
      <c r="P21" s="10">
        <f>Table1[[#This Row],[OBP]]*Table1[[#This Row],[PA]]</f>
        <v>9.8856515824346225</v>
      </c>
      <c r="Q21" s="10">
        <f>(8*P$185+Table1[[#This Row],[OB]])/(8*M$185+Table1[[#This Row],[PA]])</f>
        <v>0.33066876559688119</v>
      </c>
      <c r="R21" s="11">
        <f>IF(Table1[[#This Row],[Included?]],Table1[[#This Row],[g]],"")</f>
        <v>6</v>
      </c>
      <c r="S21" s="11">
        <f>IF(Table1[[#This Row],[Included?]],Table1[[#This Row],[R]],"")</f>
        <v>3.4260000000000002</v>
      </c>
      <c r="T21" s="11">
        <f>IF(Table1[[#This Row],[Included?]],Table1[[#This Row],[HR]],"")</f>
        <v>0.20200000000000001</v>
      </c>
      <c r="U21" s="11">
        <f>IF(Table1[[#This Row],[Included?]],Table1[[#This Row],[RBI]],"")</f>
        <v>2.2429999999999999</v>
      </c>
      <c r="V21" s="11">
        <f>IF(Table1[[#This Row],[Included?]],Table1[[#This Row],[SB]],"")</f>
        <v>2.1360000000000001</v>
      </c>
      <c r="W21" s="11">
        <f>IF(Table1[[#This Row],[Included?]],Table1[[#This Row],[OBP]],"")</f>
        <v>0.34841756537675334</v>
      </c>
      <c r="X21" s="11">
        <f>IF(Table1[[#This Row],[Included?]],Table1[[#This Row],[PA]],"")</f>
        <v>28.373000000000001</v>
      </c>
      <c r="Y21" s="11">
        <f>IF(Table1[[#This Row],[Included?]],Table1[[#This Row],[H]],"")</f>
        <v>6.3819999999999997</v>
      </c>
      <c r="Z21" s="11">
        <f>IF(Table1[[#This Row],[Included?]],Table1[[#This Row],[BB]],"")</f>
        <v>3.0779999999999994</v>
      </c>
      <c r="AA21" s="11">
        <f>IF(Table1[[#This Row],[Included?]],Table1[[#This Row],[OB]],"")</f>
        <v>9.8856515824346225</v>
      </c>
      <c r="AB21" s="14">
        <f>IF(Table1[[#This Row],[Included?]], (8*AA$185+Table1[[#This Row],[I OB]])/(8*X$185+Table1[[#This Row],[I PA]]), "")</f>
        <v>0.34598320859796416</v>
      </c>
    </row>
    <row r="22" spans="1:28" x14ac:dyDescent="0.25">
      <c r="A22" s="23" t="b">
        <f>IF('Sim Data'!A22&gt;0, TRUE, FALSE)</f>
        <v>1</v>
      </c>
      <c r="B22">
        <v>21</v>
      </c>
      <c r="C22" s="18" t="s">
        <v>60</v>
      </c>
      <c r="D22" s="18" t="s">
        <v>61</v>
      </c>
      <c r="E22" s="18" t="s">
        <v>30</v>
      </c>
      <c r="F22" s="43" t="s">
        <v>30</v>
      </c>
      <c r="G22" s="19">
        <v>6</v>
      </c>
      <c r="H22" s="18">
        <v>3.4260000000000002</v>
      </c>
      <c r="I22" s="18">
        <v>0.98799999999999999</v>
      </c>
      <c r="J22" s="18">
        <v>3.4220000000000006</v>
      </c>
      <c r="K22" s="18">
        <v>2.4E-2</v>
      </c>
      <c r="L22" s="18">
        <v>0.36385626780071001</v>
      </c>
      <c r="M22" s="18">
        <v>25.628</v>
      </c>
      <c r="N22" s="18">
        <v>6.4829999999999997</v>
      </c>
      <c r="O22" s="18">
        <v>2.6120000000000001</v>
      </c>
      <c r="P22" s="10">
        <f>Table1[[#This Row],[OBP]]*Table1[[#This Row],[PA]]</f>
        <v>9.3249084311965955</v>
      </c>
      <c r="Q22" s="10">
        <f>(8*P$185+Table1[[#This Row],[OB]])/(8*M$185+Table1[[#This Row],[PA]])</f>
        <v>0.33224144998758531</v>
      </c>
      <c r="R22" s="11">
        <f>IF(Table1[[#This Row],[Included?]],Table1[[#This Row],[g]],"")</f>
        <v>6</v>
      </c>
      <c r="S22" s="11">
        <f>IF(Table1[[#This Row],[Included?]],Table1[[#This Row],[R]],"")</f>
        <v>3.4260000000000002</v>
      </c>
      <c r="T22" s="11">
        <f>IF(Table1[[#This Row],[Included?]],Table1[[#This Row],[HR]],"")</f>
        <v>0.98799999999999999</v>
      </c>
      <c r="U22" s="11">
        <f>IF(Table1[[#This Row],[Included?]],Table1[[#This Row],[RBI]],"")</f>
        <v>3.4220000000000006</v>
      </c>
      <c r="V22" s="11">
        <f>IF(Table1[[#This Row],[Included?]],Table1[[#This Row],[SB]],"")</f>
        <v>2.4E-2</v>
      </c>
      <c r="W22" s="11">
        <f>IF(Table1[[#This Row],[Included?]],Table1[[#This Row],[OBP]],"")</f>
        <v>0.36385626780071001</v>
      </c>
      <c r="X22" s="11">
        <f>IF(Table1[[#This Row],[Included?]],Table1[[#This Row],[PA]],"")</f>
        <v>25.628</v>
      </c>
      <c r="Y22" s="11">
        <f>IF(Table1[[#This Row],[Included?]],Table1[[#This Row],[H]],"")</f>
        <v>6.4829999999999997</v>
      </c>
      <c r="Z22" s="11">
        <f>IF(Table1[[#This Row],[Included?]],Table1[[#This Row],[BB]],"")</f>
        <v>2.6120000000000001</v>
      </c>
      <c r="AA22" s="11">
        <f>IF(Table1[[#This Row],[Included?]],Table1[[#This Row],[OB]],"")</f>
        <v>9.3249084311965955</v>
      </c>
      <c r="AB22" s="14">
        <f>IF(Table1[[#This Row],[Included?]], (8*AA$185+Table1[[#This Row],[I OB]])/(8*X$185+Table1[[#This Row],[I PA]]), "")</f>
        <v>0.34766204192097294</v>
      </c>
    </row>
    <row r="23" spans="1:28" x14ac:dyDescent="0.25">
      <c r="A23" s="24" t="b">
        <f>IF('Sim Data'!A23&gt;0, TRUE, FALSE)</f>
        <v>1</v>
      </c>
      <c r="B23">
        <v>22</v>
      </c>
      <c r="C23" s="18" t="s">
        <v>150</v>
      </c>
      <c r="D23" s="18" t="s">
        <v>42</v>
      </c>
      <c r="E23" s="18" t="s">
        <v>142</v>
      </c>
      <c r="F23" s="43" t="s">
        <v>30</v>
      </c>
      <c r="G23" s="19">
        <v>6</v>
      </c>
      <c r="H23" s="18">
        <v>3.879</v>
      </c>
      <c r="I23" s="18">
        <v>0.79900000000000004</v>
      </c>
      <c r="J23" s="18">
        <v>3.7010000000000005</v>
      </c>
      <c r="K23" s="18">
        <v>0.19900000000000001</v>
      </c>
      <c r="L23" s="18">
        <v>0.31575818377735665</v>
      </c>
      <c r="M23" s="18">
        <v>26.911000000000005</v>
      </c>
      <c r="N23" s="18">
        <v>6.9819999999999993</v>
      </c>
      <c r="O23" s="18">
        <v>1.1930000000000001</v>
      </c>
      <c r="P23" s="10">
        <f>Table1[[#This Row],[OBP]]*Table1[[#This Row],[PA]]</f>
        <v>8.4973684836324459</v>
      </c>
      <c r="Q23" s="10">
        <f>(8*P$185+Table1[[#This Row],[OB]])/(8*M$185+Table1[[#This Row],[PA]])</f>
        <v>0.32659083490802238</v>
      </c>
      <c r="R23" s="11">
        <f>IF(Table1[[#This Row],[Included?]],Table1[[#This Row],[g]],"")</f>
        <v>6</v>
      </c>
      <c r="S23" s="11">
        <f>IF(Table1[[#This Row],[Included?]],Table1[[#This Row],[R]],"")</f>
        <v>3.879</v>
      </c>
      <c r="T23" s="11">
        <f>IF(Table1[[#This Row],[Included?]],Table1[[#This Row],[HR]],"")</f>
        <v>0.79900000000000004</v>
      </c>
      <c r="U23" s="11">
        <f>IF(Table1[[#This Row],[Included?]],Table1[[#This Row],[RBI]],"")</f>
        <v>3.7010000000000005</v>
      </c>
      <c r="V23" s="11">
        <f>IF(Table1[[#This Row],[Included?]],Table1[[#This Row],[SB]],"")</f>
        <v>0.19900000000000001</v>
      </c>
      <c r="W23" s="11">
        <f>IF(Table1[[#This Row],[Included?]],Table1[[#This Row],[OBP]],"")</f>
        <v>0.31575818377735665</v>
      </c>
      <c r="X23" s="11">
        <f>IF(Table1[[#This Row],[Included?]],Table1[[#This Row],[PA]],"")</f>
        <v>26.911000000000005</v>
      </c>
      <c r="Y23" s="11">
        <f>IF(Table1[[#This Row],[Included?]],Table1[[#This Row],[H]],"")</f>
        <v>6.9819999999999993</v>
      </c>
      <c r="Z23" s="11">
        <f>IF(Table1[[#This Row],[Included?]],Table1[[#This Row],[BB]],"")</f>
        <v>1.1930000000000001</v>
      </c>
      <c r="AA23" s="11">
        <f>IF(Table1[[#This Row],[Included?]],Table1[[#This Row],[OB]],"")</f>
        <v>8.4973684836324459</v>
      </c>
      <c r="AB23" s="14">
        <f>IF(Table1[[#This Row],[Included?]], (8*AA$185+Table1[[#This Row],[I OB]])/(8*X$185+Table1[[#This Row],[I PA]]), "")</f>
        <v>0.34219552126291625</v>
      </c>
    </row>
    <row r="24" spans="1:28" hidden="1" x14ac:dyDescent="0.25">
      <c r="A24" s="23" t="b">
        <f>IF('Sim Data'!A24&gt;0, TRUE, FALSE)</f>
        <v>1</v>
      </c>
      <c r="B24">
        <v>23</v>
      </c>
      <c r="C24" s="18" t="s">
        <v>79</v>
      </c>
      <c r="D24" s="18" t="s">
        <v>23</v>
      </c>
      <c r="E24" s="18" t="s">
        <v>21</v>
      </c>
      <c r="F24" s="43" t="s">
        <v>21</v>
      </c>
      <c r="G24" s="19">
        <v>6</v>
      </c>
      <c r="H24" s="18">
        <v>3.6349999999999998</v>
      </c>
      <c r="I24" s="18">
        <v>0.65600000000000003</v>
      </c>
      <c r="J24" s="18">
        <v>2.1870000000000003</v>
      </c>
      <c r="K24" s="18">
        <v>1.446</v>
      </c>
      <c r="L24" s="18">
        <v>0.33850619627107298</v>
      </c>
      <c r="M24" s="18">
        <v>26.869</v>
      </c>
      <c r="N24" s="18">
        <v>7.0289999999999999</v>
      </c>
      <c r="O24" s="18">
        <v>1.9590000000000001</v>
      </c>
      <c r="P24" s="10">
        <f>Table1[[#This Row],[OBP]]*Table1[[#This Row],[PA]]</f>
        <v>9.0953229876074602</v>
      </c>
      <c r="Q24" s="10">
        <f>(8*P$185+Table1[[#This Row],[OB]])/(8*M$185+Table1[[#This Row],[PA]])</f>
        <v>0.32934801925744989</v>
      </c>
      <c r="R24" s="11">
        <f>IF(Table1[[#This Row],[Included?]],Table1[[#This Row],[g]],"")</f>
        <v>6</v>
      </c>
      <c r="S24" s="11">
        <f>IF(Table1[[#This Row],[Included?]],Table1[[#This Row],[R]],"")</f>
        <v>3.6349999999999998</v>
      </c>
      <c r="T24" s="11">
        <f>IF(Table1[[#This Row],[Included?]],Table1[[#This Row],[HR]],"")</f>
        <v>0.65600000000000003</v>
      </c>
      <c r="U24" s="11">
        <f>IF(Table1[[#This Row],[Included?]],Table1[[#This Row],[RBI]],"")</f>
        <v>2.1870000000000003</v>
      </c>
      <c r="V24" s="11">
        <f>IF(Table1[[#This Row],[Included?]],Table1[[#This Row],[SB]],"")</f>
        <v>1.446</v>
      </c>
      <c r="W24" s="11">
        <f>IF(Table1[[#This Row],[Included?]],Table1[[#This Row],[OBP]],"")</f>
        <v>0.33850619627107298</v>
      </c>
      <c r="X24" s="11">
        <f>IF(Table1[[#This Row],[Included?]],Table1[[#This Row],[PA]],"")</f>
        <v>26.869</v>
      </c>
      <c r="Y24" s="11">
        <f>IF(Table1[[#This Row],[Included?]],Table1[[#This Row],[H]],"")</f>
        <v>7.0289999999999999</v>
      </c>
      <c r="Z24" s="11">
        <f>IF(Table1[[#This Row],[Included?]],Table1[[#This Row],[BB]],"")</f>
        <v>1.9590000000000001</v>
      </c>
      <c r="AA24" s="11">
        <f>IF(Table1[[#This Row],[Included?]],Table1[[#This Row],[OB]],"")</f>
        <v>9.0953229876074602</v>
      </c>
      <c r="AB24" s="14">
        <f>IF(Table1[[#This Row],[Included?]], (8*AA$185+Table1[[#This Row],[I OB]])/(8*X$185+Table1[[#This Row],[I PA]]), "")</f>
        <v>0.34482423165203568</v>
      </c>
    </row>
    <row r="25" spans="1:28" hidden="1" x14ac:dyDescent="0.25">
      <c r="A25" s="24" t="b">
        <f>IF('Sim Data'!A25&gt;0, TRUE, FALSE)</f>
        <v>1</v>
      </c>
      <c r="B25">
        <v>24</v>
      </c>
      <c r="C25" s="18" t="s">
        <v>74</v>
      </c>
      <c r="D25" s="18" t="s">
        <v>56</v>
      </c>
      <c r="E25" s="18" t="s">
        <v>16</v>
      </c>
      <c r="F25" s="43" t="s">
        <v>16</v>
      </c>
      <c r="G25" s="19">
        <v>7</v>
      </c>
      <c r="H25" s="18">
        <v>3.3739999999999997</v>
      </c>
      <c r="I25" s="18">
        <v>0.86499999999999999</v>
      </c>
      <c r="J25" s="18">
        <v>2.8180000000000001</v>
      </c>
      <c r="K25" s="18">
        <v>0.153</v>
      </c>
      <c r="L25" s="18">
        <v>0.32235355751285161</v>
      </c>
      <c r="M25" s="18">
        <v>30.536999999999999</v>
      </c>
      <c r="N25" s="18">
        <v>7.5190000000000001</v>
      </c>
      <c r="O25" s="18">
        <v>1.958</v>
      </c>
      <c r="P25" s="10">
        <f>Table1[[#This Row],[OBP]]*Table1[[#This Row],[PA]]</f>
        <v>9.8437105857699496</v>
      </c>
      <c r="Q25" s="10">
        <f>(8*P$185+Table1[[#This Row],[OB]])/(8*M$185+Table1[[#This Row],[PA]])</f>
        <v>0.32730974137972113</v>
      </c>
      <c r="R25" s="11">
        <f>IF(Table1[[#This Row],[Included?]],Table1[[#This Row],[g]],"")</f>
        <v>7</v>
      </c>
      <c r="S25" s="11">
        <f>IF(Table1[[#This Row],[Included?]],Table1[[#This Row],[R]],"")</f>
        <v>3.3739999999999997</v>
      </c>
      <c r="T25" s="11">
        <f>IF(Table1[[#This Row],[Included?]],Table1[[#This Row],[HR]],"")</f>
        <v>0.86499999999999999</v>
      </c>
      <c r="U25" s="11">
        <f>IF(Table1[[#This Row],[Included?]],Table1[[#This Row],[RBI]],"")</f>
        <v>2.8180000000000001</v>
      </c>
      <c r="V25" s="11">
        <f>IF(Table1[[#This Row],[Included?]],Table1[[#This Row],[SB]],"")</f>
        <v>0.153</v>
      </c>
      <c r="W25" s="11">
        <f>IF(Table1[[#This Row],[Included?]],Table1[[#This Row],[OBP]],"")</f>
        <v>0.32235355751285161</v>
      </c>
      <c r="X25" s="11">
        <f>IF(Table1[[#This Row],[Included?]],Table1[[#This Row],[PA]],"")</f>
        <v>30.536999999999999</v>
      </c>
      <c r="Y25" s="11">
        <f>IF(Table1[[#This Row],[Included?]],Table1[[#This Row],[H]],"")</f>
        <v>7.5190000000000001</v>
      </c>
      <c r="Z25" s="11">
        <f>IF(Table1[[#This Row],[Included?]],Table1[[#This Row],[BB]],"")</f>
        <v>1.958</v>
      </c>
      <c r="AA25" s="11">
        <f>IF(Table1[[#This Row],[Included?]],Table1[[#This Row],[OB]],"")</f>
        <v>9.8437105857699496</v>
      </c>
      <c r="AB25" s="14">
        <f>IF(Table1[[#This Row],[Included?]], (8*AA$185+Table1[[#This Row],[I OB]])/(8*X$185+Table1[[#This Row],[I PA]]), "")</f>
        <v>0.34264158396758415</v>
      </c>
    </row>
    <row r="26" spans="1:28" hidden="1" x14ac:dyDescent="0.25">
      <c r="A26" s="23" t="b">
        <f>IF('Sim Data'!A26&gt;0, TRUE, FALSE)</f>
        <v>1</v>
      </c>
      <c r="B26">
        <v>25</v>
      </c>
      <c r="C26" s="18" t="s">
        <v>168</v>
      </c>
      <c r="D26" s="18" t="s">
        <v>143</v>
      </c>
      <c r="E26" s="18" t="s">
        <v>14</v>
      </c>
      <c r="F26" s="43" t="s">
        <v>14</v>
      </c>
      <c r="G26" s="19">
        <v>6</v>
      </c>
      <c r="H26" s="18">
        <v>2.9020000000000001</v>
      </c>
      <c r="I26" s="18">
        <v>1.1719999999999999</v>
      </c>
      <c r="J26" s="18">
        <v>3.4560000000000004</v>
      </c>
      <c r="K26" s="18">
        <v>4.9000000000000002E-2</v>
      </c>
      <c r="L26" s="18">
        <v>0.35787753149417956</v>
      </c>
      <c r="M26" s="18">
        <v>25.084</v>
      </c>
      <c r="N26" s="18">
        <v>6.1940000000000008</v>
      </c>
      <c r="O26" s="18">
        <v>2.5819999999999999</v>
      </c>
      <c r="P26" s="10">
        <f>Table1[[#This Row],[OBP]]*Table1[[#This Row],[PA]]</f>
        <v>8.9770000000000003</v>
      </c>
      <c r="Q26" s="10">
        <f>(8*P$185+Table1[[#This Row],[OB]])/(8*M$185+Table1[[#This Row],[PA]])</f>
        <v>0.33148180240383929</v>
      </c>
      <c r="R26" s="11">
        <f>IF(Table1[[#This Row],[Included?]],Table1[[#This Row],[g]],"")</f>
        <v>6</v>
      </c>
      <c r="S26" s="11">
        <f>IF(Table1[[#This Row],[Included?]],Table1[[#This Row],[R]],"")</f>
        <v>2.9020000000000001</v>
      </c>
      <c r="T26" s="11">
        <f>IF(Table1[[#This Row],[Included?]],Table1[[#This Row],[HR]],"")</f>
        <v>1.1719999999999999</v>
      </c>
      <c r="U26" s="11">
        <f>IF(Table1[[#This Row],[Included?]],Table1[[#This Row],[RBI]],"")</f>
        <v>3.4560000000000004</v>
      </c>
      <c r="V26" s="11">
        <f>IF(Table1[[#This Row],[Included?]],Table1[[#This Row],[SB]],"")</f>
        <v>4.9000000000000002E-2</v>
      </c>
      <c r="W26" s="11">
        <f>IF(Table1[[#This Row],[Included?]],Table1[[#This Row],[OBP]],"")</f>
        <v>0.35787753149417956</v>
      </c>
      <c r="X26" s="11">
        <f>IF(Table1[[#This Row],[Included?]],Table1[[#This Row],[PA]],"")</f>
        <v>25.084</v>
      </c>
      <c r="Y26" s="11">
        <f>IF(Table1[[#This Row],[Included?]],Table1[[#This Row],[H]],"")</f>
        <v>6.1940000000000008</v>
      </c>
      <c r="Z26" s="11">
        <f>IF(Table1[[#This Row],[Included?]],Table1[[#This Row],[BB]],"")</f>
        <v>2.5819999999999999</v>
      </c>
      <c r="AA26" s="11">
        <f>IF(Table1[[#This Row],[Included?]],Table1[[#This Row],[OB]],"")</f>
        <v>8.9770000000000003</v>
      </c>
      <c r="AB26" s="14">
        <f>IF(Table1[[#This Row],[Included?]], (8*AA$185+Table1[[#This Row],[I OB]])/(8*X$185+Table1[[#This Row],[I PA]]), "")</f>
        <v>0.3469751365613285</v>
      </c>
    </row>
    <row r="27" spans="1:28" hidden="1" x14ac:dyDescent="0.25">
      <c r="A27" s="24" t="b">
        <f>IF('Sim Data'!A27&gt;0, TRUE, FALSE)</f>
        <v>1</v>
      </c>
      <c r="B27">
        <v>26</v>
      </c>
      <c r="C27" s="18" t="s">
        <v>255</v>
      </c>
      <c r="D27" s="18" t="s">
        <v>76</v>
      </c>
      <c r="E27" s="18" t="s">
        <v>46</v>
      </c>
      <c r="F27" s="43" t="s">
        <v>46</v>
      </c>
      <c r="G27" s="19">
        <v>6</v>
      </c>
      <c r="H27" s="18">
        <v>3.8770000000000002</v>
      </c>
      <c r="I27" s="18">
        <v>0.39900000000000002</v>
      </c>
      <c r="J27" s="18">
        <v>2.7199999999999998</v>
      </c>
      <c r="K27" s="18">
        <v>0.29599999999999999</v>
      </c>
      <c r="L27" s="18">
        <v>0.35221238938053095</v>
      </c>
      <c r="M27" s="18">
        <v>28.253</v>
      </c>
      <c r="N27" s="18">
        <v>7.7850000000000001</v>
      </c>
      <c r="O27" s="18">
        <v>1.9399999999999997</v>
      </c>
      <c r="P27" s="10">
        <f>Table1[[#This Row],[OBP]]*Table1[[#This Row],[PA]]</f>
        <v>9.9510566371681417</v>
      </c>
      <c r="Q27" s="10">
        <f>(8*P$185+Table1[[#This Row],[OB]])/(8*M$185+Table1[[#This Row],[PA]])</f>
        <v>0.33113951386500923</v>
      </c>
      <c r="R27" s="11">
        <f>IF(Table1[[#This Row],[Included?]],Table1[[#This Row],[g]],"")</f>
        <v>6</v>
      </c>
      <c r="S27" s="11">
        <f>IF(Table1[[#This Row],[Included?]],Table1[[#This Row],[R]],"")</f>
        <v>3.8770000000000002</v>
      </c>
      <c r="T27" s="11">
        <f>IF(Table1[[#This Row],[Included?]],Table1[[#This Row],[HR]],"")</f>
        <v>0.39900000000000002</v>
      </c>
      <c r="U27" s="11">
        <f>IF(Table1[[#This Row],[Included?]],Table1[[#This Row],[RBI]],"")</f>
        <v>2.7199999999999998</v>
      </c>
      <c r="V27" s="11">
        <f>IF(Table1[[#This Row],[Included?]],Table1[[#This Row],[SB]],"")</f>
        <v>0.29599999999999999</v>
      </c>
      <c r="W27" s="11">
        <f>IF(Table1[[#This Row],[Included?]],Table1[[#This Row],[OBP]],"")</f>
        <v>0.35221238938053095</v>
      </c>
      <c r="X27" s="11">
        <f>IF(Table1[[#This Row],[Included?]],Table1[[#This Row],[PA]],"")</f>
        <v>28.253</v>
      </c>
      <c r="Y27" s="11">
        <f>IF(Table1[[#This Row],[Included?]],Table1[[#This Row],[H]],"")</f>
        <v>7.7850000000000001</v>
      </c>
      <c r="Z27" s="11">
        <f>IF(Table1[[#This Row],[Included?]],Table1[[#This Row],[BB]],"")</f>
        <v>1.9399999999999997</v>
      </c>
      <c r="AA27" s="11">
        <f>IF(Table1[[#This Row],[Included?]],Table1[[#This Row],[OB]],"")</f>
        <v>9.9510566371681417</v>
      </c>
      <c r="AB27" s="14">
        <f>IF(Table1[[#This Row],[Included?]], (8*AA$185+Table1[[#This Row],[I OB]])/(8*X$185+Table1[[#This Row],[I PA]]), "")</f>
        <v>0.34643951662429007</v>
      </c>
    </row>
    <row r="28" spans="1:28" hidden="1" x14ac:dyDescent="0.25">
      <c r="A28" s="23" t="b">
        <f>IF('Sim Data'!A28&gt;0, TRUE, FALSE)</f>
        <v>1</v>
      </c>
      <c r="B28">
        <v>27</v>
      </c>
      <c r="C28" s="18" t="s">
        <v>97</v>
      </c>
      <c r="D28" s="18" t="s">
        <v>76</v>
      </c>
      <c r="E28" s="18" t="s">
        <v>21</v>
      </c>
      <c r="F28" s="43" t="s">
        <v>21</v>
      </c>
      <c r="G28" s="19">
        <v>6</v>
      </c>
      <c r="H28" s="18">
        <v>3.2239999999999998</v>
      </c>
      <c r="I28" s="18">
        <v>0.70400000000000007</v>
      </c>
      <c r="J28" s="18">
        <v>2.9369999999999998</v>
      </c>
      <c r="K28" s="18">
        <v>0.24199999999999999</v>
      </c>
      <c r="L28" s="18">
        <v>0.37036482133493148</v>
      </c>
      <c r="M28" s="18">
        <v>26.698</v>
      </c>
      <c r="N28" s="18">
        <v>6.7969999999999997</v>
      </c>
      <c r="O28" s="18">
        <v>2.5569999999999999</v>
      </c>
      <c r="P28" s="10">
        <f>Table1[[#This Row],[OBP]]*Table1[[#This Row],[PA]]</f>
        <v>9.8880000000000017</v>
      </c>
      <c r="Q28" s="10">
        <f>(8*P$185+Table1[[#This Row],[OB]])/(8*M$185+Table1[[#This Row],[PA]])</f>
        <v>0.33317792400457519</v>
      </c>
      <c r="R28" s="11">
        <f>IF(Table1[[#This Row],[Included?]],Table1[[#This Row],[g]],"")</f>
        <v>6</v>
      </c>
      <c r="S28" s="11">
        <f>IF(Table1[[#This Row],[Included?]],Table1[[#This Row],[R]],"")</f>
        <v>3.2239999999999998</v>
      </c>
      <c r="T28" s="11">
        <f>IF(Table1[[#This Row],[Included?]],Table1[[#This Row],[HR]],"")</f>
        <v>0.70400000000000007</v>
      </c>
      <c r="U28" s="11">
        <f>IF(Table1[[#This Row],[Included?]],Table1[[#This Row],[RBI]],"")</f>
        <v>2.9369999999999998</v>
      </c>
      <c r="V28" s="11">
        <f>IF(Table1[[#This Row],[Included?]],Table1[[#This Row],[SB]],"")</f>
        <v>0.24199999999999999</v>
      </c>
      <c r="W28" s="11">
        <f>IF(Table1[[#This Row],[Included?]],Table1[[#This Row],[OBP]],"")</f>
        <v>0.37036482133493148</v>
      </c>
      <c r="X28" s="11">
        <f>IF(Table1[[#This Row],[Included?]],Table1[[#This Row],[PA]],"")</f>
        <v>26.698</v>
      </c>
      <c r="Y28" s="11">
        <f>IF(Table1[[#This Row],[Included?]],Table1[[#This Row],[H]],"")</f>
        <v>6.7969999999999997</v>
      </c>
      <c r="Z28" s="11">
        <f>IF(Table1[[#This Row],[Included?]],Table1[[#This Row],[BB]],"")</f>
        <v>2.5569999999999999</v>
      </c>
      <c r="AA28" s="11">
        <f>IF(Table1[[#This Row],[Included?]],Table1[[#This Row],[OB]],"")</f>
        <v>9.8880000000000017</v>
      </c>
      <c r="AB28" s="14">
        <f>IF(Table1[[#This Row],[Included?]], (8*AA$185+Table1[[#This Row],[I OB]])/(8*X$185+Table1[[#This Row],[I PA]]), "")</f>
        <v>0.34848300506960261</v>
      </c>
    </row>
    <row r="29" spans="1:28" hidden="1" x14ac:dyDescent="0.25">
      <c r="A29" s="24" t="b">
        <f>IF('Sim Data'!A29&gt;0, TRUE, FALSE)</f>
        <v>1</v>
      </c>
      <c r="B29">
        <v>28</v>
      </c>
      <c r="C29" s="18" t="s">
        <v>122</v>
      </c>
      <c r="D29" s="18" t="s">
        <v>90</v>
      </c>
      <c r="E29" s="18" t="s">
        <v>116</v>
      </c>
      <c r="F29" s="43" t="s">
        <v>46</v>
      </c>
      <c r="G29" s="19">
        <v>6</v>
      </c>
      <c r="H29" s="18">
        <v>3.4</v>
      </c>
      <c r="I29" s="18">
        <v>0.73799999999999999</v>
      </c>
      <c r="J29" s="18">
        <v>2.4499999999999997</v>
      </c>
      <c r="K29" s="18">
        <v>0.90700000000000003</v>
      </c>
      <c r="L29" s="18">
        <v>0.32971916103803772</v>
      </c>
      <c r="M29" s="18">
        <v>28.131</v>
      </c>
      <c r="N29" s="18">
        <v>6.9399999999999995</v>
      </c>
      <c r="O29" s="18">
        <v>2.194</v>
      </c>
      <c r="P29" s="10">
        <f>Table1[[#This Row],[OBP]]*Table1[[#This Row],[PA]]</f>
        <v>9.2753297191610393</v>
      </c>
      <c r="Q29" s="10">
        <f>(8*P$185+Table1[[#This Row],[OB]])/(8*M$185+Table1[[#This Row],[PA]])</f>
        <v>0.32829189358845234</v>
      </c>
      <c r="R29" s="11">
        <f>IF(Table1[[#This Row],[Included?]],Table1[[#This Row],[g]],"")</f>
        <v>6</v>
      </c>
      <c r="S29" s="11">
        <f>IF(Table1[[#This Row],[Included?]],Table1[[#This Row],[R]],"")</f>
        <v>3.4</v>
      </c>
      <c r="T29" s="11">
        <f>IF(Table1[[#This Row],[Included?]],Table1[[#This Row],[HR]],"")</f>
        <v>0.73799999999999999</v>
      </c>
      <c r="U29" s="11">
        <f>IF(Table1[[#This Row],[Included?]],Table1[[#This Row],[RBI]],"")</f>
        <v>2.4499999999999997</v>
      </c>
      <c r="V29" s="11">
        <f>IF(Table1[[#This Row],[Included?]],Table1[[#This Row],[SB]],"")</f>
        <v>0.90700000000000003</v>
      </c>
      <c r="W29" s="11">
        <f>IF(Table1[[#This Row],[Included?]],Table1[[#This Row],[OBP]],"")</f>
        <v>0.32971916103803772</v>
      </c>
      <c r="X29" s="11">
        <f>IF(Table1[[#This Row],[Included?]],Table1[[#This Row],[PA]],"")</f>
        <v>28.131</v>
      </c>
      <c r="Y29" s="11">
        <f>IF(Table1[[#This Row],[Included?]],Table1[[#This Row],[H]],"")</f>
        <v>6.9399999999999995</v>
      </c>
      <c r="Z29" s="11">
        <f>IF(Table1[[#This Row],[Included?]],Table1[[#This Row],[BB]],"")</f>
        <v>2.194</v>
      </c>
      <c r="AA29" s="11">
        <f>IF(Table1[[#This Row],[Included?]],Table1[[#This Row],[OB]],"")</f>
        <v>9.2753297191610393</v>
      </c>
      <c r="AB29" s="14">
        <f>IF(Table1[[#This Row],[Included?]], (8*AA$185+Table1[[#This Row],[I OB]])/(8*X$185+Table1[[#This Row],[I PA]]), "")</f>
        <v>0.34373472961891088</v>
      </c>
    </row>
    <row r="30" spans="1:28" hidden="1" x14ac:dyDescent="0.25">
      <c r="A30" s="23" t="b">
        <f>IF('Sim Data'!A30&gt;0, TRUE, FALSE)</f>
        <v>1</v>
      </c>
      <c r="B30">
        <v>29</v>
      </c>
      <c r="C30" s="18" t="s">
        <v>64</v>
      </c>
      <c r="D30" s="18" t="s">
        <v>42</v>
      </c>
      <c r="E30" s="18" t="s">
        <v>46</v>
      </c>
      <c r="F30" s="43" t="s">
        <v>46</v>
      </c>
      <c r="G30" s="19">
        <v>6</v>
      </c>
      <c r="H30" s="18">
        <v>3.81</v>
      </c>
      <c r="I30" s="18">
        <v>0.44</v>
      </c>
      <c r="J30" s="18">
        <v>2.7090000000000001</v>
      </c>
      <c r="K30" s="18">
        <v>0.188</v>
      </c>
      <c r="L30" s="18">
        <v>0.36079483646384802</v>
      </c>
      <c r="M30" s="18">
        <v>27.577999999999999</v>
      </c>
      <c r="N30" s="18">
        <v>7.6810000000000009</v>
      </c>
      <c r="O30" s="18">
        <v>2.1310000000000002</v>
      </c>
      <c r="P30" s="10">
        <f>Table1[[#This Row],[OBP]]*Table1[[#This Row],[PA]]</f>
        <v>9.9500000000000011</v>
      </c>
      <c r="Q30" s="10">
        <f>(8*P$185+Table1[[#This Row],[OB]])/(8*M$185+Table1[[#This Row],[PA]])</f>
        <v>0.33213909676453812</v>
      </c>
      <c r="R30" s="11">
        <f>IF(Table1[[#This Row],[Included?]],Table1[[#This Row],[g]],"")</f>
        <v>6</v>
      </c>
      <c r="S30" s="11">
        <f>IF(Table1[[#This Row],[Included?]],Table1[[#This Row],[R]],"")</f>
        <v>3.81</v>
      </c>
      <c r="T30" s="11">
        <f>IF(Table1[[#This Row],[Included?]],Table1[[#This Row],[HR]],"")</f>
        <v>0.44</v>
      </c>
      <c r="U30" s="11">
        <f>IF(Table1[[#This Row],[Included?]],Table1[[#This Row],[RBI]],"")</f>
        <v>2.7090000000000001</v>
      </c>
      <c r="V30" s="11">
        <f>IF(Table1[[#This Row],[Included?]],Table1[[#This Row],[SB]],"")</f>
        <v>0.188</v>
      </c>
      <c r="W30" s="11">
        <f>IF(Table1[[#This Row],[Included?]],Table1[[#This Row],[OBP]],"")</f>
        <v>0.36079483646384802</v>
      </c>
      <c r="X30" s="11">
        <f>IF(Table1[[#This Row],[Included?]],Table1[[#This Row],[PA]],"")</f>
        <v>27.577999999999999</v>
      </c>
      <c r="Y30" s="11">
        <f>IF(Table1[[#This Row],[Included?]],Table1[[#This Row],[H]],"")</f>
        <v>7.6810000000000009</v>
      </c>
      <c r="Z30" s="11">
        <f>IF(Table1[[#This Row],[Included?]],Table1[[#This Row],[BB]],"")</f>
        <v>2.1310000000000002</v>
      </c>
      <c r="AA30" s="11">
        <f>IF(Table1[[#This Row],[Included?]],Table1[[#This Row],[OB]],"")</f>
        <v>9.9500000000000011</v>
      </c>
      <c r="AB30" s="14">
        <f>IF(Table1[[#This Row],[Included?]], (8*AA$185+Table1[[#This Row],[I OB]])/(8*X$185+Table1[[#This Row],[I PA]]), "")</f>
        <v>0.34743584857005066</v>
      </c>
    </row>
    <row r="31" spans="1:28" hidden="1" x14ac:dyDescent="0.25">
      <c r="A31" s="24" t="b">
        <f>IF('Sim Data'!A31&gt;0, TRUE, FALSE)</f>
        <v>1</v>
      </c>
      <c r="B31">
        <v>30</v>
      </c>
      <c r="C31" s="18" t="s">
        <v>256</v>
      </c>
      <c r="D31" s="18" t="s">
        <v>72</v>
      </c>
      <c r="E31" s="18" t="s">
        <v>21</v>
      </c>
      <c r="F31" s="43" t="s">
        <v>21</v>
      </c>
      <c r="G31" s="19">
        <v>7</v>
      </c>
      <c r="H31" s="18">
        <v>3.0169999999999999</v>
      </c>
      <c r="I31" s="18">
        <v>1.1880000000000002</v>
      </c>
      <c r="J31" s="18">
        <v>3.2809999999999997</v>
      </c>
      <c r="K31" s="18">
        <v>0.13100000000000001</v>
      </c>
      <c r="L31" s="18">
        <v>0.31425328935702385</v>
      </c>
      <c r="M31" s="18">
        <v>28.197000000000003</v>
      </c>
      <c r="N31" s="18">
        <v>6.9349999999999996</v>
      </c>
      <c r="O31" s="18">
        <v>1.587</v>
      </c>
      <c r="P31" s="10">
        <f>Table1[[#This Row],[OBP]]*Table1[[#This Row],[PA]]</f>
        <v>8.8610000000000024</v>
      </c>
      <c r="Q31" s="10">
        <f>(8*P$185+Table1[[#This Row],[OB]])/(8*M$185+Table1[[#This Row],[PA]])</f>
        <v>0.32633827768479085</v>
      </c>
      <c r="R31" s="11">
        <f>IF(Table1[[#This Row],[Included?]],Table1[[#This Row],[g]],"")</f>
        <v>7</v>
      </c>
      <c r="S31" s="11">
        <f>IF(Table1[[#This Row],[Included?]],Table1[[#This Row],[R]],"")</f>
        <v>3.0169999999999999</v>
      </c>
      <c r="T31" s="11">
        <f>IF(Table1[[#This Row],[Included?]],Table1[[#This Row],[HR]],"")</f>
        <v>1.1880000000000002</v>
      </c>
      <c r="U31" s="11">
        <f>IF(Table1[[#This Row],[Included?]],Table1[[#This Row],[RBI]],"")</f>
        <v>3.2809999999999997</v>
      </c>
      <c r="V31" s="11">
        <f>IF(Table1[[#This Row],[Included?]],Table1[[#This Row],[SB]],"")</f>
        <v>0.13100000000000001</v>
      </c>
      <c r="W31" s="11">
        <f>IF(Table1[[#This Row],[Included?]],Table1[[#This Row],[OBP]],"")</f>
        <v>0.31425328935702385</v>
      </c>
      <c r="X31" s="11">
        <f>IF(Table1[[#This Row],[Included?]],Table1[[#This Row],[PA]],"")</f>
        <v>28.197000000000003</v>
      </c>
      <c r="Y31" s="11">
        <f>IF(Table1[[#This Row],[Included?]],Table1[[#This Row],[H]],"")</f>
        <v>6.9349999999999996</v>
      </c>
      <c r="Z31" s="11">
        <f>IF(Table1[[#This Row],[Included?]],Table1[[#This Row],[BB]],"")</f>
        <v>1.587</v>
      </c>
      <c r="AA31" s="11">
        <f>IF(Table1[[#This Row],[Included?]],Table1[[#This Row],[OB]],"")</f>
        <v>8.8610000000000024</v>
      </c>
      <c r="AB31" s="14">
        <f>IF(Table1[[#This Row],[Included?]], (8*AA$185+Table1[[#This Row],[I OB]])/(8*X$185+Table1[[#This Row],[I PA]]), "")</f>
        <v>0.34186926008021878</v>
      </c>
    </row>
    <row r="32" spans="1:28" hidden="1" x14ac:dyDescent="0.25">
      <c r="A32" s="23" t="b">
        <f>IF('Sim Data'!A32&gt;0, TRUE, FALSE)</f>
        <v>1</v>
      </c>
      <c r="B32">
        <v>31</v>
      </c>
      <c r="C32" s="18" t="s">
        <v>68</v>
      </c>
      <c r="D32" s="18" t="s">
        <v>61</v>
      </c>
      <c r="E32" s="18" t="s">
        <v>21</v>
      </c>
      <c r="F32" s="43" t="s">
        <v>21</v>
      </c>
      <c r="G32" s="19">
        <v>6</v>
      </c>
      <c r="H32" s="18">
        <v>3.5970000000000004</v>
      </c>
      <c r="I32" s="18">
        <v>0.629</v>
      </c>
      <c r="J32" s="18">
        <v>2.0049999999999999</v>
      </c>
      <c r="K32" s="18">
        <v>1.5569999999999999</v>
      </c>
      <c r="L32" s="18">
        <v>0.32624981456757157</v>
      </c>
      <c r="M32" s="18">
        <v>26.960999999999999</v>
      </c>
      <c r="N32" s="18">
        <v>6.5659999999999989</v>
      </c>
      <c r="O32" s="18">
        <v>1.718</v>
      </c>
      <c r="P32" s="10">
        <f>Table1[[#This Row],[OBP]]*Table1[[#This Row],[PA]]</f>
        <v>8.7960212505562971</v>
      </c>
      <c r="Q32" s="10">
        <f>(8*P$185+Table1[[#This Row],[OB]])/(8*M$185+Table1[[#This Row],[PA]])</f>
        <v>0.32786291433504672</v>
      </c>
      <c r="R32" s="11">
        <f>IF(Table1[[#This Row],[Included?]],Table1[[#This Row],[g]],"")</f>
        <v>6</v>
      </c>
      <c r="S32" s="11">
        <f>IF(Table1[[#This Row],[Included?]],Table1[[#This Row],[R]],"")</f>
        <v>3.5970000000000004</v>
      </c>
      <c r="T32" s="11">
        <f>IF(Table1[[#This Row],[Included?]],Table1[[#This Row],[HR]],"")</f>
        <v>0.629</v>
      </c>
      <c r="U32" s="11">
        <f>IF(Table1[[#This Row],[Included?]],Table1[[#This Row],[RBI]],"")</f>
        <v>2.0049999999999999</v>
      </c>
      <c r="V32" s="11">
        <f>IF(Table1[[#This Row],[Included?]],Table1[[#This Row],[SB]],"")</f>
        <v>1.5569999999999999</v>
      </c>
      <c r="W32" s="11">
        <f>IF(Table1[[#This Row],[Included?]],Table1[[#This Row],[OBP]],"")</f>
        <v>0.32624981456757157</v>
      </c>
      <c r="X32" s="11">
        <f>IF(Table1[[#This Row],[Included?]],Table1[[#This Row],[PA]],"")</f>
        <v>26.960999999999999</v>
      </c>
      <c r="Y32" s="11">
        <f>IF(Table1[[#This Row],[Included?]],Table1[[#This Row],[H]],"")</f>
        <v>6.5659999999999989</v>
      </c>
      <c r="Z32" s="11">
        <f>IF(Table1[[#This Row],[Included?]],Table1[[#This Row],[BB]],"")</f>
        <v>1.718</v>
      </c>
      <c r="AA32" s="11">
        <f>IF(Table1[[#This Row],[Included?]],Table1[[#This Row],[OB]],"")</f>
        <v>8.7960212505562971</v>
      </c>
      <c r="AB32" s="14">
        <f>IF(Table1[[#This Row],[Included?]], (8*AA$185+Table1[[#This Row],[I OB]])/(8*X$185+Table1[[#This Row],[I PA]]), "")</f>
        <v>0.34340370437373957</v>
      </c>
    </row>
    <row r="33" spans="1:28" hidden="1" x14ac:dyDescent="0.25">
      <c r="A33" s="24" t="b">
        <f>IF('Sim Data'!A33&gt;0, TRUE, FALSE)</f>
        <v>1</v>
      </c>
      <c r="B33">
        <v>32</v>
      </c>
      <c r="C33" s="18" t="s">
        <v>133</v>
      </c>
      <c r="D33" s="18" t="s">
        <v>90</v>
      </c>
      <c r="E33" s="18" t="s">
        <v>14</v>
      </c>
      <c r="F33" s="43" t="s">
        <v>14</v>
      </c>
      <c r="G33" s="19">
        <v>6</v>
      </c>
      <c r="H33" s="18">
        <v>2.9659999999999997</v>
      </c>
      <c r="I33" s="18">
        <v>1.3010000000000002</v>
      </c>
      <c r="J33" s="18">
        <v>3.27</v>
      </c>
      <c r="K33" s="18">
        <v>0</v>
      </c>
      <c r="L33" s="18">
        <v>0.33245311902028318</v>
      </c>
      <c r="M33" s="18">
        <v>26.128999999999998</v>
      </c>
      <c r="N33" s="18">
        <v>5.4540000000000006</v>
      </c>
      <c r="O33" s="18">
        <v>3.1550000000000002</v>
      </c>
      <c r="P33" s="10">
        <f>Table1[[#This Row],[OBP]]*Table1[[#This Row],[PA]]</f>
        <v>8.6866675468809778</v>
      </c>
      <c r="Q33" s="10">
        <f>(8*P$185+Table1[[#This Row],[OB]])/(8*M$185+Table1[[#This Row],[PA]])</f>
        <v>0.32860205290664668</v>
      </c>
      <c r="R33" s="11">
        <f>IF(Table1[[#This Row],[Included?]],Table1[[#This Row],[g]],"")</f>
        <v>6</v>
      </c>
      <c r="S33" s="11">
        <f>IF(Table1[[#This Row],[Included?]],Table1[[#This Row],[R]],"")</f>
        <v>2.9659999999999997</v>
      </c>
      <c r="T33" s="11">
        <f>IF(Table1[[#This Row],[Included?]],Table1[[#This Row],[HR]],"")</f>
        <v>1.3010000000000002</v>
      </c>
      <c r="U33" s="11">
        <f>IF(Table1[[#This Row],[Included?]],Table1[[#This Row],[RBI]],"")</f>
        <v>3.27</v>
      </c>
      <c r="V33" s="11">
        <f>IF(Table1[[#This Row],[Included?]],Table1[[#This Row],[SB]],"")</f>
        <v>0</v>
      </c>
      <c r="W33" s="11">
        <f>IF(Table1[[#This Row],[Included?]],Table1[[#This Row],[OBP]],"")</f>
        <v>0.33245311902028318</v>
      </c>
      <c r="X33" s="11">
        <f>IF(Table1[[#This Row],[Included?]],Table1[[#This Row],[PA]],"")</f>
        <v>26.128999999999998</v>
      </c>
      <c r="Y33" s="11">
        <f>IF(Table1[[#This Row],[Included?]],Table1[[#This Row],[H]],"")</f>
        <v>5.4540000000000006</v>
      </c>
      <c r="Z33" s="11">
        <f>IF(Table1[[#This Row],[Included?]],Table1[[#This Row],[BB]],"")</f>
        <v>3.1550000000000002</v>
      </c>
      <c r="AA33" s="11">
        <f>IF(Table1[[#This Row],[Included?]],Table1[[#This Row],[OB]],"")</f>
        <v>8.6866675468809778</v>
      </c>
      <c r="AB33" s="14">
        <f>IF(Table1[[#This Row],[Included?]], (8*AA$185+Table1[[#This Row],[I OB]])/(8*X$185+Table1[[#This Row],[I PA]]), "")</f>
        <v>0.34416322050966336</v>
      </c>
    </row>
    <row r="34" spans="1:28" hidden="1" x14ac:dyDescent="0.25">
      <c r="A34" s="23" t="b">
        <f>IF('Sim Data'!A34&gt;0, TRUE, FALSE)</f>
        <v>1</v>
      </c>
      <c r="B34">
        <v>33</v>
      </c>
      <c r="C34" s="18" t="s">
        <v>162</v>
      </c>
      <c r="D34" s="18" t="s">
        <v>94</v>
      </c>
      <c r="E34" s="18" t="s">
        <v>14</v>
      </c>
      <c r="F34" s="43" t="s">
        <v>14</v>
      </c>
      <c r="G34" s="19">
        <v>6</v>
      </c>
      <c r="H34" s="18">
        <v>2.9320000000000004</v>
      </c>
      <c r="I34" s="18">
        <v>1.278</v>
      </c>
      <c r="J34" s="18">
        <v>3.3780000000000001</v>
      </c>
      <c r="K34" s="18">
        <v>0.114</v>
      </c>
      <c r="L34" s="18">
        <v>0.33316246056782334</v>
      </c>
      <c r="M34" s="18">
        <v>25.360000000000003</v>
      </c>
      <c r="N34" s="18">
        <v>6.3449999999999998</v>
      </c>
      <c r="O34" s="18">
        <v>1.8750000000000002</v>
      </c>
      <c r="P34" s="10">
        <f>Table1[[#This Row],[OBP]]*Table1[[#This Row],[PA]]</f>
        <v>8.4490000000000016</v>
      </c>
      <c r="Q34" s="10">
        <f>(8*P$185+Table1[[#This Row],[OB]])/(8*M$185+Table1[[#This Row],[PA]])</f>
        <v>0.32867025482948148</v>
      </c>
      <c r="R34" s="11">
        <f>IF(Table1[[#This Row],[Included?]],Table1[[#This Row],[g]],"")</f>
        <v>6</v>
      </c>
      <c r="S34" s="11">
        <f>IF(Table1[[#This Row],[Included?]],Table1[[#This Row],[R]],"")</f>
        <v>2.9320000000000004</v>
      </c>
      <c r="T34" s="11">
        <f>IF(Table1[[#This Row],[Included?]],Table1[[#This Row],[HR]],"")</f>
        <v>1.278</v>
      </c>
      <c r="U34" s="11">
        <f>IF(Table1[[#This Row],[Included?]],Table1[[#This Row],[RBI]],"")</f>
        <v>3.3780000000000001</v>
      </c>
      <c r="V34" s="11">
        <f>IF(Table1[[#This Row],[Included?]],Table1[[#This Row],[SB]],"")</f>
        <v>0.114</v>
      </c>
      <c r="W34" s="11">
        <f>IF(Table1[[#This Row],[Included?]],Table1[[#This Row],[OBP]],"")</f>
        <v>0.33316246056782334</v>
      </c>
      <c r="X34" s="11">
        <f>IF(Table1[[#This Row],[Included?]],Table1[[#This Row],[PA]],"")</f>
        <v>25.360000000000003</v>
      </c>
      <c r="Y34" s="11">
        <f>IF(Table1[[#This Row],[Included?]],Table1[[#This Row],[H]],"")</f>
        <v>6.3449999999999998</v>
      </c>
      <c r="Z34" s="11">
        <f>IF(Table1[[#This Row],[Included?]],Table1[[#This Row],[BB]],"")</f>
        <v>1.8750000000000002</v>
      </c>
      <c r="AA34" s="11">
        <f>IF(Table1[[#This Row],[Included?]],Table1[[#This Row],[OB]],"")</f>
        <v>8.4490000000000016</v>
      </c>
      <c r="AB34" s="14">
        <f>IF(Table1[[#This Row],[Included?]], (8*AA$185+Table1[[#This Row],[I OB]])/(8*X$185+Table1[[#This Row],[I PA]]), "")</f>
        <v>0.34427986086983825</v>
      </c>
    </row>
    <row r="35" spans="1:28" hidden="1" x14ac:dyDescent="0.25">
      <c r="A35" s="24" t="b">
        <f>IF('Sim Data'!A35&gt;0, TRUE, FALSE)</f>
        <v>1</v>
      </c>
      <c r="B35">
        <v>34</v>
      </c>
      <c r="C35" s="18" t="s">
        <v>163</v>
      </c>
      <c r="D35" s="18" t="s">
        <v>128</v>
      </c>
      <c r="E35" s="18" t="s">
        <v>16</v>
      </c>
      <c r="F35" s="43" t="s">
        <v>16</v>
      </c>
      <c r="G35" s="19">
        <v>6</v>
      </c>
      <c r="H35" s="18">
        <v>2.8460000000000001</v>
      </c>
      <c r="I35" s="18">
        <v>0.81300000000000006</v>
      </c>
      <c r="J35" s="18">
        <v>3.4399999999999995</v>
      </c>
      <c r="K35" s="18">
        <v>4.5000000000000005E-2</v>
      </c>
      <c r="L35" s="18">
        <v>0.36165775603837264</v>
      </c>
      <c r="M35" s="18">
        <v>26.372</v>
      </c>
      <c r="N35" s="18">
        <v>7.4899999999999993</v>
      </c>
      <c r="O35" s="18">
        <v>1.8359999999999999</v>
      </c>
      <c r="P35" s="10">
        <f>Table1[[#This Row],[OBP]]*Table1[[#This Row],[PA]]</f>
        <v>9.5376383422439623</v>
      </c>
      <c r="Q35" s="10">
        <f>(8*P$185+Table1[[#This Row],[OB]])/(8*M$185+Table1[[#This Row],[PA]])</f>
        <v>0.33208577875667317</v>
      </c>
      <c r="R35" s="11">
        <f>IF(Table1[[#This Row],[Included?]],Table1[[#This Row],[g]],"")</f>
        <v>6</v>
      </c>
      <c r="S35" s="11">
        <f>IF(Table1[[#This Row],[Included?]],Table1[[#This Row],[R]],"")</f>
        <v>2.8460000000000001</v>
      </c>
      <c r="T35" s="11">
        <f>IF(Table1[[#This Row],[Included?]],Table1[[#This Row],[HR]],"")</f>
        <v>0.81300000000000006</v>
      </c>
      <c r="U35" s="11">
        <f>IF(Table1[[#This Row],[Included?]],Table1[[#This Row],[RBI]],"")</f>
        <v>3.4399999999999995</v>
      </c>
      <c r="V35" s="11">
        <f>IF(Table1[[#This Row],[Included?]],Table1[[#This Row],[SB]],"")</f>
        <v>4.5000000000000005E-2</v>
      </c>
      <c r="W35" s="11">
        <f>IF(Table1[[#This Row],[Included?]],Table1[[#This Row],[OBP]],"")</f>
        <v>0.36165775603837264</v>
      </c>
      <c r="X35" s="11">
        <f>IF(Table1[[#This Row],[Included?]],Table1[[#This Row],[PA]],"")</f>
        <v>26.372</v>
      </c>
      <c r="Y35" s="11">
        <f>IF(Table1[[#This Row],[Included?]],Table1[[#This Row],[H]],"")</f>
        <v>7.4899999999999993</v>
      </c>
      <c r="Z35" s="11">
        <f>IF(Table1[[#This Row],[Included?]],Table1[[#This Row],[BB]],"")</f>
        <v>1.8359999999999999</v>
      </c>
      <c r="AA35" s="11">
        <f>IF(Table1[[#This Row],[Included?]],Table1[[#This Row],[OB]],"")</f>
        <v>9.5376383422439623</v>
      </c>
      <c r="AB35" s="14">
        <f>IF(Table1[[#This Row],[Included?]], (8*AA$185+Table1[[#This Row],[I OB]])/(8*X$185+Table1[[#This Row],[I PA]]), "")</f>
        <v>0.34746444065885301</v>
      </c>
    </row>
    <row r="36" spans="1:28" hidden="1" x14ac:dyDescent="0.25">
      <c r="A36" s="23" t="b">
        <f>IF('Sim Data'!A36&gt;0, TRUE, FALSE)</f>
        <v>0</v>
      </c>
      <c r="B36">
        <v>35</v>
      </c>
      <c r="C36" s="18" t="s">
        <v>257</v>
      </c>
      <c r="D36" s="18" t="s">
        <v>72</v>
      </c>
      <c r="E36" s="18" t="s">
        <v>46</v>
      </c>
      <c r="F36" s="43" t="s">
        <v>46</v>
      </c>
      <c r="G36" s="19">
        <v>7</v>
      </c>
      <c r="H36" s="18">
        <v>3.8940000000000001</v>
      </c>
      <c r="I36" s="18">
        <v>0.53300000000000003</v>
      </c>
      <c r="J36" s="18">
        <v>2.0909999999999997</v>
      </c>
      <c r="K36" s="18">
        <v>0.73899999999999999</v>
      </c>
      <c r="L36" s="18">
        <v>0.30405621207282013</v>
      </c>
      <c r="M36" s="18">
        <v>31.306000000000001</v>
      </c>
      <c r="N36" s="18">
        <v>7.7470000000000008</v>
      </c>
      <c r="O36" s="18">
        <v>1.4289999999999998</v>
      </c>
      <c r="P36" s="10">
        <f>Table1[[#This Row],[OBP]]*Table1[[#This Row],[PA]]</f>
        <v>9.5187837751517073</v>
      </c>
      <c r="Q36" s="10">
        <f>(8*P$185+Table1[[#This Row],[OB]])/(8*M$185+Table1[[#This Row],[PA]])</f>
        <v>0.3247614850915938</v>
      </c>
      <c r="R36" s="11" t="str">
        <f>IF(Table1[[#This Row],[Included?]],Table1[[#This Row],[g]],"")</f>
        <v/>
      </c>
      <c r="S36" s="11" t="str">
        <f>IF(Table1[[#This Row],[Included?]],Table1[[#This Row],[R]],"")</f>
        <v/>
      </c>
      <c r="T36" s="11" t="str">
        <f>IF(Table1[[#This Row],[Included?]],Table1[[#This Row],[HR]],"")</f>
        <v/>
      </c>
      <c r="U36" s="11" t="str">
        <f>IF(Table1[[#This Row],[Included?]],Table1[[#This Row],[RBI]],"")</f>
        <v/>
      </c>
      <c r="V36" s="11" t="str">
        <f>IF(Table1[[#This Row],[Included?]],Table1[[#This Row],[SB]],"")</f>
        <v/>
      </c>
      <c r="W36" s="11" t="str">
        <f>IF(Table1[[#This Row],[Included?]],Table1[[#This Row],[OBP]],"")</f>
        <v/>
      </c>
      <c r="X36" s="11" t="str">
        <f>IF(Table1[[#This Row],[Included?]],Table1[[#This Row],[PA]],"")</f>
        <v/>
      </c>
      <c r="Y36" s="11" t="str">
        <f>IF(Table1[[#This Row],[Included?]],Table1[[#This Row],[H]],"")</f>
        <v/>
      </c>
      <c r="Z36" s="11" t="str">
        <f>IF(Table1[[#This Row],[Included?]],Table1[[#This Row],[BB]],"")</f>
        <v/>
      </c>
      <c r="AA36" s="11" t="str">
        <f>IF(Table1[[#This Row],[Included?]],Table1[[#This Row],[OB]],"")</f>
        <v/>
      </c>
      <c r="AB36" s="14" t="str">
        <f>IF(Table1[[#This Row],[Included?]], (8*AA$185+Table1[[#This Row],[I OB]])/(8*X$185+Table1[[#This Row],[I PA]]), "")</f>
        <v/>
      </c>
    </row>
    <row r="37" spans="1:28" x14ac:dyDescent="0.25">
      <c r="A37" s="24" t="b">
        <f>IF('Sim Data'!A37&gt;0, TRUE, FALSE)</f>
        <v>1</v>
      </c>
      <c r="B37">
        <v>36</v>
      </c>
      <c r="C37" s="18" t="s">
        <v>100</v>
      </c>
      <c r="D37" s="18" t="s">
        <v>13</v>
      </c>
      <c r="E37" s="18" t="s">
        <v>30</v>
      </c>
      <c r="F37" s="43" t="s">
        <v>30</v>
      </c>
      <c r="G37" s="19">
        <v>7</v>
      </c>
      <c r="H37" s="18">
        <v>3.1630000000000003</v>
      </c>
      <c r="I37" s="18">
        <v>0.53400000000000003</v>
      </c>
      <c r="J37" s="18">
        <v>3.3680000000000003</v>
      </c>
      <c r="K37" s="18">
        <v>0.34299999999999997</v>
      </c>
      <c r="L37" s="18">
        <v>0.31613010288748761</v>
      </c>
      <c r="M37" s="18">
        <v>30.130000000000003</v>
      </c>
      <c r="N37" s="18">
        <v>7.6239999999999997</v>
      </c>
      <c r="O37" s="18">
        <v>1.629</v>
      </c>
      <c r="P37" s="10">
        <f>Table1[[#This Row],[OBP]]*Table1[[#This Row],[PA]]</f>
        <v>9.5250000000000021</v>
      </c>
      <c r="Q37" s="10">
        <f>(8*P$185+Table1[[#This Row],[OB]])/(8*M$185+Table1[[#This Row],[PA]])</f>
        <v>0.32648571004260657</v>
      </c>
      <c r="R37" s="11">
        <f>IF(Table1[[#This Row],[Included?]],Table1[[#This Row],[g]],"")</f>
        <v>7</v>
      </c>
      <c r="S37" s="11">
        <f>IF(Table1[[#This Row],[Included?]],Table1[[#This Row],[R]],"")</f>
        <v>3.1630000000000003</v>
      </c>
      <c r="T37" s="11">
        <f>IF(Table1[[#This Row],[Included?]],Table1[[#This Row],[HR]],"")</f>
        <v>0.53400000000000003</v>
      </c>
      <c r="U37" s="11">
        <f>IF(Table1[[#This Row],[Included?]],Table1[[#This Row],[RBI]],"")</f>
        <v>3.3680000000000003</v>
      </c>
      <c r="V37" s="11">
        <f>IF(Table1[[#This Row],[Included?]],Table1[[#This Row],[SB]],"")</f>
        <v>0.34299999999999997</v>
      </c>
      <c r="W37" s="11">
        <f>IF(Table1[[#This Row],[Included?]],Table1[[#This Row],[OBP]],"")</f>
        <v>0.31613010288748761</v>
      </c>
      <c r="X37" s="11">
        <f>IF(Table1[[#This Row],[Included?]],Table1[[#This Row],[PA]],"")</f>
        <v>30.130000000000003</v>
      </c>
      <c r="Y37" s="11">
        <f>IF(Table1[[#This Row],[Included?]],Table1[[#This Row],[H]],"")</f>
        <v>7.6239999999999997</v>
      </c>
      <c r="Z37" s="11">
        <f>IF(Table1[[#This Row],[Included?]],Table1[[#This Row],[BB]],"")</f>
        <v>1.629</v>
      </c>
      <c r="AA37" s="11">
        <f>IF(Table1[[#This Row],[Included?]],Table1[[#This Row],[OB]],"")</f>
        <v>9.5250000000000021</v>
      </c>
      <c r="AB37" s="14">
        <f>IF(Table1[[#This Row],[Included?]], (8*AA$185+Table1[[#This Row],[I OB]])/(8*X$185+Table1[[#This Row],[I PA]]), "")</f>
        <v>0.34188266707758602</v>
      </c>
    </row>
    <row r="38" spans="1:28" hidden="1" x14ac:dyDescent="0.25">
      <c r="A38" s="23" t="b">
        <f>IF('Sim Data'!A38&gt;0, TRUE, FALSE)</f>
        <v>1</v>
      </c>
      <c r="B38">
        <v>37</v>
      </c>
      <c r="C38" s="18" t="s">
        <v>106</v>
      </c>
      <c r="D38" s="18" t="s">
        <v>107</v>
      </c>
      <c r="E38" s="18" t="s">
        <v>14</v>
      </c>
      <c r="F38" s="43" t="s">
        <v>14</v>
      </c>
      <c r="G38" s="19">
        <v>6</v>
      </c>
      <c r="H38" s="18">
        <v>2.72</v>
      </c>
      <c r="I38" s="18">
        <v>1.1889999999999998</v>
      </c>
      <c r="J38" s="18">
        <v>3.129</v>
      </c>
      <c r="K38" s="18">
        <v>0.10900000000000001</v>
      </c>
      <c r="L38" s="18">
        <v>0.35700705062188071</v>
      </c>
      <c r="M38" s="18">
        <v>25.245000000000001</v>
      </c>
      <c r="N38" s="18">
        <v>6.8620000000000001</v>
      </c>
      <c r="O38" s="18">
        <v>1.6469999999999998</v>
      </c>
      <c r="P38" s="10">
        <f>Table1[[#This Row],[OBP]]*Table1[[#This Row],[PA]]</f>
        <v>9.0126429929493792</v>
      </c>
      <c r="Q38" s="10">
        <f>(8*P$185+Table1[[#This Row],[OB]])/(8*M$185+Table1[[#This Row],[PA]])</f>
        <v>0.3314013129520626</v>
      </c>
      <c r="R38" s="11">
        <f>IF(Table1[[#This Row],[Included?]],Table1[[#This Row],[g]],"")</f>
        <v>6</v>
      </c>
      <c r="S38" s="11">
        <f>IF(Table1[[#This Row],[Included?]],Table1[[#This Row],[R]],"")</f>
        <v>2.72</v>
      </c>
      <c r="T38" s="11">
        <f>IF(Table1[[#This Row],[Included?]],Table1[[#This Row],[HR]],"")</f>
        <v>1.1889999999999998</v>
      </c>
      <c r="U38" s="11">
        <f>IF(Table1[[#This Row],[Included?]],Table1[[#This Row],[RBI]],"")</f>
        <v>3.129</v>
      </c>
      <c r="V38" s="11">
        <f>IF(Table1[[#This Row],[Included?]],Table1[[#This Row],[SB]],"")</f>
        <v>0.10900000000000001</v>
      </c>
      <c r="W38" s="11">
        <f>IF(Table1[[#This Row],[Included?]],Table1[[#This Row],[OBP]],"")</f>
        <v>0.35700705062188071</v>
      </c>
      <c r="X38" s="11">
        <f>IF(Table1[[#This Row],[Included?]],Table1[[#This Row],[PA]],"")</f>
        <v>25.245000000000001</v>
      </c>
      <c r="Y38" s="11">
        <f>IF(Table1[[#This Row],[Included?]],Table1[[#This Row],[H]],"")</f>
        <v>6.8620000000000001</v>
      </c>
      <c r="Z38" s="11">
        <f>IF(Table1[[#This Row],[Included?]],Table1[[#This Row],[BB]],"")</f>
        <v>1.6469999999999998</v>
      </c>
      <c r="AA38" s="11">
        <f>IF(Table1[[#This Row],[Included?]],Table1[[#This Row],[OB]],"")</f>
        <v>9.0126429929493792</v>
      </c>
      <c r="AB38" s="14">
        <f>IF(Table1[[#This Row],[Included?]], (8*AA$185+Table1[[#This Row],[I OB]])/(8*X$185+Table1[[#This Row],[I PA]]), "")</f>
        <v>0.34688772292354858</v>
      </c>
    </row>
    <row r="39" spans="1:28" hidden="1" x14ac:dyDescent="0.25">
      <c r="A39" s="24" t="b">
        <f>IF('Sim Data'!A39&gt;0, TRUE, FALSE)</f>
        <v>1</v>
      </c>
      <c r="B39">
        <v>38</v>
      </c>
      <c r="C39" s="18" t="s">
        <v>101</v>
      </c>
      <c r="D39" s="18" t="s">
        <v>25</v>
      </c>
      <c r="E39" s="18" t="s">
        <v>21</v>
      </c>
      <c r="F39" s="43" t="s">
        <v>21</v>
      </c>
      <c r="G39" s="19">
        <v>6</v>
      </c>
      <c r="H39" s="18">
        <v>3.665</v>
      </c>
      <c r="I39" s="18">
        <v>0.47099999999999997</v>
      </c>
      <c r="J39" s="18">
        <v>1.8670000000000002</v>
      </c>
      <c r="K39" s="18">
        <v>1.5779999999999998</v>
      </c>
      <c r="L39" s="18">
        <v>0.31527758057645888</v>
      </c>
      <c r="M39" s="18">
        <v>28.169999999999998</v>
      </c>
      <c r="N39" s="18">
        <v>5.9279999999999999</v>
      </c>
      <c r="O39" s="18">
        <v>2.7560000000000002</v>
      </c>
      <c r="P39" s="10">
        <f>Table1[[#This Row],[OBP]]*Table1[[#This Row],[PA]]</f>
        <v>8.8813694448388461</v>
      </c>
      <c r="Q39" s="10">
        <f>(8*P$185+Table1[[#This Row],[OB]])/(8*M$185+Table1[[#This Row],[PA]])</f>
        <v>0.32646904588205494</v>
      </c>
      <c r="R39" s="11">
        <f>IF(Table1[[#This Row],[Included?]],Table1[[#This Row],[g]],"")</f>
        <v>6</v>
      </c>
      <c r="S39" s="11">
        <f>IF(Table1[[#This Row],[Included?]],Table1[[#This Row],[R]],"")</f>
        <v>3.665</v>
      </c>
      <c r="T39" s="11">
        <f>IF(Table1[[#This Row],[Included?]],Table1[[#This Row],[HR]],"")</f>
        <v>0.47099999999999997</v>
      </c>
      <c r="U39" s="11">
        <f>IF(Table1[[#This Row],[Included?]],Table1[[#This Row],[RBI]],"")</f>
        <v>1.8670000000000002</v>
      </c>
      <c r="V39" s="11">
        <f>IF(Table1[[#This Row],[Included?]],Table1[[#This Row],[SB]],"")</f>
        <v>1.5779999999999998</v>
      </c>
      <c r="W39" s="11">
        <f>IF(Table1[[#This Row],[Included?]],Table1[[#This Row],[OBP]],"")</f>
        <v>0.31527758057645888</v>
      </c>
      <c r="X39" s="11">
        <f>IF(Table1[[#This Row],[Included?]],Table1[[#This Row],[PA]],"")</f>
        <v>28.169999999999998</v>
      </c>
      <c r="Y39" s="11">
        <f>IF(Table1[[#This Row],[Included?]],Table1[[#This Row],[H]],"")</f>
        <v>5.9279999999999999</v>
      </c>
      <c r="Z39" s="11">
        <f>IF(Table1[[#This Row],[Included?]],Table1[[#This Row],[BB]],"")</f>
        <v>2.7560000000000002</v>
      </c>
      <c r="AA39" s="11">
        <f>IF(Table1[[#This Row],[Included?]],Table1[[#This Row],[OB]],"")</f>
        <v>8.8813694448388461</v>
      </c>
      <c r="AB39" s="14">
        <f>IF(Table1[[#This Row],[Included?]], (8*AA$185+Table1[[#This Row],[I OB]])/(8*X$185+Table1[[#This Row],[I PA]]), "")</f>
        <v>0.34199562634047681</v>
      </c>
    </row>
    <row r="40" spans="1:28" hidden="1" x14ac:dyDescent="0.25">
      <c r="A40" s="23" t="b">
        <f>IF('Sim Data'!A40&gt;0, TRUE, FALSE)</f>
        <v>1</v>
      </c>
      <c r="B40">
        <v>39</v>
      </c>
      <c r="C40" s="18" t="s">
        <v>82</v>
      </c>
      <c r="D40" s="18" t="s">
        <v>56</v>
      </c>
      <c r="E40" s="18" t="s">
        <v>14</v>
      </c>
      <c r="F40" s="43" t="s">
        <v>14</v>
      </c>
      <c r="G40" s="19">
        <v>7</v>
      </c>
      <c r="H40" s="18">
        <v>2.8519999999999999</v>
      </c>
      <c r="I40" s="18">
        <v>0.67199999999999993</v>
      </c>
      <c r="J40" s="18">
        <v>3.319</v>
      </c>
      <c r="K40" s="18">
        <v>0.32799999999999996</v>
      </c>
      <c r="L40" s="18">
        <v>0.32744401118050998</v>
      </c>
      <c r="M40" s="18">
        <v>28.982000000000003</v>
      </c>
      <c r="N40" s="18">
        <v>7.306</v>
      </c>
      <c r="O40" s="18">
        <v>2.0960000000000001</v>
      </c>
      <c r="P40" s="10">
        <f>Table1[[#This Row],[OBP]]*Table1[[#This Row],[PA]]</f>
        <v>9.4899823320335415</v>
      </c>
      <c r="Q40" s="10">
        <f>(8*P$185+Table1[[#This Row],[OB]])/(8*M$185+Table1[[#This Row],[PA]])</f>
        <v>0.32800289567468321</v>
      </c>
      <c r="R40" s="11">
        <f>IF(Table1[[#This Row],[Included?]],Table1[[#This Row],[g]],"")</f>
        <v>7</v>
      </c>
      <c r="S40" s="11">
        <f>IF(Table1[[#This Row],[Included?]],Table1[[#This Row],[R]],"")</f>
        <v>2.8519999999999999</v>
      </c>
      <c r="T40" s="11">
        <f>IF(Table1[[#This Row],[Included?]],Table1[[#This Row],[HR]],"")</f>
        <v>0.67199999999999993</v>
      </c>
      <c r="U40" s="11">
        <f>IF(Table1[[#This Row],[Included?]],Table1[[#This Row],[RBI]],"")</f>
        <v>3.319</v>
      </c>
      <c r="V40" s="11">
        <f>IF(Table1[[#This Row],[Included?]],Table1[[#This Row],[SB]],"")</f>
        <v>0.32799999999999996</v>
      </c>
      <c r="W40" s="11">
        <f>IF(Table1[[#This Row],[Included?]],Table1[[#This Row],[OBP]],"")</f>
        <v>0.32744401118050998</v>
      </c>
      <c r="X40" s="11">
        <f>IF(Table1[[#This Row],[Included?]],Table1[[#This Row],[PA]],"")</f>
        <v>28.982000000000003</v>
      </c>
      <c r="Y40" s="11">
        <f>IF(Table1[[#This Row],[Included?]],Table1[[#This Row],[H]],"")</f>
        <v>7.306</v>
      </c>
      <c r="Z40" s="11">
        <f>IF(Table1[[#This Row],[Included?]],Table1[[#This Row],[BB]],"")</f>
        <v>2.0960000000000001</v>
      </c>
      <c r="AA40" s="11">
        <f>IF(Table1[[#This Row],[Included?]],Table1[[#This Row],[OB]],"")</f>
        <v>9.4899823320335415</v>
      </c>
      <c r="AB40" s="14">
        <f>IF(Table1[[#This Row],[Included?]], (8*AA$185+Table1[[#This Row],[I OB]])/(8*X$185+Table1[[#This Row],[I PA]]), "")</f>
        <v>0.34340345844819287</v>
      </c>
    </row>
    <row r="41" spans="1:28" hidden="1" x14ac:dyDescent="0.25">
      <c r="A41" s="24" t="b">
        <f>IF('Sim Data'!A41&gt;0, TRUE, FALSE)</f>
        <v>1</v>
      </c>
      <c r="B41">
        <v>40</v>
      </c>
      <c r="C41" s="18" t="s">
        <v>65</v>
      </c>
      <c r="D41" s="18" t="s">
        <v>26</v>
      </c>
      <c r="E41" s="18" t="s">
        <v>14</v>
      </c>
      <c r="F41" s="43" t="s">
        <v>14</v>
      </c>
      <c r="G41" s="19">
        <v>6</v>
      </c>
      <c r="H41" s="18">
        <v>2.7949999999999999</v>
      </c>
      <c r="I41" s="18">
        <v>0.74099999999999999</v>
      </c>
      <c r="J41" s="18">
        <v>3.2810000000000001</v>
      </c>
      <c r="K41" s="18">
        <v>3.5999999999999997E-2</v>
      </c>
      <c r="L41" s="18">
        <v>0.37879378949832243</v>
      </c>
      <c r="M41" s="18">
        <v>25.634</v>
      </c>
      <c r="N41" s="18">
        <v>7.1479999999999997</v>
      </c>
      <c r="O41" s="18">
        <v>2.4079999999999999</v>
      </c>
      <c r="P41" s="10">
        <f>Table1[[#This Row],[OBP]]*Table1[[#This Row],[PA]]</f>
        <v>9.7099999999999973</v>
      </c>
      <c r="Q41" s="10">
        <f>(8*P$185+Table1[[#This Row],[OB]])/(8*M$185+Table1[[#This Row],[PA]])</f>
        <v>0.33397797940077434</v>
      </c>
      <c r="R41" s="11">
        <f>IF(Table1[[#This Row],[Included?]],Table1[[#This Row],[g]],"")</f>
        <v>6</v>
      </c>
      <c r="S41" s="11">
        <f>IF(Table1[[#This Row],[Included?]],Table1[[#This Row],[R]],"")</f>
        <v>2.7949999999999999</v>
      </c>
      <c r="T41" s="11">
        <f>IF(Table1[[#This Row],[Included?]],Table1[[#This Row],[HR]],"")</f>
        <v>0.74099999999999999</v>
      </c>
      <c r="U41" s="11">
        <f>IF(Table1[[#This Row],[Included?]],Table1[[#This Row],[RBI]],"")</f>
        <v>3.2810000000000001</v>
      </c>
      <c r="V41" s="11">
        <f>IF(Table1[[#This Row],[Included?]],Table1[[#This Row],[SB]],"")</f>
        <v>3.5999999999999997E-2</v>
      </c>
      <c r="W41" s="11">
        <f>IF(Table1[[#This Row],[Included?]],Table1[[#This Row],[OBP]],"")</f>
        <v>0.37879378949832243</v>
      </c>
      <c r="X41" s="11">
        <f>IF(Table1[[#This Row],[Included?]],Table1[[#This Row],[PA]],"")</f>
        <v>25.634</v>
      </c>
      <c r="Y41" s="11">
        <f>IF(Table1[[#This Row],[Included?]],Table1[[#This Row],[H]],"")</f>
        <v>7.1479999999999997</v>
      </c>
      <c r="Z41" s="11">
        <f>IF(Table1[[#This Row],[Included?]],Table1[[#This Row],[BB]],"")</f>
        <v>2.4079999999999999</v>
      </c>
      <c r="AA41" s="11">
        <f>IF(Table1[[#This Row],[Included?]],Table1[[#This Row],[OB]],"")</f>
        <v>9.7099999999999973</v>
      </c>
      <c r="AB41" s="14">
        <f>IF(Table1[[#This Row],[Included?]], (8*AA$185+Table1[[#This Row],[I OB]])/(8*X$185+Table1[[#This Row],[I PA]]), "")</f>
        <v>0.34931504376536748</v>
      </c>
    </row>
    <row r="42" spans="1:28" hidden="1" x14ac:dyDescent="0.25">
      <c r="A42" s="23" t="b">
        <f>IF('Sim Data'!A42&gt;0, TRUE, FALSE)</f>
        <v>1</v>
      </c>
      <c r="B42">
        <v>41</v>
      </c>
      <c r="C42" s="18" t="s">
        <v>84</v>
      </c>
      <c r="D42" s="18" t="s">
        <v>85</v>
      </c>
      <c r="E42" s="18" t="s">
        <v>16</v>
      </c>
      <c r="F42" s="43" t="s">
        <v>16</v>
      </c>
      <c r="G42" s="19">
        <v>6</v>
      </c>
      <c r="H42" s="18">
        <v>3.0279999999999996</v>
      </c>
      <c r="I42" s="18">
        <v>0.96300000000000008</v>
      </c>
      <c r="J42" s="18">
        <v>3.2810000000000006</v>
      </c>
      <c r="K42" s="18">
        <v>0.192</v>
      </c>
      <c r="L42" s="18">
        <v>0.32725694444444442</v>
      </c>
      <c r="M42" s="18">
        <v>26.494999999999997</v>
      </c>
      <c r="N42" s="18">
        <v>6.0469999999999997</v>
      </c>
      <c r="O42" s="18">
        <v>2.359</v>
      </c>
      <c r="P42" s="10">
        <f>Table1[[#This Row],[OBP]]*Table1[[#This Row],[PA]]</f>
        <v>8.6706727430555546</v>
      </c>
      <c r="Q42" s="10">
        <f>(8*P$185+Table1[[#This Row],[OB]])/(8*M$185+Table1[[#This Row],[PA]])</f>
        <v>0.32798679259350144</v>
      </c>
      <c r="R42" s="11">
        <f>IF(Table1[[#This Row],[Included?]],Table1[[#This Row],[g]],"")</f>
        <v>6</v>
      </c>
      <c r="S42" s="11">
        <f>IF(Table1[[#This Row],[Included?]],Table1[[#This Row],[R]],"")</f>
        <v>3.0279999999999996</v>
      </c>
      <c r="T42" s="11">
        <f>IF(Table1[[#This Row],[Included?]],Table1[[#This Row],[HR]],"")</f>
        <v>0.96300000000000008</v>
      </c>
      <c r="U42" s="11">
        <f>IF(Table1[[#This Row],[Included?]],Table1[[#This Row],[RBI]],"")</f>
        <v>3.2810000000000006</v>
      </c>
      <c r="V42" s="11">
        <f>IF(Table1[[#This Row],[Included?]],Table1[[#This Row],[SB]],"")</f>
        <v>0.192</v>
      </c>
      <c r="W42" s="11">
        <f>IF(Table1[[#This Row],[Included?]],Table1[[#This Row],[OBP]],"")</f>
        <v>0.32725694444444442</v>
      </c>
      <c r="X42" s="11">
        <f>IF(Table1[[#This Row],[Included?]],Table1[[#This Row],[PA]],"")</f>
        <v>26.494999999999997</v>
      </c>
      <c r="Y42" s="11">
        <f>IF(Table1[[#This Row],[Included?]],Table1[[#This Row],[H]],"")</f>
        <v>6.0469999999999997</v>
      </c>
      <c r="Z42" s="11">
        <f>IF(Table1[[#This Row],[Included?]],Table1[[#This Row],[BB]],"")</f>
        <v>2.359</v>
      </c>
      <c r="AA42" s="11">
        <f>IF(Table1[[#This Row],[Included?]],Table1[[#This Row],[OB]],"")</f>
        <v>8.6706727430555546</v>
      </c>
      <c r="AB42" s="14">
        <f>IF(Table1[[#This Row],[Included?]], (8*AA$185+Table1[[#This Row],[I OB]])/(8*X$185+Table1[[#This Row],[I PA]]), "")</f>
        <v>0.34355281433399459</v>
      </c>
    </row>
    <row r="43" spans="1:28" hidden="1" x14ac:dyDescent="0.25">
      <c r="A43" s="24" t="b">
        <f>IF('Sim Data'!A43&gt;0, TRUE, FALSE)</f>
        <v>1</v>
      </c>
      <c r="B43">
        <v>42</v>
      </c>
      <c r="C43" s="18" t="s">
        <v>258</v>
      </c>
      <c r="D43" s="18" t="s">
        <v>42</v>
      </c>
      <c r="E43" s="18" t="s">
        <v>21</v>
      </c>
      <c r="F43" s="43" t="s">
        <v>21</v>
      </c>
      <c r="G43" s="19">
        <v>6</v>
      </c>
      <c r="H43" s="18">
        <v>3.109</v>
      </c>
      <c r="I43" s="18">
        <v>0.90400000000000003</v>
      </c>
      <c r="J43" s="18">
        <v>3.3149999999999995</v>
      </c>
      <c r="K43" s="18">
        <v>0.30499999999999999</v>
      </c>
      <c r="L43" s="18">
        <v>0.32933265569412412</v>
      </c>
      <c r="M43" s="18">
        <v>25.578000000000003</v>
      </c>
      <c r="N43" s="18">
        <v>6.4269999999999996</v>
      </c>
      <c r="O43" s="18">
        <v>1.895</v>
      </c>
      <c r="P43" s="10">
        <f>Table1[[#This Row],[OBP]]*Table1[[#This Row],[PA]]</f>
        <v>8.4236706673443074</v>
      </c>
      <c r="Q43" s="10">
        <f>(8*P$185+Table1[[#This Row],[OB]])/(8*M$185+Table1[[#This Row],[PA]])</f>
        <v>0.32823054913813554</v>
      </c>
      <c r="R43" s="11">
        <f>IF(Table1[[#This Row],[Included?]],Table1[[#This Row],[g]],"")</f>
        <v>6</v>
      </c>
      <c r="S43" s="11">
        <f>IF(Table1[[#This Row],[Included?]],Table1[[#This Row],[R]],"")</f>
        <v>3.109</v>
      </c>
      <c r="T43" s="11">
        <f>IF(Table1[[#This Row],[Included?]],Table1[[#This Row],[HR]],"")</f>
        <v>0.90400000000000003</v>
      </c>
      <c r="U43" s="11">
        <f>IF(Table1[[#This Row],[Included?]],Table1[[#This Row],[RBI]],"")</f>
        <v>3.3149999999999995</v>
      </c>
      <c r="V43" s="11">
        <f>IF(Table1[[#This Row],[Included?]],Table1[[#This Row],[SB]],"")</f>
        <v>0.30499999999999999</v>
      </c>
      <c r="W43" s="11">
        <f>IF(Table1[[#This Row],[Included?]],Table1[[#This Row],[OBP]],"")</f>
        <v>0.32933265569412412</v>
      </c>
      <c r="X43" s="11">
        <f>IF(Table1[[#This Row],[Included?]],Table1[[#This Row],[PA]],"")</f>
        <v>25.578000000000003</v>
      </c>
      <c r="Y43" s="11">
        <f>IF(Table1[[#This Row],[Included?]],Table1[[#This Row],[H]],"")</f>
        <v>6.4269999999999996</v>
      </c>
      <c r="Z43" s="11">
        <f>IF(Table1[[#This Row],[Included?]],Table1[[#This Row],[BB]],"")</f>
        <v>1.895</v>
      </c>
      <c r="AA43" s="11">
        <f>IF(Table1[[#This Row],[Included?]],Table1[[#This Row],[OB]],"")</f>
        <v>8.4236706673443074</v>
      </c>
      <c r="AB43" s="14">
        <f>IF(Table1[[#This Row],[Included?]], (8*AA$185+Table1[[#This Row],[I OB]])/(8*X$185+Table1[[#This Row],[I PA]]), "")</f>
        <v>0.34384651913247127</v>
      </c>
    </row>
    <row r="44" spans="1:28" x14ac:dyDescent="0.25">
      <c r="A44" s="23" t="b">
        <f>IF('Sim Data'!A44&gt;0, TRUE, FALSE)</f>
        <v>1</v>
      </c>
      <c r="B44">
        <v>43</v>
      </c>
      <c r="C44" s="18" t="s">
        <v>89</v>
      </c>
      <c r="D44" s="18" t="s">
        <v>90</v>
      </c>
      <c r="E44" s="18" t="s">
        <v>91</v>
      </c>
      <c r="F44" s="43" t="s">
        <v>30</v>
      </c>
      <c r="G44" s="19">
        <v>6</v>
      </c>
      <c r="H44" s="18">
        <v>2.5880000000000001</v>
      </c>
      <c r="I44" s="18">
        <v>1.1579999999999999</v>
      </c>
      <c r="J44" s="18">
        <v>2.9660000000000002</v>
      </c>
      <c r="K44" s="18">
        <v>0.36699999999999999</v>
      </c>
      <c r="L44" s="18">
        <v>0.34893767427247385</v>
      </c>
      <c r="M44" s="18">
        <v>25.463000000000001</v>
      </c>
      <c r="N44" s="18">
        <v>6.5910000000000011</v>
      </c>
      <c r="O44" s="18">
        <v>2.0390000000000001</v>
      </c>
      <c r="P44" s="10">
        <f>Table1[[#This Row],[OBP]]*Table1[[#This Row],[PA]]</f>
        <v>8.8850000000000016</v>
      </c>
      <c r="Q44" s="10">
        <f>(8*P$185+Table1[[#This Row],[OB]])/(8*M$185+Table1[[#This Row],[PA]])</f>
        <v>0.33049454398842343</v>
      </c>
      <c r="R44" s="11">
        <f>IF(Table1[[#This Row],[Included?]],Table1[[#This Row],[g]],"")</f>
        <v>6</v>
      </c>
      <c r="S44" s="11">
        <f>IF(Table1[[#This Row],[Included?]],Table1[[#This Row],[R]],"")</f>
        <v>2.5880000000000001</v>
      </c>
      <c r="T44" s="11">
        <f>IF(Table1[[#This Row],[Included?]],Table1[[#This Row],[HR]],"")</f>
        <v>1.1579999999999999</v>
      </c>
      <c r="U44" s="11">
        <f>IF(Table1[[#This Row],[Included?]],Table1[[#This Row],[RBI]],"")</f>
        <v>2.9660000000000002</v>
      </c>
      <c r="V44" s="11">
        <f>IF(Table1[[#This Row],[Included?]],Table1[[#This Row],[SB]],"")</f>
        <v>0.36699999999999999</v>
      </c>
      <c r="W44" s="11">
        <f>IF(Table1[[#This Row],[Included?]],Table1[[#This Row],[OBP]],"")</f>
        <v>0.34893767427247385</v>
      </c>
      <c r="X44" s="11">
        <f>IF(Table1[[#This Row],[Included?]],Table1[[#This Row],[PA]],"")</f>
        <v>25.463000000000001</v>
      </c>
      <c r="Y44" s="11">
        <f>IF(Table1[[#This Row],[Included?]],Table1[[#This Row],[H]],"")</f>
        <v>6.5910000000000011</v>
      </c>
      <c r="Z44" s="11">
        <f>IF(Table1[[#This Row],[Included?]],Table1[[#This Row],[BB]],"")</f>
        <v>2.0390000000000001</v>
      </c>
      <c r="AA44" s="11">
        <f>IF(Table1[[#This Row],[Included?]],Table1[[#This Row],[OB]],"")</f>
        <v>8.8850000000000016</v>
      </c>
      <c r="AB44" s="14">
        <f>IF(Table1[[#This Row],[Included?]], (8*AA$185+Table1[[#This Row],[I OB]])/(8*X$185+Table1[[#This Row],[I PA]]), "")</f>
        <v>0.34600981206017195</v>
      </c>
    </row>
    <row r="45" spans="1:28" hidden="1" x14ac:dyDescent="0.25">
      <c r="A45" s="24" t="b">
        <f>IF('Sim Data'!A45&gt;0, TRUE, FALSE)</f>
        <v>1</v>
      </c>
      <c r="B45">
        <v>44</v>
      </c>
      <c r="C45" s="18" t="s">
        <v>147</v>
      </c>
      <c r="D45" s="18" t="s">
        <v>143</v>
      </c>
      <c r="E45" s="18" t="s">
        <v>21</v>
      </c>
      <c r="F45" s="43" t="s">
        <v>21</v>
      </c>
      <c r="G45" s="19">
        <v>6</v>
      </c>
      <c r="H45" s="18">
        <v>3.2749999999999999</v>
      </c>
      <c r="I45" s="18">
        <v>0.52799999999999991</v>
      </c>
      <c r="J45" s="18">
        <v>2.1390000000000002</v>
      </c>
      <c r="K45" s="18">
        <v>0.75600000000000001</v>
      </c>
      <c r="L45" s="18">
        <v>0.36696321770334933</v>
      </c>
      <c r="M45" s="18">
        <v>26.75</v>
      </c>
      <c r="N45" s="18">
        <v>6.7329999999999997</v>
      </c>
      <c r="O45" s="18">
        <v>2.9759999999999995</v>
      </c>
      <c r="P45" s="10">
        <f>Table1[[#This Row],[OBP]]*Table1[[#This Row],[PA]]</f>
        <v>9.816266073564595</v>
      </c>
      <c r="Q45" s="10">
        <f>(8*P$185+Table1[[#This Row],[OB]])/(8*M$185+Table1[[#This Row],[PA]])</f>
        <v>0.33277626325587767</v>
      </c>
      <c r="R45" s="11">
        <f>IF(Table1[[#This Row],[Included?]],Table1[[#This Row],[g]],"")</f>
        <v>6</v>
      </c>
      <c r="S45" s="11">
        <f>IF(Table1[[#This Row],[Included?]],Table1[[#This Row],[R]],"")</f>
        <v>3.2749999999999999</v>
      </c>
      <c r="T45" s="11">
        <f>IF(Table1[[#This Row],[Included?]],Table1[[#This Row],[HR]],"")</f>
        <v>0.52799999999999991</v>
      </c>
      <c r="U45" s="11">
        <f>IF(Table1[[#This Row],[Included?]],Table1[[#This Row],[RBI]],"")</f>
        <v>2.1390000000000002</v>
      </c>
      <c r="V45" s="11">
        <f>IF(Table1[[#This Row],[Included?]],Table1[[#This Row],[SB]],"")</f>
        <v>0.75600000000000001</v>
      </c>
      <c r="W45" s="11">
        <f>IF(Table1[[#This Row],[Included?]],Table1[[#This Row],[OBP]],"")</f>
        <v>0.36696321770334933</v>
      </c>
      <c r="X45" s="11">
        <f>IF(Table1[[#This Row],[Included?]],Table1[[#This Row],[PA]],"")</f>
        <v>26.75</v>
      </c>
      <c r="Y45" s="11">
        <f>IF(Table1[[#This Row],[Included?]],Table1[[#This Row],[H]],"")</f>
        <v>6.7329999999999997</v>
      </c>
      <c r="Z45" s="11">
        <f>IF(Table1[[#This Row],[Included?]],Table1[[#This Row],[BB]],"")</f>
        <v>2.9759999999999995</v>
      </c>
      <c r="AA45" s="11">
        <f>IF(Table1[[#This Row],[Included?]],Table1[[#This Row],[OB]],"")</f>
        <v>9.816266073564595</v>
      </c>
      <c r="AB45" s="14">
        <f>IF(Table1[[#This Row],[Included?]], (8*AA$185+Table1[[#This Row],[I OB]])/(8*X$185+Table1[[#This Row],[I PA]]), "")</f>
        <v>0.34809706140963736</v>
      </c>
    </row>
    <row r="46" spans="1:28" hidden="1" x14ac:dyDescent="0.25">
      <c r="A46" s="23" t="b">
        <f>IF('Sim Data'!A46&gt;0, TRUE, FALSE)</f>
        <v>1</v>
      </c>
      <c r="B46">
        <v>45</v>
      </c>
      <c r="C46" s="18" t="s">
        <v>77</v>
      </c>
      <c r="D46" s="18" t="s">
        <v>25</v>
      </c>
      <c r="E46" s="18" t="s">
        <v>46</v>
      </c>
      <c r="F46" s="43" t="s">
        <v>46</v>
      </c>
      <c r="G46" s="19">
        <v>6</v>
      </c>
      <c r="H46" s="18">
        <v>3.5749999999999997</v>
      </c>
      <c r="I46" s="18">
        <v>0.83500000000000008</v>
      </c>
      <c r="J46" s="18">
        <v>2.4780000000000002</v>
      </c>
      <c r="K46" s="18">
        <v>0.14099999999999999</v>
      </c>
      <c r="L46" s="18">
        <v>0.32946736956916922</v>
      </c>
      <c r="M46" s="18">
        <v>27.503999999999998</v>
      </c>
      <c r="N46" s="18">
        <v>6.3010000000000002</v>
      </c>
      <c r="O46" s="18">
        <v>2.1829999999999998</v>
      </c>
      <c r="P46" s="10">
        <f>Table1[[#This Row],[OBP]]*Table1[[#This Row],[PA]]</f>
        <v>9.0616705326304299</v>
      </c>
      <c r="Q46" s="10">
        <f>(8*P$185+Table1[[#This Row],[OB]])/(8*M$185+Table1[[#This Row],[PA]])</f>
        <v>0.32825674381609415</v>
      </c>
      <c r="R46" s="11">
        <f>IF(Table1[[#This Row],[Included?]],Table1[[#This Row],[g]],"")</f>
        <v>6</v>
      </c>
      <c r="S46" s="11">
        <f>IF(Table1[[#This Row],[Included?]],Table1[[#This Row],[R]],"")</f>
        <v>3.5749999999999997</v>
      </c>
      <c r="T46" s="11">
        <f>IF(Table1[[#This Row],[Included?]],Table1[[#This Row],[HR]],"")</f>
        <v>0.83500000000000008</v>
      </c>
      <c r="U46" s="11">
        <f>IF(Table1[[#This Row],[Included?]],Table1[[#This Row],[RBI]],"")</f>
        <v>2.4780000000000002</v>
      </c>
      <c r="V46" s="11">
        <f>IF(Table1[[#This Row],[Included?]],Table1[[#This Row],[SB]],"")</f>
        <v>0.14099999999999999</v>
      </c>
      <c r="W46" s="11">
        <f>IF(Table1[[#This Row],[Included?]],Table1[[#This Row],[OBP]],"")</f>
        <v>0.32946736956916922</v>
      </c>
      <c r="X46" s="11">
        <f>IF(Table1[[#This Row],[Included?]],Table1[[#This Row],[PA]],"")</f>
        <v>27.503999999999998</v>
      </c>
      <c r="Y46" s="11">
        <f>IF(Table1[[#This Row],[Included?]],Table1[[#This Row],[H]],"")</f>
        <v>6.3010000000000002</v>
      </c>
      <c r="Z46" s="11">
        <f>IF(Table1[[#This Row],[Included?]],Table1[[#This Row],[BB]],"")</f>
        <v>2.1829999999999998</v>
      </c>
      <c r="AA46" s="11">
        <f>IF(Table1[[#This Row],[Included?]],Table1[[#This Row],[OB]],"")</f>
        <v>9.0616705326304299</v>
      </c>
      <c r="AB46" s="14">
        <f>IF(Table1[[#This Row],[Included?]], (8*AA$185+Table1[[#This Row],[I OB]])/(8*X$185+Table1[[#This Row],[I PA]]), "")</f>
        <v>0.34374270352175434</v>
      </c>
    </row>
    <row r="47" spans="1:28" hidden="1" x14ac:dyDescent="0.25">
      <c r="A47" s="24" t="b">
        <f>IF('Sim Data'!A47&gt;0, TRUE, FALSE)</f>
        <v>1</v>
      </c>
      <c r="B47">
        <v>46</v>
      </c>
      <c r="C47" s="18" t="s">
        <v>52</v>
      </c>
      <c r="D47" s="18" t="s">
        <v>53</v>
      </c>
      <c r="E47" s="18" t="s">
        <v>21</v>
      </c>
      <c r="F47" s="43" t="s">
        <v>21</v>
      </c>
      <c r="G47" s="19">
        <v>6</v>
      </c>
      <c r="H47" s="18">
        <v>2.6970000000000001</v>
      </c>
      <c r="I47" s="18">
        <v>0.98499999999999999</v>
      </c>
      <c r="J47" s="18">
        <v>3.0179999999999998</v>
      </c>
      <c r="K47" s="18">
        <v>0.91400000000000003</v>
      </c>
      <c r="L47" s="18">
        <v>0.33512471283229406</v>
      </c>
      <c r="M47" s="18">
        <v>24.372</v>
      </c>
      <c r="N47" s="18">
        <v>5.5110000000000001</v>
      </c>
      <c r="O47" s="18">
        <v>2.4630000000000001</v>
      </c>
      <c r="P47" s="10">
        <f>Table1[[#This Row],[OBP]]*Table1[[#This Row],[PA]]</f>
        <v>8.1676595011486715</v>
      </c>
      <c r="Q47" s="10">
        <f>(8*P$185+Table1[[#This Row],[OB]])/(8*M$185+Table1[[#This Row],[PA]])</f>
        <v>0.32886804757616905</v>
      </c>
      <c r="R47" s="11">
        <f>IF(Table1[[#This Row],[Included?]],Table1[[#This Row],[g]],"")</f>
        <v>6</v>
      </c>
      <c r="S47" s="11">
        <f>IF(Table1[[#This Row],[Included?]],Table1[[#This Row],[R]],"")</f>
        <v>2.6970000000000001</v>
      </c>
      <c r="T47" s="11">
        <f>IF(Table1[[#This Row],[Included?]],Table1[[#This Row],[HR]],"")</f>
        <v>0.98499999999999999</v>
      </c>
      <c r="U47" s="11">
        <f>IF(Table1[[#This Row],[Included?]],Table1[[#This Row],[RBI]],"")</f>
        <v>3.0179999999999998</v>
      </c>
      <c r="V47" s="11">
        <f>IF(Table1[[#This Row],[Included?]],Table1[[#This Row],[SB]],"")</f>
        <v>0.91400000000000003</v>
      </c>
      <c r="W47" s="11">
        <f>IF(Table1[[#This Row],[Included?]],Table1[[#This Row],[OBP]],"")</f>
        <v>0.33512471283229406</v>
      </c>
      <c r="X47" s="11">
        <f>IF(Table1[[#This Row],[Included?]],Table1[[#This Row],[PA]],"")</f>
        <v>24.372</v>
      </c>
      <c r="Y47" s="11">
        <f>IF(Table1[[#This Row],[Included?]],Table1[[#This Row],[H]],"")</f>
        <v>5.5110000000000001</v>
      </c>
      <c r="Z47" s="11">
        <f>IF(Table1[[#This Row],[Included?]],Table1[[#This Row],[BB]],"")</f>
        <v>2.4630000000000001</v>
      </c>
      <c r="AA47" s="11">
        <f>IF(Table1[[#This Row],[Included?]],Table1[[#This Row],[OB]],"")</f>
        <v>8.1676595011486715</v>
      </c>
      <c r="AB47" s="14">
        <f>IF(Table1[[#This Row],[Included?]], (8*AA$185+Table1[[#This Row],[I OB]])/(8*X$185+Table1[[#This Row],[I PA]]), "")</f>
        <v>0.34453505845479454</v>
      </c>
    </row>
    <row r="48" spans="1:28" hidden="1" x14ac:dyDescent="0.25">
      <c r="A48" s="23" t="b">
        <f>IF('Sim Data'!A48&gt;0, TRUE, FALSE)</f>
        <v>1</v>
      </c>
      <c r="B48">
        <v>47</v>
      </c>
      <c r="C48" s="18" t="s">
        <v>96</v>
      </c>
      <c r="D48" s="18" t="s">
        <v>81</v>
      </c>
      <c r="E48" s="18" t="s">
        <v>21</v>
      </c>
      <c r="F48" s="43" t="s">
        <v>21</v>
      </c>
      <c r="G48" s="19">
        <v>6</v>
      </c>
      <c r="H48" s="18">
        <v>3.6160000000000001</v>
      </c>
      <c r="I48" s="18">
        <v>0.84899999999999998</v>
      </c>
      <c r="J48" s="18">
        <v>2.0169999999999999</v>
      </c>
      <c r="K48" s="18">
        <v>0.26499999999999996</v>
      </c>
      <c r="L48" s="18">
        <v>0.33637122835045929</v>
      </c>
      <c r="M48" s="18">
        <v>27.542999999999999</v>
      </c>
      <c r="N48" s="18">
        <v>5.8409999999999993</v>
      </c>
      <c r="O48" s="18">
        <v>3.2010000000000001</v>
      </c>
      <c r="P48" s="10">
        <f>Table1[[#This Row],[OBP]]*Table1[[#This Row],[PA]]</f>
        <v>9.2646727424566997</v>
      </c>
      <c r="Q48" s="10">
        <f>(8*P$185+Table1[[#This Row],[OB]])/(8*M$185+Table1[[#This Row],[PA]])</f>
        <v>0.32911149793640537</v>
      </c>
      <c r="R48" s="11">
        <f>IF(Table1[[#This Row],[Included?]],Table1[[#This Row],[g]],"")</f>
        <v>6</v>
      </c>
      <c r="S48" s="11">
        <f>IF(Table1[[#This Row],[Included?]],Table1[[#This Row],[R]],"")</f>
        <v>3.6160000000000001</v>
      </c>
      <c r="T48" s="11">
        <f>IF(Table1[[#This Row],[Included?]],Table1[[#This Row],[HR]],"")</f>
        <v>0.84899999999999998</v>
      </c>
      <c r="U48" s="11">
        <f>IF(Table1[[#This Row],[Included?]],Table1[[#This Row],[RBI]],"")</f>
        <v>2.0169999999999999</v>
      </c>
      <c r="V48" s="11">
        <f>IF(Table1[[#This Row],[Included?]],Table1[[#This Row],[SB]],"")</f>
        <v>0.26499999999999996</v>
      </c>
      <c r="W48" s="11">
        <f>IF(Table1[[#This Row],[Included?]],Table1[[#This Row],[OBP]],"")</f>
        <v>0.33637122835045929</v>
      </c>
      <c r="X48" s="11">
        <f>IF(Table1[[#This Row],[Included?]],Table1[[#This Row],[PA]],"")</f>
        <v>27.542999999999999</v>
      </c>
      <c r="Y48" s="11">
        <f>IF(Table1[[#This Row],[Included?]],Table1[[#This Row],[H]],"")</f>
        <v>5.8409999999999993</v>
      </c>
      <c r="Z48" s="11">
        <f>IF(Table1[[#This Row],[Included?]],Table1[[#This Row],[BB]],"")</f>
        <v>3.2010000000000001</v>
      </c>
      <c r="AA48" s="11">
        <f>IF(Table1[[#This Row],[Included?]],Table1[[#This Row],[OB]],"")</f>
        <v>9.2646727424566997</v>
      </c>
      <c r="AB48" s="14">
        <f>IF(Table1[[#This Row],[Included?]], (8*AA$185+Table1[[#This Row],[I OB]])/(8*X$185+Table1[[#This Row],[I PA]]), "")</f>
        <v>0.34455428935759835</v>
      </c>
    </row>
    <row r="49" spans="1:28" hidden="1" x14ac:dyDescent="0.25">
      <c r="A49" s="24" t="b">
        <f>IF('Sim Data'!A49&gt;0, TRUE, FALSE)</f>
        <v>1</v>
      </c>
      <c r="B49">
        <v>48</v>
      </c>
      <c r="C49" s="18" t="s">
        <v>134</v>
      </c>
      <c r="D49" s="18" t="s">
        <v>26</v>
      </c>
      <c r="E49" s="18" t="s">
        <v>21</v>
      </c>
      <c r="F49" s="43" t="s">
        <v>21</v>
      </c>
      <c r="G49" s="19">
        <v>6</v>
      </c>
      <c r="H49" s="18">
        <v>2.6919999999999997</v>
      </c>
      <c r="I49" s="18">
        <v>1.1310000000000002</v>
      </c>
      <c r="J49" s="18">
        <v>3.2290000000000001</v>
      </c>
      <c r="K49" s="18">
        <v>0.158</v>
      </c>
      <c r="L49" s="18">
        <v>0.33315977089758481</v>
      </c>
      <c r="M49" s="18">
        <v>24.965999999999998</v>
      </c>
      <c r="N49" s="18">
        <v>6.63</v>
      </c>
      <c r="O49" s="18">
        <v>1.5629999999999997</v>
      </c>
      <c r="P49" s="10">
        <f>Table1[[#This Row],[OBP]]*Table1[[#This Row],[PA]]</f>
        <v>8.3176668402291014</v>
      </c>
      <c r="Q49" s="10">
        <f>(8*P$185+Table1[[#This Row],[OB]])/(8*M$185+Table1[[#This Row],[PA]])</f>
        <v>0.32866190231842562</v>
      </c>
      <c r="R49" s="11">
        <f>IF(Table1[[#This Row],[Included?]],Table1[[#This Row],[g]],"")</f>
        <v>6</v>
      </c>
      <c r="S49" s="11">
        <f>IF(Table1[[#This Row],[Included?]],Table1[[#This Row],[R]],"")</f>
        <v>2.6919999999999997</v>
      </c>
      <c r="T49" s="11">
        <f>IF(Table1[[#This Row],[Included?]],Table1[[#This Row],[HR]],"")</f>
        <v>1.1310000000000002</v>
      </c>
      <c r="U49" s="11">
        <f>IF(Table1[[#This Row],[Included?]],Table1[[#This Row],[RBI]],"")</f>
        <v>3.2290000000000001</v>
      </c>
      <c r="V49" s="11">
        <f>IF(Table1[[#This Row],[Included?]],Table1[[#This Row],[SB]],"")</f>
        <v>0.158</v>
      </c>
      <c r="W49" s="11">
        <f>IF(Table1[[#This Row],[Included?]],Table1[[#This Row],[OBP]],"")</f>
        <v>0.33315977089758481</v>
      </c>
      <c r="X49" s="11">
        <f>IF(Table1[[#This Row],[Included?]],Table1[[#This Row],[PA]],"")</f>
        <v>24.965999999999998</v>
      </c>
      <c r="Y49" s="11">
        <f>IF(Table1[[#This Row],[Included?]],Table1[[#This Row],[H]],"")</f>
        <v>6.63</v>
      </c>
      <c r="Z49" s="11">
        <f>IF(Table1[[#This Row],[Included?]],Table1[[#This Row],[BB]],"")</f>
        <v>1.5629999999999997</v>
      </c>
      <c r="AA49" s="11">
        <f>IF(Table1[[#This Row],[Included?]],Table1[[#This Row],[OB]],"")</f>
        <v>8.3176668402291014</v>
      </c>
      <c r="AB49" s="14">
        <f>IF(Table1[[#This Row],[Included?]], (8*AA$185+Table1[[#This Row],[I OB]])/(8*X$185+Table1[[#This Row],[I PA]]), "")</f>
        <v>0.34429852948787121</v>
      </c>
    </row>
    <row r="50" spans="1:28" hidden="1" x14ac:dyDescent="0.25">
      <c r="A50" s="23" t="b">
        <f>IF('Sim Data'!A50&gt;0, TRUE, FALSE)</f>
        <v>1</v>
      </c>
      <c r="B50">
        <v>49</v>
      </c>
      <c r="C50" s="18" t="s">
        <v>99</v>
      </c>
      <c r="D50" s="18" t="s">
        <v>61</v>
      </c>
      <c r="E50" s="18" t="s">
        <v>21</v>
      </c>
      <c r="F50" s="43" t="s">
        <v>21</v>
      </c>
      <c r="G50" s="19">
        <v>6</v>
      </c>
      <c r="H50" s="18">
        <v>2.9880000000000004</v>
      </c>
      <c r="I50" s="18">
        <v>0.97399999999999998</v>
      </c>
      <c r="J50" s="18">
        <v>3.4740000000000002</v>
      </c>
      <c r="K50" s="18">
        <v>0.13400000000000001</v>
      </c>
      <c r="L50" s="18">
        <v>0.3191762160429521</v>
      </c>
      <c r="M50" s="18">
        <v>24.962000000000003</v>
      </c>
      <c r="N50" s="18">
        <v>5.8759999999999994</v>
      </c>
      <c r="O50" s="18">
        <v>2.0420000000000003</v>
      </c>
      <c r="P50" s="10">
        <f>Table1[[#This Row],[OBP]]*Table1[[#This Row],[PA]]</f>
        <v>7.9672767048641715</v>
      </c>
      <c r="Q50" s="10">
        <f>(8*P$185+Table1[[#This Row],[OB]])/(8*M$185+Table1[[#This Row],[PA]])</f>
        <v>0.32707475810026582</v>
      </c>
      <c r="R50" s="11">
        <f>IF(Table1[[#This Row],[Included?]],Table1[[#This Row],[g]],"")</f>
        <v>6</v>
      </c>
      <c r="S50" s="11">
        <f>IF(Table1[[#This Row],[Included?]],Table1[[#This Row],[R]],"")</f>
        <v>2.9880000000000004</v>
      </c>
      <c r="T50" s="11">
        <f>IF(Table1[[#This Row],[Included?]],Table1[[#This Row],[HR]],"")</f>
        <v>0.97399999999999998</v>
      </c>
      <c r="U50" s="11">
        <f>IF(Table1[[#This Row],[Included?]],Table1[[#This Row],[RBI]],"")</f>
        <v>3.4740000000000002</v>
      </c>
      <c r="V50" s="11">
        <f>IF(Table1[[#This Row],[Included?]],Table1[[#This Row],[SB]],"")</f>
        <v>0.13400000000000001</v>
      </c>
      <c r="W50" s="11">
        <f>IF(Table1[[#This Row],[Included?]],Table1[[#This Row],[OBP]],"")</f>
        <v>0.3191762160429521</v>
      </c>
      <c r="X50" s="11">
        <f>IF(Table1[[#This Row],[Included?]],Table1[[#This Row],[PA]],"")</f>
        <v>24.962000000000003</v>
      </c>
      <c r="Y50" s="11">
        <f>IF(Table1[[#This Row],[Included?]],Table1[[#This Row],[H]],"")</f>
        <v>5.8759999999999994</v>
      </c>
      <c r="Z50" s="11">
        <f>IF(Table1[[#This Row],[Included?]],Table1[[#This Row],[BB]],"")</f>
        <v>2.0420000000000003</v>
      </c>
      <c r="AA50" s="11">
        <f>IF(Table1[[#This Row],[Included?]],Table1[[#This Row],[OB]],"")</f>
        <v>7.9672767048641715</v>
      </c>
      <c r="AB50" s="14">
        <f>IF(Table1[[#This Row],[Included?]], (8*AA$185+Table1[[#This Row],[I OB]])/(8*X$185+Table1[[#This Row],[I PA]]), "")</f>
        <v>0.34278785412164214</v>
      </c>
    </row>
    <row r="51" spans="1:28" hidden="1" x14ac:dyDescent="0.25">
      <c r="A51" s="24" t="b">
        <f>IF('Sim Data'!A51&gt;0, TRUE, FALSE)</f>
        <v>0</v>
      </c>
      <c r="B51">
        <v>50</v>
      </c>
      <c r="C51" s="18" t="s">
        <v>138</v>
      </c>
      <c r="D51" s="18" t="s">
        <v>61</v>
      </c>
      <c r="E51" s="18" t="s">
        <v>16</v>
      </c>
      <c r="F51" s="43" t="s">
        <v>16</v>
      </c>
      <c r="G51" s="19">
        <v>6</v>
      </c>
      <c r="H51" s="18">
        <v>3.5120000000000005</v>
      </c>
      <c r="I51" s="18">
        <v>1.0170000000000001</v>
      </c>
      <c r="J51" s="18">
        <v>2.5860000000000003</v>
      </c>
      <c r="K51" s="18">
        <v>9.8000000000000004E-2</v>
      </c>
      <c r="L51" s="18">
        <v>0.31143987221419328</v>
      </c>
      <c r="M51" s="18">
        <v>26.293999999999997</v>
      </c>
      <c r="N51" s="18">
        <v>6.7399999999999984</v>
      </c>
      <c r="O51" s="18">
        <v>1.2929999999999999</v>
      </c>
      <c r="P51" s="10">
        <f>Table1[[#This Row],[OBP]]*Table1[[#This Row],[PA]]</f>
        <v>8.1889999999999965</v>
      </c>
      <c r="Q51" s="10">
        <f>(8*P$185+Table1[[#This Row],[OB]])/(8*M$185+Table1[[#This Row],[PA]])</f>
        <v>0.32610788972604987</v>
      </c>
      <c r="R51" s="11" t="str">
        <f>IF(Table1[[#This Row],[Included?]],Table1[[#This Row],[g]],"")</f>
        <v/>
      </c>
      <c r="S51" s="11" t="str">
        <f>IF(Table1[[#This Row],[Included?]],Table1[[#This Row],[R]],"")</f>
        <v/>
      </c>
      <c r="T51" s="11" t="str">
        <f>IF(Table1[[#This Row],[Included?]],Table1[[#This Row],[HR]],"")</f>
        <v/>
      </c>
      <c r="U51" s="11" t="str">
        <f>IF(Table1[[#This Row],[Included?]],Table1[[#This Row],[RBI]],"")</f>
        <v/>
      </c>
      <c r="V51" s="11" t="str">
        <f>IF(Table1[[#This Row],[Included?]],Table1[[#This Row],[SB]],"")</f>
        <v/>
      </c>
      <c r="W51" s="11" t="str">
        <f>IF(Table1[[#This Row],[Included?]],Table1[[#This Row],[OBP]],"")</f>
        <v/>
      </c>
      <c r="X51" s="11" t="str">
        <f>IF(Table1[[#This Row],[Included?]],Table1[[#This Row],[PA]],"")</f>
        <v/>
      </c>
      <c r="Y51" s="11" t="str">
        <f>IF(Table1[[#This Row],[Included?]],Table1[[#This Row],[H]],"")</f>
        <v/>
      </c>
      <c r="Z51" s="11" t="str">
        <f>IF(Table1[[#This Row],[Included?]],Table1[[#This Row],[BB]],"")</f>
        <v/>
      </c>
      <c r="AA51" s="11" t="str">
        <f>IF(Table1[[#This Row],[Included?]],Table1[[#This Row],[OB]],"")</f>
        <v/>
      </c>
      <c r="AB51" s="14" t="str">
        <f>IF(Table1[[#This Row],[Included?]], (8*AA$185+Table1[[#This Row],[I OB]])/(8*X$185+Table1[[#This Row],[I PA]]), "")</f>
        <v/>
      </c>
    </row>
    <row r="52" spans="1:28" hidden="1" x14ac:dyDescent="0.25">
      <c r="A52" s="23" t="b">
        <f>IF('Sim Data'!A52&gt;0, TRUE, FALSE)</f>
        <v>0</v>
      </c>
      <c r="B52">
        <v>51</v>
      </c>
      <c r="C52" s="18" t="s">
        <v>129</v>
      </c>
      <c r="D52" s="18" t="s">
        <v>67</v>
      </c>
      <c r="E52" s="18" t="s">
        <v>19</v>
      </c>
      <c r="F52" s="43" t="s">
        <v>14</v>
      </c>
      <c r="G52" s="19">
        <v>6</v>
      </c>
      <c r="H52" s="18">
        <v>3.2710000000000004</v>
      </c>
      <c r="I52" s="18">
        <v>0.99400000000000011</v>
      </c>
      <c r="J52" s="18">
        <v>2.2989999999999999</v>
      </c>
      <c r="K52" s="18">
        <v>0.39600000000000002</v>
      </c>
      <c r="L52" s="18">
        <v>0.31446330206937617</v>
      </c>
      <c r="M52" s="18">
        <v>26.867000000000001</v>
      </c>
      <c r="N52" s="18">
        <v>5.948999999999999</v>
      </c>
      <c r="O52" s="18">
        <v>2.2850000000000001</v>
      </c>
      <c r="P52" s="10">
        <f>Table1[[#This Row],[OBP]]*Table1[[#This Row],[PA]]</f>
        <v>8.4486855366979299</v>
      </c>
      <c r="Q52" s="10">
        <f>(8*P$185+Table1[[#This Row],[OB]])/(8*M$185+Table1[[#This Row],[PA]])</f>
        <v>0.32643616363402361</v>
      </c>
      <c r="R52" s="11" t="str">
        <f>IF(Table1[[#This Row],[Included?]],Table1[[#This Row],[g]],"")</f>
        <v/>
      </c>
      <c r="S52" s="11" t="str">
        <f>IF(Table1[[#This Row],[Included?]],Table1[[#This Row],[R]],"")</f>
        <v/>
      </c>
      <c r="T52" s="11" t="str">
        <f>IF(Table1[[#This Row],[Included?]],Table1[[#This Row],[HR]],"")</f>
        <v/>
      </c>
      <c r="U52" s="11" t="str">
        <f>IF(Table1[[#This Row],[Included?]],Table1[[#This Row],[RBI]],"")</f>
        <v/>
      </c>
      <c r="V52" s="11" t="str">
        <f>IF(Table1[[#This Row],[Included?]],Table1[[#This Row],[SB]],"")</f>
        <v/>
      </c>
      <c r="W52" s="11" t="str">
        <f>IF(Table1[[#This Row],[Included?]],Table1[[#This Row],[OBP]],"")</f>
        <v/>
      </c>
      <c r="X52" s="11" t="str">
        <f>IF(Table1[[#This Row],[Included?]],Table1[[#This Row],[PA]],"")</f>
        <v/>
      </c>
      <c r="Y52" s="11" t="str">
        <f>IF(Table1[[#This Row],[Included?]],Table1[[#This Row],[H]],"")</f>
        <v/>
      </c>
      <c r="Z52" s="11" t="str">
        <f>IF(Table1[[#This Row],[Included?]],Table1[[#This Row],[BB]],"")</f>
        <v/>
      </c>
      <c r="AA52" s="11" t="str">
        <f>IF(Table1[[#This Row],[Included?]],Table1[[#This Row],[OB]],"")</f>
        <v/>
      </c>
      <c r="AB52" s="14" t="str">
        <f>IF(Table1[[#This Row],[Included?]], (8*AA$185+Table1[[#This Row],[I OB]])/(8*X$185+Table1[[#This Row],[I PA]]), "")</f>
        <v/>
      </c>
    </row>
    <row r="53" spans="1:28" hidden="1" x14ac:dyDescent="0.25">
      <c r="A53" s="24" t="b">
        <f>IF('Sim Data'!A53&gt;0, TRUE, FALSE)</f>
        <v>1</v>
      </c>
      <c r="B53">
        <v>52</v>
      </c>
      <c r="C53" s="18" t="s">
        <v>259</v>
      </c>
      <c r="D53" s="18" t="s">
        <v>94</v>
      </c>
      <c r="E53" s="18" t="s">
        <v>21</v>
      </c>
      <c r="F53" s="43" t="s">
        <v>21</v>
      </c>
      <c r="G53" s="19">
        <v>6</v>
      </c>
      <c r="H53" s="18">
        <v>3.1780000000000004</v>
      </c>
      <c r="I53" s="18">
        <v>0.81400000000000006</v>
      </c>
      <c r="J53" s="18">
        <v>2.6680000000000001</v>
      </c>
      <c r="K53" s="18">
        <v>0.249</v>
      </c>
      <c r="L53" s="18">
        <v>0.32521726101288595</v>
      </c>
      <c r="M53" s="18">
        <v>26.693999999999996</v>
      </c>
      <c r="N53" s="18">
        <v>6.6880000000000006</v>
      </c>
      <c r="O53" s="18">
        <v>1.8860000000000001</v>
      </c>
      <c r="P53" s="10">
        <f>Table1[[#This Row],[OBP]]*Table1[[#This Row],[PA]]</f>
        <v>8.6813495654779764</v>
      </c>
      <c r="Q53" s="10">
        <f>(8*P$185+Table1[[#This Row],[OB]])/(8*M$185+Table1[[#This Row],[PA]])</f>
        <v>0.32774051563352724</v>
      </c>
      <c r="R53" s="11">
        <f>IF(Table1[[#This Row],[Included?]],Table1[[#This Row],[g]],"")</f>
        <v>6</v>
      </c>
      <c r="S53" s="11">
        <f>IF(Table1[[#This Row],[Included?]],Table1[[#This Row],[R]],"")</f>
        <v>3.1780000000000004</v>
      </c>
      <c r="T53" s="11">
        <f>IF(Table1[[#This Row],[Included?]],Table1[[#This Row],[HR]],"")</f>
        <v>0.81400000000000006</v>
      </c>
      <c r="U53" s="11">
        <f>IF(Table1[[#This Row],[Included?]],Table1[[#This Row],[RBI]],"")</f>
        <v>2.6680000000000001</v>
      </c>
      <c r="V53" s="11">
        <f>IF(Table1[[#This Row],[Included?]],Table1[[#This Row],[SB]],"")</f>
        <v>0.249</v>
      </c>
      <c r="W53" s="11">
        <f>IF(Table1[[#This Row],[Included?]],Table1[[#This Row],[OBP]],"")</f>
        <v>0.32521726101288595</v>
      </c>
      <c r="X53" s="11">
        <f>IF(Table1[[#This Row],[Included?]],Table1[[#This Row],[PA]],"")</f>
        <v>26.693999999999996</v>
      </c>
      <c r="Y53" s="11">
        <f>IF(Table1[[#This Row],[Included?]],Table1[[#This Row],[H]],"")</f>
        <v>6.6880000000000006</v>
      </c>
      <c r="Z53" s="11">
        <f>IF(Table1[[#This Row],[Included?]],Table1[[#This Row],[BB]],"")</f>
        <v>1.8860000000000001</v>
      </c>
      <c r="AA53" s="11">
        <f>IF(Table1[[#This Row],[Included?]],Table1[[#This Row],[OB]],"")</f>
        <v>8.6813495654779764</v>
      </c>
      <c r="AB53" s="14">
        <f>IF(Table1[[#This Row],[Included?]], (8*AA$185+Table1[[#This Row],[I OB]])/(8*X$185+Table1[[#This Row],[I PA]]), "")</f>
        <v>0.34330496492877666</v>
      </c>
    </row>
    <row r="54" spans="1:28" hidden="1" x14ac:dyDescent="0.25">
      <c r="A54" s="23" t="b">
        <f>IF('Sim Data'!A54&gt;0, TRUE, FALSE)</f>
        <v>1</v>
      </c>
      <c r="B54">
        <v>53</v>
      </c>
      <c r="C54" s="18" t="s">
        <v>73</v>
      </c>
      <c r="D54" s="18" t="s">
        <v>42</v>
      </c>
      <c r="E54" s="18" t="s">
        <v>21</v>
      </c>
      <c r="F54" s="43" t="s">
        <v>21</v>
      </c>
      <c r="G54" s="19">
        <v>6</v>
      </c>
      <c r="H54" s="18">
        <v>3.9989999999999997</v>
      </c>
      <c r="I54" s="18">
        <v>0.26499999999999996</v>
      </c>
      <c r="J54" s="18">
        <v>2.2070000000000003</v>
      </c>
      <c r="K54" s="18">
        <v>0.47200000000000003</v>
      </c>
      <c r="L54" s="18">
        <v>0.32065852363250136</v>
      </c>
      <c r="M54" s="18">
        <v>28.245000000000001</v>
      </c>
      <c r="N54" s="18">
        <v>7.367</v>
      </c>
      <c r="O54" s="18">
        <v>1.6600000000000001</v>
      </c>
      <c r="P54" s="10">
        <f>Table1[[#This Row],[OBP]]*Table1[[#This Row],[PA]]</f>
        <v>9.0570000000000004</v>
      </c>
      <c r="Q54" s="10">
        <f>(8*P$185+Table1[[#This Row],[OB]])/(8*M$185+Table1[[#This Row],[PA]])</f>
        <v>0.32714615266891189</v>
      </c>
      <c r="R54" s="11">
        <f>IF(Table1[[#This Row],[Included?]],Table1[[#This Row],[g]],"")</f>
        <v>6</v>
      </c>
      <c r="S54" s="11">
        <f>IF(Table1[[#This Row],[Included?]],Table1[[#This Row],[R]],"")</f>
        <v>3.9989999999999997</v>
      </c>
      <c r="T54" s="11">
        <f>IF(Table1[[#This Row],[Included?]],Table1[[#This Row],[HR]],"")</f>
        <v>0.26499999999999996</v>
      </c>
      <c r="U54" s="11">
        <f>IF(Table1[[#This Row],[Included?]],Table1[[#This Row],[RBI]],"")</f>
        <v>2.2070000000000003</v>
      </c>
      <c r="V54" s="11">
        <f>IF(Table1[[#This Row],[Included?]],Table1[[#This Row],[SB]],"")</f>
        <v>0.47200000000000003</v>
      </c>
      <c r="W54" s="11">
        <f>IF(Table1[[#This Row],[Included?]],Table1[[#This Row],[OBP]],"")</f>
        <v>0.32065852363250136</v>
      </c>
      <c r="X54" s="11">
        <f>IF(Table1[[#This Row],[Included?]],Table1[[#This Row],[PA]],"")</f>
        <v>28.245000000000001</v>
      </c>
      <c r="Y54" s="11">
        <f>IF(Table1[[#This Row],[Included?]],Table1[[#This Row],[H]],"")</f>
        <v>7.367</v>
      </c>
      <c r="Z54" s="11">
        <f>IF(Table1[[#This Row],[Included?]],Table1[[#This Row],[BB]],"")</f>
        <v>1.6600000000000001</v>
      </c>
      <c r="AA54" s="11">
        <f>IF(Table1[[#This Row],[Included?]],Table1[[#This Row],[OB]],"")</f>
        <v>9.0570000000000004</v>
      </c>
      <c r="AB54" s="14">
        <f>IF(Table1[[#This Row],[Included?]], (8*AA$185+Table1[[#This Row],[I OB]])/(8*X$185+Table1[[#This Row],[I PA]]), "")</f>
        <v>0.34263571118608271</v>
      </c>
    </row>
    <row r="55" spans="1:28" x14ac:dyDescent="0.25">
      <c r="A55" s="24" t="b">
        <f>IF('Sim Data'!A55&gt;0, TRUE, FALSE)</f>
        <v>1</v>
      </c>
      <c r="B55">
        <v>54</v>
      </c>
      <c r="C55" s="18" t="s">
        <v>105</v>
      </c>
      <c r="D55" s="18" t="s">
        <v>56</v>
      </c>
      <c r="E55" s="18" t="s">
        <v>30</v>
      </c>
      <c r="F55" s="43" t="s">
        <v>30</v>
      </c>
      <c r="G55" s="19">
        <v>7</v>
      </c>
      <c r="H55" s="18">
        <v>3.4740000000000002</v>
      </c>
      <c r="I55" s="18">
        <v>0.17699999999999999</v>
      </c>
      <c r="J55" s="18">
        <v>2.3050000000000002</v>
      </c>
      <c r="K55" s="18">
        <v>0.6399999999999999</v>
      </c>
      <c r="L55" s="18">
        <v>0.31231039437969027</v>
      </c>
      <c r="M55" s="18">
        <v>31.314</v>
      </c>
      <c r="N55" s="18">
        <v>8.3239999999999998</v>
      </c>
      <c r="O55" s="18">
        <v>1.1729999999999998</v>
      </c>
      <c r="P55" s="10">
        <f>Table1[[#This Row],[OBP]]*Table1[[#This Row],[PA]]</f>
        <v>9.7796876896056215</v>
      </c>
      <c r="Q55" s="10">
        <f>(8*P$185+Table1[[#This Row],[OB]])/(8*M$185+Table1[[#This Row],[PA]])</f>
        <v>0.32590295960287302</v>
      </c>
      <c r="R55" s="11">
        <f>IF(Table1[[#This Row],[Included?]],Table1[[#This Row],[g]],"")</f>
        <v>7</v>
      </c>
      <c r="S55" s="11">
        <f>IF(Table1[[#This Row],[Included?]],Table1[[#This Row],[R]],"")</f>
        <v>3.4740000000000002</v>
      </c>
      <c r="T55" s="11">
        <f>IF(Table1[[#This Row],[Included?]],Table1[[#This Row],[HR]],"")</f>
        <v>0.17699999999999999</v>
      </c>
      <c r="U55" s="11">
        <f>IF(Table1[[#This Row],[Included?]],Table1[[#This Row],[RBI]],"")</f>
        <v>2.3050000000000002</v>
      </c>
      <c r="V55" s="11">
        <f>IF(Table1[[#This Row],[Included?]],Table1[[#This Row],[SB]],"")</f>
        <v>0.6399999999999999</v>
      </c>
      <c r="W55" s="11">
        <f>IF(Table1[[#This Row],[Included?]],Table1[[#This Row],[OBP]],"")</f>
        <v>0.31231039437969027</v>
      </c>
      <c r="X55" s="11">
        <f>IF(Table1[[#This Row],[Included?]],Table1[[#This Row],[PA]],"")</f>
        <v>31.314</v>
      </c>
      <c r="Y55" s="11">
        <f>IF(Table1[[#This Row],[Included?]],Table1[[#This Row],[H]],"")</f>
        <v>8.3239999999999998</v>
      </c>
      <c r="Z55" s="11">
        <f>IF(Table1[[#This Row],[Included?]],Table1[[#This Row],[BB]],"")</f>
        <v>1.1729999999999998</v>
      </c>
      <c r="AA55" s="11">
        <f>IF(Table1[[#This Row],[Included?]],Table1[[#This Row],[OB]],"")</f>
        <v>9.7796876896056215</v>
      </c>
      <c r="AB55" s="14">
        <f>IF(Table1[[#This Row],[Included?]], (8*AA$185+Table1[[#This Row],[I OB]])/(8*X$185+Table1[[#This Row],[I PA]]), "")</f>
        <v>0.34125034991056152</v>
      </c>
    </row>
    <row r="56" spans="1:28" hidden="1" x14ac:dyDescent="0.25">
      <c r="A56" s="23" t="b">
        <f>IF('Sim Data'!A56&gt;0, TRUE, FALSE)</f>
        <v>1</v>
      </c>
      <c r="B56">
        <v>55</v>
      </c>
      <c r="C56" s="18" t="s">
        <v>86</v>
      </c>
      <c r="D56" s="18" t="s">
        <v>42</v>
      </c>
      <c r="E56" s="18" t="s">
        <v>19</v>
      </c>
      <c r="F56" s="43" t="s">
        <v>14</v>
      </c>
      <c r="G56" s="19">
        <v>6</v>
      </c>
      <c r="H56" s="18">
        <v>2.6249999999999996</v>
      </c>
      <c r="I56" s="18">
        <v>0.9</v>
      </c>
      <c r="J56" s="18">
        <v>2.9650000000000003</v>
      </c>
      <c r="K56" s="18">
        <v>0.33999999999999997</v>
      </c>
      <c r="L56" s="18">
        <v>0.35168307206221894</v>
      </c>
      <c r="M56" s="18">
        <v>24.69</v>
      </c>
      <c r="N56" s="18">
        <v>6.1649999999999991</v>
      </c>
      <c r="O56" s="18">
        <v>2.2960000000000003</v>
      </c>
      <c r="P56" s="10">
        <f>Table1[[#This Row],[OBP]]*Table1[[#This Row],[PA]]</f>
        <v>8.6830550492161862</v>
      </c>
      <c r="Q56" s="10">
        <f>(8*P$185+Table1[[#This Row],[OB]])/(8*M$185+Table1[[#This Row],[PA]])</f>
        <v>0.33073821847459461</v>
      </c>
      <c r="R56" s="11">
        <f>IF(Table1[[#This Row],[Included?]],Table1[[#This Row],[g]],"")</f>
        <v>6</v>
      </c>
      <c r="S56" s="11">
        <f>IF(Table1[[#This Row],[Included?]],Table1[[#This Row],[R]],"")</f>
        <v>2.6249999999999996</v>
      </c>
      <c r="T56" s="11">
        <f>IF(Table1[[#This Row],[Included?]],Table1[[#This Row],[HR]],"")</f>
        <v>0.9</v>
      </c>
      <c r="U56" s="11">
        <f>IF(Table1[[#This Row],[Included?]],Table1[[#This Row],[RBI]],"")</f>
        <v>2.9650000000000003</v>
      </c>
      <c r="V56" s="11">
        <f>IF(Table1[[#This Row],[Included?]],Table1[[#This Row],[SB]],"")</f>
        <v>0.33999999999999997</v>
      </c>
      <c r="W56" s="11">
        <f>IF(Table1[[#This Row],[Included?]],Table1[[#This Row],[OBP]],"")</f>
        <v>0.35168307206221894</v>
      </c>
      <c r="X56" s="11">
        <f>IF(Table1[[#This Row],[Included?]],Table1[[#This Row],[PA]],"")</f>
        <v>24.69</v>
      </c>
      <c r="Y56" s="11">
        <f>IF(Table1[[#This Row],[Included?]],Table1[[#This Row],[H]],"")</f>
        <v>6.1649999999999991</v>
      </c>
      <c r="Z56" s="11">
        <f>IF(Table1[[#This Row],[Included?]],Table1[[#This Row],[BB]],"")</f>
        <v>2.2960000000000003</v>
      </c>
      <c r="AA56" s="11">
        <f>IF(Table1[[#This Row],[Included?]],Table1[[#This Row],[OB]],"")</f>
        <v>8.6830550492161862</v>
      </c>
      <c r="AB56" s="14">
        <f>IF(Table1[[#This Row],[Included?]], (8*AA$185+Table1[[#This Row],[I OB]])/(8*X$185+Table1[[#This Row],[I PA]]), "")</f>
        <v>0.34629374731301016</v>
      </c>
    </row>
    <row r="57" spans="1:28" hidden="1" x14ac:dyDescent="0.25">
      <c r="A57" s="24" t="b">
        <f>IF('Sim Data'!A57&gt;0, TRUE, FALSE)</f>
        <v>1</v>
      </c>
      <c r="B57">
        <v>56</v>
      </c>
      <c r="C57" s="18" t="s">
        <v>69</v>
      </c>
      <c r="D57" s="18" t="s">
        <v>70</v>
      </c>
      <c r="E57" s="18" t="s">
        <v>16</v>
      </c>
      <c r="F57" s="43" t="s">
        <v>16</v>
      </c>
      <c r="G57" s="19">
        <v>6</v>
      </c>
      <c r="H57" s="18">
        <v>3.0219999999999998</v>
      </c>
      <c r="I57" s="18">
        <v>1.0859999999999999</v>
      </c>
      <c r="J57" s="18">
        <v>3.0830000000000002</v>
      </c>
      <c r="K57" s="18">
        <v>9.1999999999999998E-2</v>
      </c>
      <c r="L57" s="18">
        <v>0.31522433338655592</v>
      </c>
      <c r="M57" s="18">
        <v>25.051000000000002</v>
      </c>
      <c r="N57" s="18">
        <v>6.1760000000000002</v>
      </c>
      <c r="O57" s="18">
        <v>1.5209999999999999</v>
      </c>
      <c r="P57" s="10">
        <f>Table1[[#This Row],[OBP]]*Table1[[#This Row],[PA]]</f>
        <v>7.8966847756666132</v>
      </c>
      <c r="Q57" s="10">
        <f>(8*P$185+Table1[[#This Row],[OB]])/(8*M$185+Table1[[#This Row],[PA]])</f>
        <v>0.32662162750622142</v>
      </c>
      <c r="R57" s="11">
        <f>IF(Table1[[#This Row],[Included?]],Table1[[#This Row],[g]],"")</f>
        <v>6</v>
      </c>
      <c r="S57" s="11">
        <f>IF(Table1[[#This Row],[Included?]],Table1[[#This Row],[R]],"")</f>
        <v>3.0219999999999998</v>
      </c>
      <c r="T57" s="11">
        <f>IF(Table1[[#This Row],[Included?]],Table1[[#This Row],[HR]],"")</f>
        <v>1.0859999999999999</v>
      </c>
      <c r="U57" s="11">
        <f>IF(Table1[[#This Row],[Included?]],Table1[[#This Row],[RBI]],"")</f>
        <v>3.0830000000000002</v>
      </c>
      <c r="V57" s="11">
        <f>IF(Table1[[#This Row],[Included?]],Table1[[#This Row],[SB]],"")</f>
        <v>9.1999999999999998E-2</v>
      </c>
      <c r="W57" s="11">
        <f>IF(Table1[[#This Row],[Included?]],Table1[[#This Row],[OBP]],"")</f>
        <v>0.31522433338655592</v>
      </c>
      <c r="X57" s="11">
        <f>IF(Table1[[#This Row],[Included?]],Table1[[#This Row],[PA]],"")</f>
        <v>25.051000000000002</v>
      </c>
      <c r="Y57" s="11">
        <f>IF(Table1[[#This Row],[Included?]],Table1[[#This Row],[H]],"")</f>
        <v>6.1760000000000002</v>
      </c>
      <c r="Z57" s="11">
        <f>IF(Table1[[#This Row],[Included?]],Table1[[#This Row],[BB]],"")</f>
        <v>1.5209999999999999</v>
      </c>
      <c r="AA57" s="11">
        <f>IF(Table1[[#This Row],[Included?]],Table1[[#This Row],[OB]],"")</f>
        <v>7.8966847756666132</v>
      </c>
      <c r="AB57" s="14">
        <f>IF(Table1[[#This Row],[Included?]], (8*AA$185+Table1[[#This Row],[I OB]])/(8*X$185+Table1[[#This Row],[I PA]]), "")</f>
        <v>0.34235041894055851</v>
      </c>
    </row>
    <row r="58" spans="1:28" hidden="1" x14ac:dyDescent="0.25">
      <c r="A58" s="23" t="b">
        <f>IF('Sim Data'!A58&gt;0, TRUE, FALSE)</f>
        <v>1</v>
      </c>
      <c r="B58">
        <v>57</v>
      </c>
      <c r="C58" s="18" t="s">
        <v>135</v>
      </c>
      <c r="D58" s="18" t="s">
        <v>81</v>
      </c>
      <c r="E58" s="18" t="s">
        <v>114</v>
      </c>
      <c r="F58" s="43" t="s">
        <v>46</v>
      </c>
      <c r="G58" s="19">
        <v>6</v>
      </c>
      <c r="H58" s="18">
        <v>2.9870000000000001</v>
      </c>
      <c r="I58" s="18">
        <v>0.42100000000000004</v>
      </c>
      <c r="J58" s="18">
        <v>3.1460000000000008</v>
      </c>
      <c r="K58" s="18">
        <v>0.17899999999999999</v>
      </c>
      <c r="L58" s="18">
        <v>0.34927658919501292</v>
      </c>
      <c r="M58" s="18">
        <v>25.988</v>
      </c>
      <c r="N58" s="18">
        <v>7.3450000000000006</v>
      </c>
      <c r="O58" s="18">
        <v>1.629</v>
      </c>
      <c r="P58" s="10">
        <f>Table1[[#This Row],[OBP]]*Table1[[#This Row],[PA]]</f>
        <v>9.0769999999999964</v>
      </c>
      <c r="Q58" s="10">
        <f>(8*P$185+Table1[[#This Row],[OB]])/(8*M$185+Table1[[#This Row],[PA]])</f>
        <v>0.33057822391085734</v>
      </c>
      <c r="R58" s="11">
        <f>IF(Table1[[#This Row],[Included?]],Table1[[#This Row],[g]],"")</f>
        <v>6</v>
      </c>
      <c r="S58" s="11">
        <f>IF(Table1[[#This Row],[Included?]],Table1[[#This Row],[R]],"")</f>
        <v>2.9870000000000001</v>
      </c>
      <c r="T58" s="11">
        <f>IF(Table1[[#This Row],[Included?]],Table1[[#This Row],[HR]],"")</f>
        <v>0.42100000000000004</v>
      </c>
      <c r="U58" s="11">
        <f>IF(Table1[[#This Row],[Included?]],Table1[[#This Row],[RBI]],"")</f>
        <v>3.1460000000000008</v>
      </c>
      <c r="V58" s="11">
        <f>IF(Table1[[#This Row],[Included?]],Table1[[#This Row],[SB]],"")</f>
        <v>0.17899999999999999</v>
      </c>
      <c r="W58" s="11">
        <f>IF(Table1[[#This Row],[Included?]],Table1[[#This Row],[OBP]],"")</f>
        <v>0.34927658919501292</v>
      </c>
      <c r="X58" s="11">
        <f>IF(Table1[[#This Row],[Included?]],Table1[[#This Row],[PA]],"")</f>
        <v>25.988</v>
      </c>
      <c r="Y58" s="11">
        <f>IF(Table1[[#This Row],[Included?]],Table1[[#This Row],[H]],"")</f>
        <v>7.3450000000000006</v>
      </c>
      <c r="Z58" s="11">
        <f>IF(Table1[[#This Row],[Included?]],Table1[[#This Row],[BB]],"")</f>
        <v>1.629</v>
      </c>
      <c r="AA58" s="11">
        <f>IF(Table1[[#This Row],[Included?]],Table1[[#This Row],[OB]],"")</f>
        <v>9.0769999999999964</v>
      </c>
      <c r="AB58" s="14">
        <f>IF(Table1[[#This Row],[Included?]], (8*AA$185+Table1[[#This Row],[I OB]])/(8*X$185+Table1[[#This Row],[I PA]]), "")</f>
        <v>0.3460543909597375</v>
      </c>
    </row>
    <row r="59" spans="1:28" hidden="1" x14ac:dyDescent="0.25">
      <c r="A59" s="24" t="b">
        <f>IF('Sim Data'!A59&gt;0, TRUE, FALSE)</f>
        <v>1</v>
      </c>
      <c r="B59">
        <v>58</v>
      </c>
      <c r="C59" s="18" t="s">
        <v>117</v>
      </c>
      <c r="D59" s="18" t="s">
        <v>67</v>
      </c>
      <c r="E59" s="18" t="s">
        <v>46</v>
      </c>
      <c r="F59" s="43" t="s">
        <v>46</v>
      </c>
      <c r="G59" s="19">
        <v>6</v>
      </c>
      <c r="H59" s="18">
        <v>2.843</v>
      </c>
      <c r="I59" s="18">
        <v>0.5079999999999999</v>
      </c>
      <c r="J59" s="18">
        <v>3.1139999999999999</v>
      </c>
      <c r="K59" s="18">
        <v>0.21700000000000003</v>
      </c>
      <c r="L59" s="18">
        <v>0.34497567649741573</v>
      </c>
      <c r="M59" s="18">
        <v>26.312000000000001</v>
      </c>
      <c r="N59" s="18">
        <v>7.0810000000000013</v>
      </c>
      <c r="O59" s="18">
        <v>1.758</v>
      </c>
      <c r="P59" s="10">
        <f>Table1[[#This Row],[OBP]]*Table1[[#This Row],[PA]]</f>
        <v>9.0770000000000035</v>
      </c>
      <c r="Q59" s="10">
        <f>(8*P$185+Table1[[#This Row],[OB]])/(8*M$185+Table1[[#This Row],[PA]])</f>
        <v>0.33009420902975051</v>
      </c>
      <c r="R59" s="11">
        <f>IF(Table1[[#This Row],[Included?]],Table1[[#This Row],[g]],"")</f>
        <v>6</v>
      </c>
      <c r="S59" s="11">
        <f>IF(Table1[[#This Row],[Included?]],Table1[[#This Row],[R]],"")</f>
        <v>2.843</v>
      </c>
      <c r="T59" s="11">
        <f>IF(Table1[[#This Row],[Included?]],Table1[[#This Row],[HR]],"")</f>
        <v>0.5079999999999999</v>
      </c>
      <c r="U59" s="11">
        <f>IF(Table1[[#This Row],[Included?]],Table1[[#This Row],[RBI]],"")</f>
        <v>3.1139999999999999</v>
      </c>
      <c r="V59" s="11">
        <f>IF(Table1[[#This Row],[Included?]],Table1[[#This Row],[SB]],"")</f>
        <v>0.21700000000000003</v>
      </c>
      <c r="W59" s="11">
        <f>IF(Table1[[#This Row],[Included?]],Table1[[#This Row],[OBP]],"")</f>
        <v>0.34497567649741573</v>
      </c>
      <c r="X59" s="11">
        <f>IF(Table1[[#This Row],[Included?]],Table1[[#This Row],[PA]],"")</f>
        <v>26.312000000000001</v>
      </c>
      <c r="Y59" s="11">
        <f>IF(Table1[[#This Row],[Included?]],Table1[[#This Row],[H]],"")</f>
        <v>7.0810000000000013</v>
      </c>
      <c r="Z59" s="11">
        <f>IF(Table1[[#This Row],[Included?]],Table1[[#This Row],[BB]],"")</f>
        <v>1.758</v>
      </c>
      <c r="AA59" s="11">
        <f>IF(Table1[[#This Row],[Included?]],Table1[[#This Row],[OB]],"")</f>
        <v>9.0770000000000035</v>
      </c>
      <c r="AB59" s="14">
        <f>IF(Table1[[#This Row],[Included?]], (8*AA$185+Table1[[#This Row],[I OB]])/(8*X$185+Table1[[#This Row],[I PA]]), "")</f>
        <v>0.34557190060766507</v>
      </c>
    </row>
    <row r="60" spans="1:28" hidden="1" x14ac:dyDescent="0.25">
      <c r="A60" s="23" t="b">
        <f>IF('Sim Data'!A60&gt;0, TRUE, FALSE)</f>
        <v>1</v>
      </c>
      <c r="B60">
        <v>59</v>
      </c>
      <c r="C60" s="18" t="s">
        <v>17</v>
      </c>
      <c r="D60" s="18" t="s">
        <v>18</v>
      </c>
      <c r="E60" s="18" t="s">
        <v>19</v>
      </c>
      <c r="F60" s="43" t="s">
        <v>14</v>
      </c>
      <c r="G60" s="19">
        <v>5</v>
      </c>
      <c r="H60" s="18">
        <v>2.6300000000000003</v>
      </c>
      <c r="I60" s="18">
        <v>0.98799999999999999</v>
      </c>
      <c r="J60" s="18">
        <v>2.9110000000000005</v>
      </c>
      <c r="K60" s="18">
        <v>0.215</v>
      </c>
      <c r="L60" s="18">
        <v>0.38396028782220604</v>
      </c>
      <c r="M60" s="18">
        <v>21.957000000000001</v>
      </c>
      <c r="N60" s="18">
        <v>4.6779999999999999</v>
      </c>
      <c r="O60" s="18">
        <v>3.5330000000000004</v>
      </c>
      <c r="P60" s="10">
        <f>Table1[[#This Row],[OBP]]*Table1[[#This Row],[PA]]</f>
        <v>8.430616039712179</v>
      </c>
      <c r="Q60" s="10">
        <f>(8*P$185+Table1[[#This Row],[OB]])/(8*M$185+Table1[[#This Row],[PA]])</f>
        <v>0.33374128600924829</v>
      </c>
      <c r="R60" s="11">
        <f>IF(Table1[[#This Row],[Included?]],Table1[[#This Row],[g]],"")</f>
        <v>5</v>
      </c>
      <c r="S60" s="11">
        <f>IF(Table1[[#This Row],[Included?]],Table1[[#This Row],[R]],"")</f>
        <v>2.6300000000000003</v>
      </c>
      <c r="T60" s="11">
        <f>IF(Table1[[#This Row],[Included?]],Table1[[#This Row],[HR]],"")</f>
        <v>0.98799999999999999</v>
      </c>
      <c r="U60" s="11">
        <f>IF(Table1[[#This Row],[Included?]],Table1[[#This Row],[RBI]],"")</f>
        <v>2.9110000000000005</v>
      </c>
      <c r="V60" s="11">
        <f>IF(Table1[[#This Row],[Included?]],Table1[[#This Row],[SB]],"")</f>
        <v>0.215</v>
      </c>
      <c r="W60" s="11">
        <f>IF(Table1[[#This Row],[Included?]],Table1[[#This Row],[OBP]],"")</f>
        <v>0.38396028782220604</v>
      </c>
      <c r="X60" s="11">
        <f>IF(Table1[[#This Row],[Included?]],Table1[[#This Row],[PA]],"")</f>
        <v>21.957000000000001</v>
      </c>
      <c r="Y60" s="11">
        <f>IF(Table1[[#This Row],[Included?]],Table1[[#This Row],[H]],"")</f>
        <v>4.6779999999999999</v>
      </c>
      <c r="Z60" s="11">
        <f>IF(Table1[[#This Row],[Included?]],Table1[[#This Row],[BB]],"")</f>
        <v>3.5330000000000004</v>
      </c>
      <c r="AA60" s="11">
        <f>IF(Table1[[#This Row],[Included?]],Table1[[#This Row],[OB]],"")</f>
        <v>8.430616039712179</v>
      </c>
      <c r="AB60" s="14">
        <f>IF(Table1[[#This Row],[Included?]], (8*AA$185+Table1[[#This Row],[I OB]])/(8*X$185+Table1[[#This Row],[I PA]]), "")</f>
        <v>0.34933717919800122</v>
      </c>
    </row>
    <row r="61" spans="1:28" hidden="1" x14ac:dyDescent="0.25">
      <c r="A61" s="24" t="b">
        <f>IF('Sim Data'!A61&gt;0, TRUE, FALSE)</f>
        <v>1</v>
      </c>
      <c r="B61">
        <v>60</v>
      </c>
      <c r="C61" s="18" t="s">
        <v>167</v>
      </c>
      <c r="D61" s="18" t="s">
        <v>128</v>
      </c>
      <c r="E61" s="18" t="s">
        <v>21</v>
      </c>
      <c r="F61" s="43" t="s">
        <v>21</v>
      </c>
      <c r="G61" s="19">
        <v>6</v>
      </c>
      <c r="H61" s="18">
        <v>2.9849999999999994</v>
      </c>
      <c r="I61" s="18">
        <v>0.71799999999999997</v>
      </c>
      <c r="J61" s="18">
        <v>2.4500000000000002</v>
      </c>
      <c r="K61" s="18">
        <v>5.5000000000000007E-2</v>
      </c>
      <c r="L61" s="18">
        <v>0.34624351357449051</v>
      </c>
      <c r="M61" s="18">
        <v>26.594999999999999</v>
      </c>
      <c r="N61" s="18">
        <v>5.6709999999999994</v>
      </c>
      <c r="O61" s="18">
        <v>2.9259999999999997</v>
      </c>
      <c r="P61" s="10">
        <f>Table1[[#This Row],[OBP]]*Table1[[#This Row],[PA]]</f>
        <v>9.2083462435135743</v>
      </c>
      <c r="Q61" s="10">
        <f>(8*P$185+Table1[[#This Row],[OB]])/(8*M$185+Table1[[#This Row],[PA]])</f>
        <v>0.33026539275459188</v>
      </c>
      <c r="R61" s="11">
        <f>IF(Table1[[#This Row],[Included?]],Table1[[#This Row],[g]],"")</f>
        <v>6</v>
      </c>
      <c r="S61" s="11">
        <f>IF(Table1[[#This Row],[Included?]],Table1[[#This Row],[R]],"")</f>
        <v>2.9849999999999994</v>
      </c>
      <c r="T61" s="11">
        <f>IF(Table1[[#This Row],[Included?]],Table1[[#This Row],[HR]],"")</f>
        <v>0.71799999999999997</v>
      </c>
      <c r="U61" s="11">
        <f>IF(Table1[[#This Row],[Included?]],Table1[[#This Row],[RBI]],"")</f>
        <v>2.4500000000000002</v>
      </c>
      <c r="V61" s="11">
        <f>IF(Table1[[#This Row],[Included?]],Table1[[#This Row],[SB]],"")</f>
        <v>5.5000000000000007E-2</v>
      </c>
      <c r="W61" s="11">
        <f>IF(Table1[[#This Row],[Included?]],Table1[[#This Row],[OBP]],"")</f>
        <v>0.34624351357449051</v>
      </c>
      <c r="X61" s="11">
        <f>IF(Table1[[#This Row],[Included?]],Table1[[#This Row],[PA]],"")</f>
        <v>26.594999999999999</v>
      </c>
      <c r="Y61" s="11">
        <f>IF(Table1[[#This Row],[Included?]],Table1[[#This Row],[H]],"")</f>
        <v>5.6709999999999994</v>
      </c>
      <c r="Z61" s="11">
        <f>IF(Table1[[#This Row],[Included?]],Table1[[#This Row],[BB]],"")</f>
        <v>2.9259999999999997</v>
      </c>
      <c r="AA61" s="11">
        <f>IF(Table1[[#This Row],[Included?]],Table1[[#This Row],[OB]],"")</f>
        <v>9.2083462435135743</v>
      </c>
      <c r="AB61" s="14">
        <f>IF(Table1[[#This Row],[Included?]], (8*AA$185+Table1[[#This Row],[I OB]])/(8*X$185+Table1[[#This Row],[I PA]]), "")</f>
        <v>0.34571609732923997</v>
      </c>
    </row>
    <row r="62" spans="1:28" hidden="1" x14ac:dyDescent="0.25">
      <c r="A62" s="23" t="b">
        <f>IF('Sim Data'!A62&gt;0, TRUE, FALSE)</f>
        <v>1</v>
      </c>
      <c r="B62">
        <v>61</v>
      </c>
      <c r="C62" s="18" t="s">
        <v>80</v>
      </c>
      <c r="D62" s="18" t="s">
        <v>81</v>
      </c>
      <c r="E62" s="18" t="s">
        <v>14</v>
      </c>
      <c r="F62" s="43" t="s">
        <v>14</v>
      </c>
      <c r="G62" s="19">
        <v>6</v>
      </c>
      <c r="H62" s="18">
        <v>2.7010000000000001</v>
      </c>
      <c r="I62" s="18">
        <v>0.92</v>
      </c>
      <c r="J62" s="18">
        <v>2.9159999999999995</v>
      </c>
      <c r="K62" s="18">
        <v>0</v>
      </c>
      <c r="L62" s="18">
        <v>0.34445778311324532</v>
      </c>
      <c r="M62" s="18">
        <v>24.983999999999998</v>
      </c>
      <c r="N62" s="18">
        <v>5.4270000000000005</v>
      </c>
      <c r="O62" s="18">
        <v>2.68</v>
      </c>
      <c r="P62" s="10">
        <f>Table1[[#This Row],[OBP]]*Table1[[#This Row],[PA]]</f>
        <v>8.6059332533013198</v>
      </c>
      <c r="Q62" s="10">
        <f>(8*P$185+Table1[[#This Row],[OB]])/(8*M$185+Table1[[#This Row],[PA]])</f>
        <v>0.3299455391146569</v>
      </c>
      <c r="R62" s="11">
        <f>IF(Table1[[#This Row],[Included?]],Table1[[#This Row],[g]],"")</f>
        <v>6</v>
      </c>
      <c r="S62" s="11">
        <f>IF(Table1[[#This Row],[Included?]],Table1[[#This Row],[R]],"")</f>
        <v>2.7010000000000001</v>
      </c>
      <c r="T62" s="11">
        <f>IF(Table1[[#This Row],[Included?]],Table1[[#This Row],[HR]],"")</f>
        <v>0.92</v>
      </c>
      <c r="U62" s="11">
        <f>IF(Table1[[#This Row],[Included?]],Table1[[#This Row],[RBI]],"")</f>
        <v>2.9159999999999995</v>
      </c>
      <c r="V62" s="11">
        <f>IF(Table1[[#This Row],[Included?]],Table1[[#This Row],[SB]],"")</f>
        <v>0</v>
      </c>
      <c r="W62" s="11">
        <f>IF(Table1[[#This Row],[Included?]],Table1[[#This Row],[OBP]],"")</f>
        <v>0.34445778311324532</v>
      </c>
      <c r="X62" s="11">
        <f>IF(Table1[[#This Row],[Included?]],Table1[[#This Row],[PA]],"")</f>
        <v>24.983999999999998</v>
      </c>
      <c r="Y62" s="11">
        <f>IF(Table1[[#This Row],[Included?]],Table1[[#This Row],[H]],"")</f>
        <v>5.4270000000000005</v>
      </c>
      <c r="Z62" s="11">
        <f>IF(Table1[[#This Row],[Included?]],Table1[[#This Row],[BB]],"")</f>
        <v>2.68</v>
      </c>
      <c r="AA62" s="11">
        <f>IF(Table1[[#This Row],[Included?]],Table1[[#This Row],[OB]],"")</f>
        <v>8.6059332533013198</v>
      </c>
      <c r="AB62" s="14">
        <f>IF(Table1[[#This Row],[Included?]], (8*AA$185+Table1[[#This Row],[I OB]])/(8*X$185+Table1[[#This Row],[I PA]]), "")</f>
        <v>0.34551932713237238</v>
      </c>
    </row>
    <row r="63" spans="1:28" hidden="1" x14ac:dyDescent="0.25">
      <c r="A63" s="24" t="b">
        <f>IF('Sim Data'!A63&gt;0, TRUE, FALSE)</f>
        <v>0</v>
      </c>
      <c r="B63">
        <v>62</v>
      </c>
      <c r="C63" s="18" t="s">
        <v>123</v>
      </c>
      <c r="D63" s="18" t="s">
        <v>26</v>
      </c>
      <c r="E63" s="18" t="s">
        <v>21</v>
      </c>
      <c r="F63" s="43" t="s">
        <v>21</v>
      </c>
      <c r="G63" s="19">
        <v>6</v>
      </c>
      <c r="H63" s="18">
        <v>3.052</v>
      </c>
      <c r="I63" s="18">
        <v>0.97900000000000009</v>
      </c>
      <c r="J63" s="18">
        <v>2.6399999999999997</v>
      </c>
      <c r="K63" s="18">
        <v>0.30199999999999999</v>
      </c>
      <c r="L63" s="18">
        <v>0.3033195178523897</v>
      </c>
      <c r="M63" s="18">
        <v>26.301000000000002</v>
      </c>
      <c r="N63" s="18">
        <v>6.6469999999999994</v>
      </c>
      <c r="O63" s="18">
        <v>1.198</v>
      </c>
      <c r="P63" s="10">
        <f>Table1[[#This Row],[OBP]]*Table1[[#This Row],[PA]]</f>
        <v>7.9776066390357023</v>
      </c>
      <c r="Q63" s="10">
        <f>(8*P$185+Table1[[#This Row],[OB]])/(8*M$185+Table1[[#This Row],[PA]])</f>
        <v>0.32514224575776657</v>
      </c>
      <c r="R63" s="11" t="str">
        <f>IF(Table1[[#This Row],[Included?]],Table1[[#This Row],[g]],"")</f>
        <v/>
      </c>
      <c r="S63" s="11" t="str">
        <f>IF(Table1[[#This Row],[Included?]],Table1[[#This Row],[R]],"")</f>
        <v/>
      </c>
      <c r="T63" s="11" t="str">
        <f>IF(Table1[[#This Row],[Included?]],Table1[[#This Row],[HR]],"")</f>
        <v/>
      </c>
      <c r="U63" s="11" t="str">
        <f>IF(Table1[[#This Row],[Included?]],Table1[[#This Row],[RBI]],"")</f>
        <v/>
      </c>
      <c r="V63" s="11" t="str">
        <f>IF(Table1[[#This Row],[Included?]],Table1[[#This Row],[SB]],"")</f>
        <v/>
      </c>
      <c r="W63" s="11" t="str">
        <f>IF(Table1[[#This Row],[Included?]],Table1[[#This Row],[OBP]],"")</f>
        <v/>
      </c>
      <c r="X63" s="11" t="str">
        <f>IF(Table1[[#This Row],[Included?]],Table1[[#This Row],[PA]],"")</f>
        <v/>
      </c>
      <c r="Y63" s="11" t="str">
        <f>IF(Table1[[#This Row],[Included?]],Table1[[#This Row],[H]],"")</f>
        <v/>
      </c>
      <c r="Z63" s="11" t="str">
        <f>IF(Table1[[#This Row],[Included?]],Table1[[#This Row],[BB]],"")</f>
        <v/>
      </c>
      <c r="AA63" s="11" t="str">
        <f>IF(Table1[[#This Row],[Included?]],Table1[[#This Row],[OB]],"")</f>
        <v/>
      </c>
      <c r="AB63" s="14" t="str">
        <f>IF(Table1[[#This Row],[Included?]], (8*AA$185+Table1[[#This Row],[I OB]])/(8*X$185+Table1[[#This Row],[I PA]]), "")</f>
        <v/>
      </c>
    </row>
    <row r="64" spans="1:28" hidden="1" x14ac:dyDescent="0.25">
      <c r="A64" s="23" t="b">
        <f>IF('Sim Data'!A64&gt;0, TRUE, FALSE)</f>
        <v>1</v>
      </c>
      <c r="B64">
        <v>63</v>
      </c>
      <c r="C64" s="18" t="s">
        <v>140</v>
      </c>
      <c r="D64" s="18" t="s">
        <v>67</v>
      </c>
      <c r="E64" s="18" t="s">
        <v>16</v>
      </c>
      <c r="F64" s="43" t="s">
        <v>16</v>
      </c>
      <c r="G64" s="19">
        <v>6</v>
      </c>
      <c r="H64" s="18">
        <v>2.5590000000000002</v>
      </c>
      <c r="I64" s="18">
        <v>0.96800000000000008</v>
      </c>
      <c r="J64" s="18">
        <v>2.867</v>
      </c>
      <c r="K64" s="18">
        <v>0.14899999999999999</v>
      </c>
      <c r="L64" s="18">
        <v>0.33773773773773774</v>
      </c>
      <c r="M64" s="18">
        <v>24.976999999999997</v>
      </c>
      <c r="N64" s="18">
        <v>6.2439999999999998</v>
      </c>
      <c r="O64" s="18">
        <v>1.9169999999999998</v>
      </c>
      <c r="P64" s="10">
        <f>Table1[[#This Row],[OBP]]*Table1[[#This Row],[PA]]</f>
        <v>8.4356754754754739</v>
      </c>
      <c r="Q64" s="10">
        <f>(8*P$185+Table1[[#This Row],[OB]])/(8*M$185+Table1[[#This Row],[PA]])</f>
        <v>0.32918197999703702</v>
      </c>
      <c r="R64" s="11">
        <f>IF(Table1[[#This Row],[Included?]],Table1[[#This Row],[g]],"")</f>
        <v>6</v>
      </c>
      <c r="S64" s="11">
        <f>IF(Table1[[#This Row],[Included?]],Table1[[#This Row],[R]],"")</f>
        <v>2.5590000000000002</v>
      </c>
      <c r="T64" s="11">
        <f>IF(Table1[[#This Row],[Included?]],Table1[[#This Row],[HR]],"")</f>
        <v>0.96800000000000008</v>
      </c>
      <c r="U64" s="11">
        <f>IF(Table1[[#This Row],[Included?]],Table1[[#This Row],[RBI]],"")</f>
        <v>2.867</v>
      </c>
      <c r="V64" s="11">
        <f>IF(Table1[[#This Row],[Included?]],Table1[[#This Row],[SB]],"")</f>
        <v>0.14899999999999999</v>
      </c>
      <c r="W64" s="11">
        <f>IF(Table1[[#This Row],[Included?]],Table1[[#This Row],[OBP]],"")</f>
        <v>0.33773773773773774</v>
      </c>
      <c r="X64" s="11">
        <f>IF(Table1[[#This Row],[Included?]],Table1[[#This Row],[PA]],"")</f>
        <v>24.976999999999997</v>
      </c>
      <c r="Y64" s="11">
        <f>IF(Table1[[#This Row],[Included?]],Table1[[#This Row],[H]],"")</f>
        <v>6.2439999999999998</v>
      </c>
      <c r="Z64" s="11">
        <f>IF(Table1[[#This Row],[Included?]],Table1[[#This Row],[BB]],"")</f>
        <v>1.9169999999999998</v>
      </c>
      <c r="AA64" s="11">
        <f>IF(Table1[[#This Row],[Included?]],Table1[[#This Row],[OB]],"")</f>
        <v>8.4356754754754739</v>
      </c>
      <c r="AB64" s="14">
        <f>IF(Table1[[#This Row],[Included?]], (8*AA$185+Table1[[#This Row],[I OB]])/(8*X$185+Table1[[#This Row],[I PA]]), "")</f>
        <v>0.3447928956247629</v>
      </c>
    </row>
    <row r="65" spans="1:28" hidden="1" x14ac:dyDescent="0.25">
      <c r="A65" s="24" t="b">
        <f>IF('Sim Data'!A65&gt;0, TRUE, FALSE)</f>
        <v>0</v>
      </c>
      <c r="B65">
        <v>64</v>
      </c>
      <c r="C65" s="18" t="s">
        <v>131</v>
      </c>
      <c r="D65" s="18" t="s">
        <v>56</v>
      </c>
      <c r="E65" s="18" t="s">
        <v>14</v>
      </c>
      <c r="F65" s="43" t="s">
        <v>14</v>
      </c>
      <c r="G65" s="19">
        <v>7</v>
      </c>
      <c r="H65" s="18">
        <v>2.6830000000000003</v>
      </c>
      <c r="I65" s="18">
        <v>0.82599999999999996</v>
      </c>
      <c r="J65" s="18">
        <v>2.8479999999999999</v>
      </c>
      <c r="K65" s="18">
        <v>0</v>
      </c>
      <c r="L65" s="18">
        <v>0.31572228919934753</v>
      </c>
      <c r="M65" s="18">
        <v>28.201999999999998</v>
      </c>
      <c r="N65" s="18">
        <v>6.5910000000000002</v>
      </c>
      <c r="O65" s="18">
        <v>2.0859999999999999</v>
      </c>
      <c r="P65" s="10">
        <f>Table1[[#This Row],[OBP]]*Table1[[#This Row],[PA]]</f>
        <v>8.9039999999999981</v>
      </c>
      <c r="Q65" s="10">
        <f>(8*P$185+Table1[[#This Row],[OB]])/(8*M$185+Table1[[#This Row],[PA]])</f>
        <v>0.32652363670778789</v>
      </c>
      <c r="R65" s="11" t="str">
        <f>IF(Table1[[#This Row],[Included?]],Table1[[#This Row],[g]],"")</f>
        <v/>
      </c>
      <c r="S65" s="11" t="str">
        <f>IF(Table1[[#This Row],[Included?]],Table1[[#This Row],[R]],"")</f>
        <v/>
      </c>
      <c r="T65" s="11" t="str">
        <f>IF(Table1[[#This Row],[Included?]],Table1[[#This Row],[HR]],"")</f>
        <v/>
      </c>
      <c r="U65" s="11" t="str">
        <f>IF(Table1[[#This Row],[Included?]],Table1[[#This Row],[RBI]],"")</f>
        <v/>
      </c>
      <c r="V65" s="11" t="str">
        <f>IF(Table1[[#This Row],[Included?]],Table1[[#This Row],[SB]],"")</f>
        <v/>
      </c>
      <c r="W65" s="11" t="str">
        <f>IF(Table1[[#This Row],[Included?]],Table1[[#This Row],[OBP]],"")</f>
        <v/>
      </c>
      <c r="X65" s="11" t="str">
        <f>IF(Table1[[#This Row],[Included?]],Table1[[#This Row],[PA]],"")</f>
        <v/>
      </c>
      <c r="Y65" s="11" t="str">
        <f>IF(Table1[[#This Row],[Included?]],Table1[[#This Row],[H]],"")</f>
        <v/>
      </c>
      <c r="Z65" s="11" t="str">
        <f>IF(Table1[[#This Row],[Included?]],Table1[[#This Row],[BB]],"")</f>
        <v/>
      </c>
      <c r="AA65" s="11" t="str">
        <f>IF(Table1[[#This Row],[Included?]],Table1[[#This Row],[OB]],"")</f>
        <v/>
      </c>
      <c r="AB65" s="14" t="str">
        <f>IF(Table1[[#This Row],[Included?]], (8*AA$185+Table1[[#This Row],[I OB]])/(8*X$185+Table1[[#This Row],[I PA]]), "")</f>
        <v/>
      </c>
    </row>
    <row r="66" spans="1:28" hidden="1" x14ac:dyDescent="0.25">
      <c r="A66" s="23" t="b">
        <f>IF('Sim Data'!A66&gt;0, TRUE, FALSE)</f>
        <v>0</v>
      </c>
      <c r="B66">
        <v>65</v>
      </c>
      <c r="C66" s="18" t="s">
        <v>148</v>
      </c>
      <c r="D66" s="18" t="s">
        <v>23</v>
      </c>
      <c r="E66" s="18" t="s">
        <v>149</v>
      </c>
      <c r="F66" s="43" t="s">
        <v>16</v>
      </c>
      <c r="G66" s="19">
        <v>6</v>
      </c>
      <c r="H66" s="18">
        <v>2.827</v>
      </c>
      <c r="I66" s="18">
        <v>0.54799999999999993</v>
      </c>
      <c r="J66" s="18">
        <v>3.3460000000000001</v>
      </c>
      <c r="K66" s="18">
        <v>0.41600000000000004</v>
      </c>
      <c r="L66" s="18">
        <v>0.31523924406915965</v>
      </c>
      <c r="M66" s="18">
        <v>24.869</v>
      </c>
      <c r="N66" s="18">
        <v>6.6140000000000008</v>
      </c>
      <c r="O66" s="18">
        <v>1.101</v>
      </c>
      <c r="P66" s="10">
        <f>Table1[[#This Row],[OBP]]*Table1[[#This Row],[PA]]</f>
        <v>7.8396847607559312</v>
      </c>
      <c r="Q66" s="10">
        <f>(8*P$185+Table1[[#This Row],[OB]])/(8*M$185+Table1[[#This Row],[PA]])</f>
        <v>0.32663274946096343</v>
      </c>
      <c r="R66" s="11" t="str">
        <f>IF(Table1[[#This Row],[Included?]],Table1[[#This Row],[g]],"")</f>
        <v/>
      </c>
      <c r="S66" s="11" t="str">
        <f>IF(Table1[[#This Row],[Included?]],Table1[[#This Row],[R]],"")</f>
        <v/>
      </c>
      <c r="T66" s="11" t="str">
        <f>IF(Table1[[#This Row],[Included?]],Table1[[#This Row],[HR]],"")</f>
        <v/>
      </c>
      <c r="U66" s="11" t="str">
        <f>IF(Table1[[#This Row],[Included?]],Table1[[#This Row],[RBI]],"")</f>
        <v/>
      </c>
      <c r="V66" s="11" t="str">
        <f>IF(Table1[[#This Row],[Included?]],Table1[[#This Row],[SB]],"")</f>
        <v/>
      </c>
      <c r="W66" s="11" t="str">
        <f>IF(Table1[[#This Row],[Included?]],Table1[[#This Row],[OBP]],"")</f>
        <v/>
      </c>
      <c r="X66" s="11" t="str">
        <f>IF(Table1[[#This Row],[Included?]],Table1[[#This Row],[PA]],"")</f>
        <v/>
      </c>
      <c r="Y66" s="11" t="str">
        <f>IF(Table1[[#This Row],[Included?]],Table1[[#This Row],[H]],"")</f>
        <v/>
      </c>
      <c r="Z66" s="11" t="str">
        <f>IF(Table1[[#This Row],[Included?]],Table1[[#This Row],[BB]],"")</f>
        <v/>
      </c>
      <c r="AA66" s="11" t="str">
        <f>IF(Table1[[#This Row],[Included?]],Table1[[#This Row],[OB]],"")</f>
        <v/>
      </c>
      <c r="AB66" s="14" t="str">
        <f>IF(Table1[[#This Row],[Included?]], (8*AA$185+Table1[[#This Row],[I OB]])/(8*X$185+Table1[[#This Row],[I PA]]), "")</f>
        <v/>
      </c>
    </row>
    <row r="67" spans="1:28" hidden="1" x14ac:dyDescent="0.25">
      <c r="A67" s="24" t="b">
        <f>IF('Sim Data'!A67&gt;0, TRUE, FALSE)</f>
        <v>0</v>
      </c>
      <c r="B67">
        <v>66</v>
      </c>
      <c r="C67" s="18" t="s">
        <v>260</v>
      </c>
      <c r="D67" s="18" t="s">
        <v>61</v>
      </c>
      <c r="E67" s="18" t="s">
        <v>19</v>
      </c>
      <c r="F67" s="43" t="s">
        <v>14</v>
      </c>
      <c r="G67" s="19">
        <v>6</v>
      </c>
      <c r="H67" s="18">
        <v>2.6930000000000001</v>
      </c>
      <c r="I67" s="18">
        <v>0.94100000000000017</v>
      </c>
      <c r="J67" s="18">
        <v>2.9950000000000001</v>
      </c>
      <c r="K67" s="18">
        <v>3.3000000000000002E-2</v>
      </c>
      <c r="L67" s="18">
        <v>0.32558043800428116</v>
      </c>
      <c r="M67" s="18">
        <v>24.296000000000003</v>
      </c>
      <c r="N67" s="18">
        <v>6.1829999999999998</v>
      </c>
      <c r="O67" s="18">
        <v>1.6060000000000001</v>
      </c>
      <c r="P67" s="10">
        <f>Table1[[#This Row],[OBP]]*Table1[[#This Row],[PA]]</f>
        <v>7.9103023217520159</v>
      </c>
      <c r="Q67" s="10">
        <f>(8*P$185+Table1[[#This Row],[OB]])/(8*M$185+Table1[[#This Row],[PA]])</f>
        <v>0.32780835110877299</v>
      </c>
      <c r="R67" s="11" t="str">
        <f>IF(Table1[[#This Row],[Included?]],Table1[[#This Row],[g]],"")</f>
        <v/>
      </c>
      <c r="S67" s="11" t="str">
        <f>IF(Table1[[#This Row],[Included?]],Table1[[#This Row],[R]],"")</f>
        <v/>
      </c>
      <c r="T67" s="11" t="str">
        <f>IF(Table1[[#This Row],[Included?]],Table1[[#This Row],[HR]],"")</f>
        <v/>
      </c>
      <c r="U67" s="11" t="str">
        <f>IF(Table1[[#This Row],[Included?]],Table1[[#This Row],[RBI]],"")</f>
        <v/>
      </c>
      <c r="V67" s="11" t="str">
        <f>IF(Table1[[#This Row],[Included?]],Table1[[#This Row],[SB]],"")</f>
        <v/>
      </c>
      <c r="W67" s="11" t="str">
        <f>IF(Table1[[#This Row],[Included?]],Table1[[#This Row],[OBP]],"")</f>
        <v/>
      </c>
      <c r="X67" s="11" t="str">
        <f>IF(Table1[[#This Row],[Included?]],Table1[[#This Row],[PA]],"")</f>
        <v/>
      </c>
      <c r="Y67" s="11" t="str">
        <f>IF(Table1[[#This Row],[Included?]],Table1[[#This Row],[H]],"")</f>
        <v/>
      </c>
      <c r="Z67" s="11" t="str">
        <f>IF(Table1[[#This Row],[Included?]],Table1[[#This Row],[BB]],"")</f>
        <v/>
      </c>
      <c r="AA67" s="11" t="str">
        <f>IF(Table1[[#This Row],[Included?]],Table1[[#This Row],[OB]],"")</f>
        <v/>
      </c>
      <c r="AB67" s="14" t="str">
        <f>IF(Table1[[#This Row],[Included?]], (8*AA$185+Table1[[#This Row],[I OB]])/(8*X$185+Table1[[#This Row],[I PA]]), "")</f>
        <v/>
      </c>
    </row>
    <row r="68" spans="1:28" hidden="1" x14ac:dyDescent="0.25">
      <c r="A68" s="23" t="b">
        <f>IF('Sim Data'!A68&gt;0, TRUE, FALSE)</f>
        <v>1</v>
      </c>
      <c r="B68">
        <v>67</v>
      </c>
      <c r="C68" s="18" t="s">
        <v>57</v>
      </c>
      <c r="D68" s="18" t="s">
        <v>58</v>
      </c>
      <c r="E68" s="18" t="s">
        <v>21</v>
      </c>
      <c r="F68" s="43" t="s">
        <v>21</v>
      </c>
      <c r="G68" s="19">
        <v>5</v>
      </c>
      <c r="H68" s="18">
        <v>2.5060000000000002</v>
      </c>
      <c r="I68" s="18">
        <v>0.47699999999999998</v>
      </c>
      <c r="J68" s="18">
        <v>2.9510000000000001</v>
      </c>
      <c r="K68" s="18">
        <v>0.70900000000000007</v>
      </c>
      <c r="L68" s="18">
        <v>0.36919774617654966</v>
      </c>
      <c r="M68" s="18">
        <v>22.36</v>
      </c>
      <c r="N68" s="18">
        <v>6.0890000000000004</v>
      </c>
      <c r="O68" s="18">
        <v>2.0110000000000001</v>
      </c>
      <c r="P68" s="10">
        <f>Table1[[#This Row],[OBP]]*Table1[[#This Row],[PA]]</f>
        <v>8.2552616045076501</v>
      </c>
      <c r="Q68" s="10">
        <f>(8*P$185+Table1[[#This Row],[OB]])/(8*M$185+Table1[[#This Row],[PA]])</f>
        <v>0.33231561225621187</v>
      </c>
      <c r="R68" s="11">
        <f>IF(Table1[[#This Row],[Included?]],Table1[[#This Row],[g]],"")</f>
        <v>5</v>
      </c>
      <c r="S68" s="11">
        <f>IF(Table1[[#This Row],[Included?]],Table1[[#This Row],[R]],"")</f>
        <v>2.5060000000000002</v>
      </c>
      <c r="T68" s="11">
        <f>IF(Table1[[#This Row],[Included?]],Table1[[#This Row],[HR]],"")</f>
        <v>0.47699999999999998</v>
      </c>
      <c r="U68" s="11">
        <f>IF(Table1[[#This Row],[Included?]],Table1[[#This Row],[RBI]],"")</f>
        <v>2.9510000000000001</v>
      </c>
      <c r="V68" s="11">
        <f>IF(Table1[[#This Row],[Included?]],Table1[[#This Row],[SB]],"")</f>
        <v>0.70900000000000007</v>
      </c>
      <c r="W68" s="11">
        <f>IF(Table1[[#This Row],[Included?]],Table1[[#This Row],[OBP]],"")</f>
        <v>0.36919774617654966</v>
      </c>
      <c r="X68" s="11">
        <f>IF(Table1[[#This Row],[Included?]],Table1[[#This Row],[PA]],"")</f>
        <v>22.36</v>
      </c>
      <c r="Y68" s="11">
        <f>IF(Table1[[#This Row],[Included?]],Table1[[#This Row],[H]],"")</f>
        <v>6.0890000000000004</v>
      </c>
      <c r="Z68" s="11">
        <f>IF(Table1[[#This Row],[Included?]],Table1[[#This Row],[BB]],"")</f>
        <v>2.0110000000000001</v>
      </c>
      <c r="AA68" s="11">
        <f>IF(Table1[[#This Row],[Included?]],Table1[[#This Row],[OB]],"")</f>
        <v>8.2552616045076501</v>
      </c>
      <c r="AB68" s="14">
        <f>IF(Table1[[#This Row],[Included?]], (8*AA$185+Table1[[#This Row],[I OB]])/(8*X$185+Table1[[#This Row],[I PA]]), "")</f>
        <v>0.34795321645177751</v>
      </c>
    </row>
    <row r="69" spans="1:28" hidden="1" x14ac:dyDescent="0.25">
      <c r="A69" s="24" t="b">
        <f>IF('Sim Data'!A69&gt;0, TRUE, FALSE)</f>
        <v>0</v>
      </c>
      <c r="B69">
        <v>68</v>
      </c>
      <c r="C69" s="18" t="s">
        <v>137</v>
      </c>
      <c r="D69" s="18" t="s">
        <v>67</v>
      </c>
      <c r="E69" s="18" t="s">
        <v>21</v>
      </c>
      <c r="F69" s="43" t="s">
        <v>21</v>
      </c>
      <c r="G69" s="19">
        <v>6</v>
      </c>
      <c r="H69" s="18">
        <v>3.0100000000000002</v>
      </c>
      <c r="I69" s="18">
        <v>0.40300000000000002</v>
      </c>
      <c r="J69" s="18">
        <v>2.36</v>
      </c>
      <c r="K69" s="18">
        <v>1.0150000000000001</v>
      </c>
      <c r="L69" s="18">
        <v>0.30273937057493416</v>
      </c>
      <c r="M69" s="18">
        <v>26.978999999999999</v>
      </c>
      <c r="N69" s="18">
        <v>6.375</v>
      </c>
      <c r="O69" s="18">
        <v>1.657</v>
      </c>
      <c r="P69" s="10">
        <f>Table1[[#This Row],[OBP]]*Table1[[#This Row],[PA]]</f>
        <v>8.1676054787411481</v>
      </c>
      <c r="Q69" s="10">
        <f>(8*P$185+Table1[[#This Row],[OB]])/(8*M$185+Table1[[#This Row],[PA]])</f>
        <v>0.32500506742885305</v>
      </c>
      <c r="R69" s="11" t="str">
        <f>IF(Table1[[#This Row],[Included?]],Table1[[#This Row],[g]],"")</f>
        <v/>
      </c>
      <c r="S69" s="11" t="str">
        <f>IF(Table1[[#This Row],[Included?]],Table1[[#This Row],[R]],"")</f>
        <v/>
      </c>
      <c r="T69" s="11" t="str">
        <f>IF(Table1[[#This Row],[Included?]],Table1[[#This Row],[HR]],"")</f>
        <v/>
      </c>
      <c r="U69" s="11" t="str">
        <f>IF(Table1[[#This Row],[Included?]],Table1[[#This Row],[RBI]],"")</f>
        <v/>
      </c>
      <c r="V69" s="11" t="str">
        <f>IF(Table1[[#This Row],[Included?]],Table1[[#This Row],[SB]],"")</f>
        <v/>
      </c>
      <c r="W69" s="11" t="str">
        <f>IF(Table1[[#This Row],[Included?]],Table1[[#This Row],[OBP]],"")</f>
        <v/>
      </c>
      <c r="X69" s="11" t="str">
        <f>IF(Table1[[#This Row],[Included?]],Table1[[#This Row],[PA]],"")</f>
        <v/>
      </c>
      <c r="Y69" s="11" t="str">
        <f>IF(Table1[[#This Row],[Included?]],Table1[[#This Row],[H]],"")</f>
        <v/>
      </c>
      <c r="Z69" s="11" t="str">
        <f>IF(Table1[[#This Row],[Included?]],Table1[[#This Row],[BB]],"")</f>
        <v/>
      </c>
      <c r="AA69" s="11" t="str">
        <f>IF(Table1[[#This Row],[Included?]],Table1[[#This Row],[OB]],"")</f>
        <v/>
      </c>
      <c r="AB69" s="14" t="str">
        <f>IF(Table1[[#This Row],[Included?]], (8*AA$185+Table1[[#This Row],[I OB]])/(8*X$185+Table1[[#This Row],[I PA]]), "")</f>
        <v/>
      </c>
    </row>
    <row r="70" spans="1:28" hidden="1" x14ac:dyDescent="0.25">
      <c r="A70" s="23" t="b">
        <f>IF('Sim Data'!A70&gt;0, TRUE, FALSE)</f>
        <v>0</v>
      </c>
      <c r="B70">
        <v>69</v>
      </c>
      <c r="C70" s="18" t="s">
        <v>261</v>
      </c>
      <c r="D70" s="18" t="s">
        <v>32</v>
      </c>
      <c r="E70" s="18" t="s">
        <v>21</v>
      </c>
      <c r="F70" s="43" t="s">
        <v>21</v>
      </c>
      <c r="G70" s="19">
        <v>6</v>
      </c>
      <c r="H70" s="18">
        <v>3.4349999999999996</v>
      </c>
      <c r="I70" s="18">
        <v>0.67699999999999994</v>
      </c>
      <c r="J70" s="18">
        <v>1.83</v>
      </c>
      <c r="K70" s="18">
        <v>0.91200000000000003</v>
      </c>
      <c r="L70" s="18">
        <v>0.28864775253381558</v>
      </c>
      <c r="M70" s="18">
        <v>26.542000000000002</v>
      </c>
      <c r="N70" s="18">
        <v>5.6449999999999996</v>
      </c>
      <c r="O70" s="18">
        <v>1.7250000000000001</v>
      </c>
      <c r="P70" s="10">
        <f>Table1[[#This Row],[OBP]]*Table1[[#This Row],[PA]]</f>
        <v>7.6612886477525333</v>
      </c>
      <c r="Q70" s="10">
        <f>(8*P$185+Table1[[#This Row],[OB]])/(8*M$185+Table1[[#This Row],[PA]])</f>
        <v>0.32336056280323</v>
      </c>
      <c r="R70" s="11" t="str">
        <f>IF(Table1[[#This Row],[Included?]],Table1[[#This Row],[g]],"")</f>
        <v/>
      </c>
      <c r="S70" s="11" t="str">
        <f>IF(Table1[[#This Row],[Included?]],Table1[[#This Row],[R]],"")</f>
        <v/>
      </c>
      <c r="T70" s="11" t="str">
        <f>IF(Table1[[#This Row],[Included?]],Table1[[#This Row],[HR]],"")</f>
        <v/>
      </c>
      <c r="U70" s="11" t="str">
        <f>IF(Table1[[#This Row],[Included?]],Table1[[#This Row],[RBI]],"")</f>
        <v/>
      </c>
      <c r="V70" s="11" t="str">
        <f>IF(Table1[[#This Row],[Included?]],Table1[[#This Row],[SB]],"")</f>
        <v/>
      </c>
      <c r="W70" s="11" t="str">
        <f>IF(Table1[[#This Row],[Included?]],Table1[[#This Row],[OBP]],"")</f>
        <v/>
      </c>
      <c r="X70" s="11" t="str">
        <f>IF(Table1[[#This Row],[Included?]],Table1[[#This Row],[PA]],"")</f>
        <v/>
      </c>
      <c r="Y70" s="11" t="str">
        <f>IF(Table1[[#This Row],[Included?]],Table1[[#This Row],[H]],"")</f>
        <v/>
      </c>
      <c r="Z70" s="11" t="str">
        <f>IF(Table1[[#This Row],[Included?]],Table1[[#This Row],[BB]],"")</f>
        <v/>
      </c>
      <c r="AA70" s="11" t="str">
        <f>IF(Table1[[#This Row],[Included?]],Table1[[#This Row],[OB]],"")</f>
        <v/>
      </c>
      <c r="AB70" s="14" t="str">
        <f>IF(Table1[[#This Row],[Included?]], (8*AA$185+Table1[[#This Row],[I OB]])/(8*X$185+Table1[[#This Row],[I PA]]), "")</f>
        <v/>
      </c>
    </row>
    <row r="71" spans="1:28" hidden="1" x14ac:dyDescent="0.25">
      <c r="A71" s="24" t="b">
        <f>IF('Sim Data'!A71&gt;0, TRUE, FALSE)</f>
        <v>1</v>
      </c>
      <c r="B71">
        <v>70</v>
      </c>
      <c r="C71" s="18" t="s">
        <v>262</v>
      </c>
      <c r="D71" s="18" t="s">
        <v>85</v>
      </c>
      <c r="E71" s="18" t="s">
        <v>37</v>
      </c>
      <c r="F71" s="43" t="s">
        <v>37</v>
      </c>
      <c r="G71" s="19">
        <v>6</v>
      </c>
      <c r="H71" s="18">
        <v>2.9059999999999997</v>
      </c>
      <c r="I71" s="18">
        <v>0.55099999999999993</v>
      </c>
      <c r="J71" s="18">
        <v>2.1229999999999998</v>
      </c>
      <c r="K71" s="18">
        <v>0.21800000000000003</v>
      </c>
      <c r="L71" s="18">
        <v>0.37689605290349243</v>
      </c>
      <c r="M71" s="18">
        <v>24.193999999999999</v>
      </c>
      <c r="N71" s="18">
        <v>5.7319999999999993</v>
      </c>
      <c r="O71" s="18">
        <v>3.145</v>
      </c>
      <c r="P71" s="10">
        <f>Table1[[#This Row],[OBP]]*Table1[[#This Row],[PA]]</f>
        <v>9.1186231039470957</v>
      </c>
      <c r="Q71" s="10">
        <f>(8*P$185+Table1[[#This Row],[OB]])/(8*M$185+Table1[[#This Row],[PA]])</f>
        <v>0.33347404218750559</v>
      </c>
      <c r="R71" s="11">
        <f>IF(Table1[[#This Row],[Included?]],Table1[[#This Row],[g]],"")</f>
        <v>6</v>
      </c>
      <c r="S71" s="11">
        <f>IF(Table1[[#This Row],[Included?]],Table1[[#This Row],[R]],"")</f>
        <v>2.9059999999999997</v>
      </c>
      <c r="T71" s="11">
        <f>IF(Table1[[#This Row],[Included?]],Table1[[#This Row],[HR]],"")</f>
        <v>0.55099999999999993</v>
      </c>
      <c r="U71" s="11">
        <f>IF(Table1[[#This Row],[Included?]],Table1[[#This Row],[RBI]],"")</f>
        <v>2.1229999999999998</v>
      </c>
      <c r="V71" s="11">
        <f>IF(Table1[[#This Row],[Included?]],Table1[[#This Row],[SB]],"")</f>
        <v>0.21800000000000003</v>
      </c>
      <c r="W71" s="11">
        <f>IF(Table1[[#This Row],[Included?]],Table1[[#This Row],[OBP]],"")</f>
        <v>0.37689605290349243</v>
      </c>
      <c r="X71" s="11">
        <f>IF(Table1[[#This Row],[Included?]],Table1[[#This Row],[PA]],"")</f>
        <v>24.193999999999999</v>
      </c>
      <c r="Y71" s="11">
        <f>IF(Table1[[#This Row],[Included?]],Table1[[#This Row],[H]],"")</f>
        <v>5.7319999999999993</v>
      </c>
      <c r="Z71" s="11">
        <f>IF(Table1[[#This Row],[Included?]],Table1[[#This Row],[BB]],"")</f>
        <v>3.145</v>
      </c>
      <c r="AA71" s="11">
        <f>IF(Table1[[#This Row],[Included?]],Table1[[#This Row],[OB]],"")</f>
        <v>9.1186231039470957</v>
      </c>
      <c r="AB71" s="14">
        <f>IF(Table1[[#This Row],[Included?]], (8*AA$185+Table1[[#This Row],[I OB]])/(8*X$185+Table1[[#This Row],[I PA]]), "")</f>
        <v>0.3489312947155962</v>
      </c>
    </row>
    <row r="72" spans="1:28" hidden="1" x14ac:dyDescent="0.25">
      <c r="A72" s="23" t="b">
        <f>IF('Sim Data'!A72&gt;0, TRUE, FALSE)</f>
        <v>0</v>
      </c>
      <c r="B72">
        <v>71</v>
      </c>
      <c r="C72" s="18" t="s">
        <v>170</v>
      </c>
      <c r="D72" s="18" t="s">
        <v>25</v>
      </c>
      <c r="E72" s="18" t="s">
        <v>27</v>
      </c>
      <c r="F72" s="43" t="s">
        <v>14</v>
      </c>
      <c r="G72" s="19">
        <v>6</v>
      </c>
      <c r="H72" s="18">
        <v>2.6349999999999998</v>
      </c>
      <c r="I72" s="18">
        <v>1.1589999999999998</v>
      </c>
      <c r="J72" s="18">
        <v>2.6310000000000002</v>
      </c>
      <c r="K72" s="18">
        <v>0.20100000000000001</v>
      </c>
      <c r="L72" s="18">
        <v>0.30465762247896616</v>
      </c>
      <c r="M72" s="18">
        <v>24.838000000000001</v>
      </c>
      <c r="N72" s="18">
        <v>5.1180000000000003</v>
      </c>
      <c r="O72" s="18">
        <v>2.3240000000000003</v>
      </c>
      <c r="P72" s="10">
        <f>Table1[[#This Row],[OBP]]*Table1[[#This Row],[PA]]</f>
        <v>7.5670860271325617</v>
      </c>
      <c r="Q72" s="10">
        <f>(8*P$185+Table1[[#This Row],[OB]])/(8*M$185+Table1[[#This Row],[PA]])</f>
        <v>0.32543868770276374</v>
      </c>
      <c r="R72" s="11" t="str">
        <f>IF(Table1[[#This Row],[Included?]],Table1[[#This Row],[g]],"")</f>
        <v/>
      </c>
      <c r="S72" s="11" t="str">
        <f>IF(Table1[[#This Row],[Included?]],Table1[[#This Row],[R]],"")</f>
        <v/>
      </c>
      <c r="T72" s="11" t="str">
        <f>IF(Table1[[#This Row],[Included?]],Table1[[#This Row],[HR]],"")</f>
        <v/>
      </c>
      <c r="U72" s="11" t="str">
        <f>IF(Table1[[#This Row],[Included?]],Table1[[#This Row],[RBI]],"")</f>
        <v/>
      </c>
      <c r="V72" s="11" t="str">
        <f>IF(Table1[[#This Row],[Included?]],Table1[[#This Row],[SB]],"")</f>
        <v/>
      </c>
      <c r="W72" s="11" t="str">
        <f>IF(Table1[[#This Row],[Included?]],Table1[[#This Row],[OBP]],"")</f>
        <v/>
      </c>
      <c r="X72" s="11" t="str">
        <f>IF(Table1[[#This Row],[Included?]],Table1[[#This Row],[PA]],"")</f>
        <v/>
      </c>
      <c r="Y72" s="11" t="str">
        <f>IF(Table1[[#This Row],[Included?]],Table1[[#This Row],[H]],"")</f>
        <v/>
      </c>
      <c r="Z72" s="11" t="str">
        <f>IF(Table1[[#This Row],[Included?]],Table1[[#This Row],[BB]],"")</f>
        <v/>
      </c>
      <c r="AA72" s="11" t="str">
        <f>IF(Table1[[#This Row],[Included?]],Table1[[#This Row],[OB]],"")</f>
        <v/>
      </c>
      <c r="AB72" s="14" t="str">
        <f>IF(Table1[[#This Row],[Included?]], (8*AA$185+Table1[[#This Row],[I OB]])/(8*X$185+Table1[[#This Row],[I PA]]), "")</f>
        <v/>
      </c>
    </row>
    <row r="73" spans="1:28" hidden="1" x14ac:dyDescent="0.25">
      <c r="A73" s="24" t="b">
        <f>IF('Sim Data'!A73&gt;0, TRUE, FALSE)</f>
        <v>1</v>
      </c>
      <c r="B73">
        <v>72</v>
      </c>
      <c r="C73" s="18" t="s">
        <v>263</v>
      </c>
      <c r="D73" s="18" t="s">
        <v>85</v>
      </c>
      <c r="E73" s="18" t="s">
        <v>14</v>
      </c>
      <c r="F73" s="43" t="s">
        <v>14</v>
      </c>
      <c r="G73" s="19">
        <v>6</v>
      </c>
      <c r="H73" s="18">
        <v>2.4940000000000002</v>
      </c>
      <c r="I73" s="18">
        <v>0.48899999999999999</v>
      </c>
      <c r="J73" s="18">
        <v>2.907</v>
      </c>
      <c r="K73" s="18">
        <v>0.26899999999999996</v>
      </c>
      <c r="L73" s="18">
        <v>0.34282255545142132</v>
      </c>
      <c r="M73" s="18">
        <v>25.606999999999999</v>
      </c>
      <c r="N73" s="18">
        <v>6.8379999999999992</v>
      </c>
      <c r="O73" s="18">
        <v>1.8639999999999999</v>
      </c>
      <c r="P73" s="10">
        <f>Table1[[#This Row],[OBP]]*Table1[[#This Row],[PA]]</f>
        <v>8.7786571774445452</v>
      </c>
      <c r="Q73" s="10">
        <f>(8*P$185+Table1[[#This Row],[OB]])/(8*M$185+Table1[[#This Row],[PA]])</f>
        <v>0.32979669743643164</v>
      </c>
      <c r="R73" s="11">
        <f>IF(Table1[[#This Row],[Included?]],Table1[[#This Row],[g]],"")</f>
        <v>6</v>
      </c>
      <c r="S73" s="11">
        <f>IF(Table1[[#This Row],[Included?]],Table1[[#This Row],[R]],"")</f>
        <v>2.4940000000000002</v>
      </c>
      <c r="T73" s="11">
        <f>IF(Table1[[#This Row],[Included?]],Table1[[#This Row],[HR]],"")</f>
        <v>0.48899999999999999</v>
      </c>
      <c r="U73" s="11">
        <f>IF(Table1[[#This Row],[Included?]],Table1[[#This Row],[RBI]],"")</f>
        <v>2.907</v>
      </c>
      <c r="V73" s="11">
        <f>IF(Table1[[#This Row],[Included?]],Table1[[#This Row],[SB]],"")</f>
        <v>0.26899999999999996</v>
      </c>
      <c r="W73" s="11">
        <f>IF(Table1[[#This Row],[Included?]],Table1[[#This Row],[OBP]],"")</f>
        <v>0.34282255545142132</v>
      </c>
      <c r="X73" s="11">
        <f>IF(Table1[[#This Row],[Included?]],Table1[[#This Row],[PA]],"")</f>
        <v>25.606999999999999</v>
      </c>
      <c r="Y73" s="11">
        <f>IF(Table1[[#This Row],[Included?]],Table1[[#This Row],[H]],"")</f>
        <v>6.8379999999999992</v>
      </c>
      <c r="Z73" s="11">
        <f>IF(Table1[[#This Row],[Included?]],Table1[[#This Row],[BB]],"")</f>
        <v>1.8639999999999999</v>
      </c>
      <c r="AA73" s="11">
        <f>IF(Table1[[#This Row],[Included?]],Table1[[#This Row],[OB]],"")</f>
        <v>8.7786571774445452</v>
      </c>
      <c r="AB73" s="14">
        <f>IF(Table1[[#This Row],[Included?]], (8*AA$185+Table1[[#This Row],[I OB]])/(8*X$185+Table1[[#This Row],[I PA]]), "")</f>
        <v>0.34533573192000444</v>
      </c>
    </row>
    <row r="74" spans="1:28" hidden="1" x14ac:dyDescent="0.25">
      <c r="A74" s="23" t="b">
        <f>IF('Sim Data'!A74&gt;0, TRUE, FALSE)</f>
        <v>0</v>
      </c>
      <c r="B74">
        <v>73</v>
      </c>
      <c r="C74" s="18" t="s">
        <v>104</v>
      </c>
      <c r="D74" s="18" t="s">
        <v>53</v>
      </c>
      <c r="E74" s="18" t="s">
        <v>21</v>
      </c>
      <c r="F74" s="43" t="s">
        <v>21</v>
      </c>
      <c r="G74" s="19">
        <v>6</v>
      </c>
      <c r="H74" s="18">
        <v>2.8910000000000005</v>
      </c>
      <c r="I74" s="18">
        <v>0.77800000000000002</v>
      </c>
      <c r="J74" s="18">
        <v>2.2829999999999999</v>
      </c>
      <c r="K74" s="18">
        <v>0.40700000000000003</v>
      </c>
      <c r="L74" s="18">
        <v>0.31761105007063245</v>
      </c>
      <c r="M74" s="18">
        <v>25.483000000000001</v>
      </c>
      <c r="N74" s="18">
        <v>6.1639999999999988</v>
      </c>
      <c r="O74" s="18">
        <v>1.8019999999999998</v>
      </c>
      <c r="P74" s="10">
        <f>Table1[[#This Row],[OBP]]*Table1[[#This Row],[PA]]</f>
        <v>8.0936823889499276</v>
      </c>
      <c r="Q74" s="10">
        <f>(8*P$185+Table1[[#This Row],[OB]])/(8*M$185+Table1[[#This Row],[PA]])</f>
        <v>0.32687517453631759</v>
      </c>
      <c r="R74" s="11" t="str">
        <f>IF(Table1[[#This Row],[Included?]],Table1[[#This Row],[g]],"")</f>
        <v/>
      </c>
      <c r="S74" s="11" t="str">
        <f>IF(Table1[[#This Row],[Included?]],Table1[[#This Row],[R]],"")</f>
        <v/>
      </c>
      <c r="T74" s="11" t="str">
        <f>IF(Table1[[#This Row],[Included?]],Table1[[#This Row],[HR]],"")</f>
        <v/>
      </c>
      <c r="U74" s="11" t="str">
        <f>IF(Table1[[#This Row],[Included?]],Table1[[#This Row],[RBI]],"")</f>
        <v/>
      </c>
      <c r="V74" s="11" t="str">
        <f>IF(Table1[[#This Row],[Included?]],Table1[[#This Row],[SB]],"")</f>
        <v/>
      </c>
      <c r="W74" s="11" t="str">
        <f>IF(Table1[[#This Row],[Included?]],Table1[[#This Row],[OBP]],"")</f>
        <v/>
      </c>
      <c r="X74" s="11" t="str">
        <f>IF(Table1[[#This Row],[Included?]],Table1[[#This Row],[PA]],"")</f>
        <v/>
      </c>
      <c r="Y74" s="11" t="str">
        <f>IF(Table1[[#This Row],[Included?]],Table1[[#This Row],[H]],"")</f>
        <v/>
      </c>
      <c r="Z74" s="11" t="str">
        <f>IF(Table1[[#This Row],[Included?]],Table1[[#This Row],[BB]],"")</f>
        <v/>
      </c>
      <c r="AA74" s="11" t="str">
        <f>IF(Table1[[#This Row],[Included?]],Table1[[#This Row],[OB]],"")</f>
        <v/>
      </c>
      <c r="AB74" s="14" t="str">
        <f>IF(Table1[[#This Row],[Included?]], (8*AA$185+Table1[[#This Row],[I OB]])/(8*X$185+Table1[[#This Row],[I PA]]), "")</f>
        <v/>
      </c>
    </row>
    <row r="75" spans="1:28" x14ac:dyDescent="0.25">
      <c r="A75" s="24" t="b">
        <f>IF('Sim Data'!A75&gt;0, TRUE, FALSE)</f>
        <v>1</v>
      </c>
      <c r="B75">
        <v>74</v>
      </c>
      <c r="C75" s="18" t="s">
        <v>155</v>
      </c>
      <c r="D75" s="18" t="s">
        <v>25</v>
      </c>
      <c r="E75" s="18" t="s">
        <v>111</v>
      </c>
      <c r="F75" s="43" t="s">
        <v>30</v>
      </c>
      <c r="G75" s="19">
        <v>6</v>
      </c>
      <c r="H75" s="18">
        <v>2.6350000000000002</v>
      </c>
      <c r="I75" s="18">
        <v>0.53</v>
      </c>
      <c r="J75" s="18">
        <v>2.79</v>
      </c>
      <c r="K75" s="18">
        <v>0.54099999999999993</v>
      </c>
      <c r="L75" s="18">
        <v>0.32280963212801</v>
      </c>
      <c r="M75" s="18">
        <v>25.504999999999999</v>
      </c>
      <c r="N75" s="18">
        <v>6.024</v>
      </c>
      <c r="O75" s="18">
        <v>2.081</v>
      </c>
      <c r="P75" s="10">
        <f>Table1[[#This Row],[OBP]]*Table1[[#This Row],[PA]]</f>
        <v>8.2332596674248943</v>
      </c>
      <c r="Q75" s="10">
        <f>(8*P$185+Table1[[#This Row],[OB]])/(8*M$185+Table1[[#This Row],[PA]])</f>
        <v>0.32747561269858866</v>
      </c>
      <c r="R75" s="11">
        <f>IF(Table1[[#This Row],[Included?]],Table1[[#This Row],[g]],"")</f>
        <v>6</v>
      </c>
      <c r="S75" s="11">
        <f>IF(Table1[[#This Row],[Included?]],Table1[[#This Row],[R]],"")</f>
        <v>2.6350000000000002</v>
      </c>
      <c r="T75" s="11">
        <f>IF(Table1[[#This Row],[Included?]],Table1[[#This Row],[HR]],"")</f>
        <v>0.53</v>
      </c>
      <c r="U75" s="11">
        <f>IF(Table1[[#This Row],[Included?]],Table1[[#This Row],[RBI]],"")</f>
        <v>2.79</v>
      </c>
      <c r="V75" s="11">
        <f>IF(Table1[[#This Row],[Included?]],Table1[[#This Row],[SB]],"")</f>
        <v>0.54099999999999993</v>
      </c>
      <c r="W75" s="11">
        <f>IF(Table1[[#This Row],[Included?]],Table1[[#This Row],[OBP]],"")</f>
        <v>0.32280963212801</v>
      </c>
      <c r="X75" s="11">
        <f>IF(Table1[[#This Row],[Included?]],Table1[[#This Row],[PA]],"")</f>
        <v>25.504999999999999</v>
      </c>
      <c r="Y75" s="11">
        <f>IF(Table1[[#This Row],[Included?]],Table1[[#This Row],[H]],"")</f>
        <v>6.024</v>
      </c>
      <c r="Z75" s="11">
        <f>IF(Table1[[#This Row],[Included?]],Table1[[#This Row],[BB]],"")</f>
        <v>2.081</v>
      </c>
      <c r="AA75" s="11">
        <f>IF(Table1[[#This Row],[Included?]],Table1[[#This Row],[OB]],"")</f>
        <v>8.2332596674248943</v>
      </c>
      <c r="AB75" s="14">
        <f>IF(Table1[[#This Row],[Included?]], (8*AA$185+Table1[[#This Row],[I OB]])/(8*X$185+Table1[[#This Row],[I PA]]), "")</f>
        <v>0.34313266457007457</v>
      </c>
    </row>
    <row r="76" spans="1:28" hidden="1" x14ac:dyDescent="0.25">
      <c r="A76" s="23" t="b">
        <f>IF('Sim Data'!A76&gt;0, TRUE, FALSE)</f>
        <v>1</v>
      </c>
      <c r="B76">
        <v>75</v>
      </c>
      <c r="C76" s="18" t="s">
        <v>92</v>
      </c>
      <c r="D76" s="18" t="s">
        <v>70</v>
      </c>
      <c r="E76" s="18" t="s">
        <v>21</v>
      </c>
      <c r="F76" s="43" t="s">
        <v>21</v>
      </c>
      <c r="G76" s="19">
        <v>6</v>
      </c>
      <c r="H76" s="18">
        <v>2.9300000000000006</v>
      </c>
      <c r="I76" s="18">
        <v>5.3999999999999999E-2</v>
      </c>
      <c r="J76" s="18">
        <v>1.6720000000000002</v>
      </c>
      <c r="K76" s="18">
        <v>1.7249999999999999</v>
      </c>
      <c r="L76" s="18">
        <v>0.32739539114614913</v>
      </c>
      <c r="M76" s="18">
        <v>26.382999999999999</v>
      </c>
      <c r="N76" s="18">
        <v>7.5989999999999993</v>
      </c>
      <c r="O76" s="18">
        <v>0.93200000000000005</v>
      </c>
      <c r="P76" s="10">
        <f>Table1[[#This Row],[OBP]]*Table1[[#This Row],[PA]]</f>
        <v>8.6376726046088521</v>
      </c>
      <c r="Q76" s="10">
        <f>(8*P$185+Table1[[#This Row],[OB]])/(8*M$185+Table1[[#This Row],[PA]])</f>
        <v>0.32800366274260712</v>
      </c>
      <c r="R76" s="11">
        <f>IF(Table1[[#This Row],[Included?]],Table1[[#This Row],[g]],"")</f>
        <v>6</v>
      </c>
      <c r="S76" s="11">
        <f>IF(Table1[[#This Row],[Included?]],Table1[[#This Row],[R]],"")</f>
        <v>2.9300000000000006</v>
      </c>
      <c r="T76" s="11">
        <f>IF(Table1[[#This Row],[Included?]],Table1[[#This Row],[HR]],"")</f>
        <v>5.3999999999999999E-2</v>
      </c>
      <c r="U76" s="11">
        <f>IF(Table1[[#This Row],[Included?]],Table1[[#This Row],[RBI]],"")</f>
        <v>1.6720000000000002</v>
      </c>
      <c r="V76" s="11">
        <f>IF(Table1[[#This Row],[Included?]],Table1[[#This Row],[SB]],"")</f>
        <v>1.7249999999999999</v>
      </c>
      <c r="W76" s="11">
        <f>IF(Table1[[#This Row],[Included?]],Table1[[#This Row],[OBP]],"")</f>
        <v>0.32739539114614913</v>
      </c>
      <c r="X76" s="11">
        <f>IF(Table1[[#This Row],[Included?]],Table1[[#This Row],[PA]],"")</f>
        <v>26.382999999999999</v>
      </c>
      <c r="Y76" s="11">
        <f>IF(Table1[[#This Row],[Included?]],Table1[[#This Row],[H]],"")</f>
        <v>7.5989999999999993</v>
      </c>
      <c r="Z76" s="11">
        <f>IF(Table1[[#This Row],[Included?]],Table1[[#This Row],[BB]],"")</f>
        <v>0.93200000000000005</v>
      </c>
      <c r="AA76" s="11">
        <f>IF(Table1[[#This Row],[Included?]],Table1[[#This Row],[OB]],"")</f>
        <v>8.6376726046088521</v>
      </c>
      <c r="AB76" s="14">
        <f>IF(Table1[[#This Row],[Included?]], (8*AA$185+Table1[[#This Row],[I OB]])/(8*X$185+Table1[[#This Row],[I PA]]), "")</f>
        <v>0.34357637952245373</v>
      </c>
    </row>
    <row r="77" spans="1:28" hidden="1" x14ac:dyDescent="0.25">
      <c r="A77" s="24" t="b">
        <f>IF('Sim Data'!A77&gt;0, TRUE, FALSE)</f>
        <v>1</v>
      </c>
      <c r="B77">
        <v>76</v>
      </c>
      <c r="C77" s="18" t="s">
        <v>158</v>
      </c>
      <c r="D77" s="18" t="s">
        <v>107</v>
      </c>
      <c r="E77" s="18" t="s">
        <v>14</v>
      </c>
      <c r="F77" s="43" t="s">
        <v>14</v>
      </c>
      <c r="G77" s="19">
        <v>6</v>
      </c>
      <c r="H77" s="18">
        <v>2.4380000000000002</v>
      </c>
      <c r="I77" s="18">
        <v>0.85499999999999998</v>
      </c>
      <c r="J77" s="18">
        <v>2.6510000000000002</v>
      </c>
      <c r="K77" s="18">
        <v>9.4E-2</v>
      </c>
      <c r="L77" s="18">
        <v>0.3475101605156205</v>
      </c>
      <c r="M77" s="18">
        <v>24.356999999999999</v>
      </c>
      <c r="N77" s="18">
        <v>4.7729999999999997</v>
      </c>
      <c r="O77" s="18">
        <v>3.5699999999999994</v>
      </c>
      <c r="P77" s="10">
        <f>Table1[[#This Row],[OBP]]*Table1[[#This Row],[PA]]</f>
        <v>8.4643049796789676</v>
      </c>
      <c r="Q77" s="10">
        <f>(8*P$185+Table1[[#This Row],[OB]])/(8*M$185+Table1[[#This Row],[PA]])</f>
        <v>0.33024301908367765</v>
      </c>
      <c r="R77" s="11">
        <f>IF(Table1[[#This Row],[Included?]],Table1[[#This Row],[g]],"")</f>
        <v>6</v>
      </c>
      <c r="S77" s="11">
        <f>IF(Table1[[#This Row],[Included?]],Table1[[#This Row],[R]],"")</f>
        <v>2.4380000000000002</v>
      </c>
      <c r="T77" s="11">
        <f>IF(Table1[[#This Row],[Included?]],Table1[[#This Row],[HR]],"")</f>
        <v>0.85499999999999998</v>
      </c>
      <c r="U77" s="11">
        <f>IF(Table1[[#This Row],[Included?]],Table1[[#This Row],[RBI]],"")</f>
        <v>2.6510000000000002</v>
      </c>
      <c r="V77" s="11">
        <f>IF(Table1[[#This Row],[Included?]],Table1[[#This Row],[SB]],"")</f>
        <v>9.4E-2</v>
      </c>
      <c r="W77" s="11">
        <f>IF(Table1[[#This Row],[Included?]],Table1[[#This Row],[OBP]],"")</f>
        <v>0.3475101605156205</v>
      </c>
      <c r="X77" s="11">
        <f>IF(Table1[[#This Row],[Included?]],Table1[[#This Row],[PA]],"")</f>
        <v>24.356999999999999</v>
      </c>
      <c r="Y77" s="11">
        <f>IF(Table1[[#This Row],[Included?]],Table1[[#This Row],[H]],"")</f>
        <v>4.7729999999999997</v>
      </c>
      <c r="Z77" s="11">
        <f>IF(Table1[[#This Row],[Included?]],Table1[[#This Row],[BB]],"")</f>
        <v>3.5699999999999994</v>
      </c>
      <c r="AA77" s="11">
        <f>IF(Table1[[#This Row],[Included?]],Table1[[#This Row],[OB]],"")</f>
        <v>8.4643049796789676</v>
      </c>
      <c r="AB77" s="14">
        <f>IF(Table1[[#This Row],[Included?]], (8*AA$185+Table1[[#This Row],[I OB]])/(8*X$185+Table1[[#This Row],[I PA]]), "")</f>
        <v>0.34584486471401316</v>
      </c>
    </row>
    <row r="78" spans="1:28" hidden="1" x14ac:dyDescent="0.25">
      <c r="A78" s="23" t="b">
        <f>IF('Sim Data'!A78&gt;0, TRUE, FALSE)</f>
        <v>1</v>
      </c>
      <c r="B78">
        <v>77</v>
      </c>
      <c r="C78" s="18" t="s">
        <v>36</v>
      </c>
      <c r="D78" s="18" t="s">
        <v>13</v>
      </c>
      <c r="E78" s="18" t="s">
        <v>37</v>
      </c>
      <c r="F78" s="43" t="s">
        <v>37</v>
      </c>
      <c r="G78" s="19">
        <v>7</v>
      </c>
      <c r="H78" s="18">
        <v>2.6429999999999998</v>
      </c>
      <c r="I78" s="18">
        <v>0.60499999999999998</v>
      </c>
      <c r="J78" s="18">
        <v>2.6010000000000004</v>
      </c>
      <c r="K78" s="18">
        <v>5.6000000000000001E-2</v>
      </c>
      <c r="L78" s="18">
        <v>0.33560366804916109</v>
      </c>
      <c r="M78" s="18">
        <v>26.283000000000001</v>
      </c>
      <c r="N78" s="18">
        <v>5.3019999999999996</v>
      </c>
      <c r="O78" s="18">
        <v>3.1240000000000001</v>
      </c>
      <c r="P78" s="10">
        <f>Table1[[#This Row],[OBP]]*Table1[[#This Row],[PA]]</f>
        <v>8.8206712073361011</v>
      </c>
      <c r="Q78" s="10">
        <f>(8*P$185+Table1[[#This Row],[OB]])/(8*M$185+Table1[[#This Row],[PA]])</f>
        <v>0.32897897963366368</v>
      </c>
      <c r="R78" s="11">
        <f>IF(Table1[[#This Row],[Included?]],Table1[[#This Row],[g]],"")</f>
        <v>7</v>
      </c>
      <c r="S78" s="11">
        <f>IF(Table1[[#This Row],[Included?]],Table1[[#This Row],[R]],"")</f>
        <v>2.6429999999999998</v>
      </c>
      <c r="T78" s="11">
        <f>IF(Table1[[#This Row],[Included?]],Table1[[#This Row],[HR]],"")</f>
        <v>0.60499999999999998</v>
      </c>
      <c r="U78" s="11">
        <f>IF(Table1[[#This Row],[Included?]],Table1[[#This Row],[RBI]],"")</f>
        <v>2.6010000000000004</v>
      </c>
      <c r="V78" s="11">
        <f>IF(Table1[[#This Row],[Included?]],Table1[[#This Row],[SB]],"")</f>
        <v>5.6000000000000001E-2</v>
      </c>
      <c r="W78" s="11">
        <f>IF(Table1[[#This Row],[Included?]],Table1[[#This Row],[OBP]],"")</f>
        <v>0.33560366804916109</v>
      </c>
      <c r="X78" s="11">
        <f>IF(Table1[[#This Row],[Included?]],Table1[[#This Row],[PA]],"")</f>
        <v>26.283000000000001</v>
      </c>
      <c r="Y78" s="11">
        <f>IF(Table1[[#This Row],[Included?]],Table1[[#This Row],[H]],"")</f>
        <v>5.3019999999999996</v>
      </c>
      <c r="Z78" s="11">
        <f>IF(Table1[[#This Row],[Included?]],Table1[[#This Row],[BB]],"")</f>
        <v>3.1240000000000001</v>
      </c>
      <c r="AA78" s="11">
        <f>IF(Table1[[#This Row],[Included?]],Table1[[#This Row],[OB]],"")</f>
        <v>8.8206712073361011</v>
      </c>
      <c r="AB78" s="14">
        <f>IF(Table1[[#This Row],[Included?]], (8*AA$185+Table1[[#This Row],[I OB]])/(8*X$185+Table1[[#This Row],[I PA]]), "")</f>
        <v>0.34451184028162707</v>
      </c>
    </row>
    <row r="79" spans="1:28" hidden="1" x14ac:dyDescent="0.25">
      <c r="A79" s="24" t="b">
        <f>IF('Sim Data'!A79&gt;0, TRUE, FALSE)</f>
        <v>1</v>
      </c>
      <c r="B79">
        <v>78</v>
      </c>
      <c r="C79" s="18" t="s">
        <v>102</v>
      </c>
      <c r="D79" s="18" t="s">
        <v>83</v>
      </c>
      <c r="E79" s="18" t="s">
        <v>46</v>
      </c>
      <c r="F79" s="43" t="s">
        <v>46</v>
      </c>
      <c r="G79" s="19">
        <v>5</v>
      </c>
      <c r="H79" s="18">
        <v>2.6360000000000001</v>
      </c>
      <c r="I79" s="18">
        <v>0.30099999999999999</v>
      </c>
      <c r="J79" s="18">
        <v>1.9380000000000002</v>
      </c>
      <c r="K79" s="18">
        <v>1.6730000000000003</v>
      </c>
      <c r="L79" s="18">
        <v>0.35573865926290804</v>
      </c>
      <c r="M79" s="18">
        <v>22.331</v>
      </c>
      <c r="N79" s="18">
        <v>6.6499999999999995</v>
      </c>
      <c r="O79" s="18">
        <v>1.1839999999999999</v>
      </c>
      <c r="P79" s="10">
        <f>Table1[[#This Row],[OBP]]*Table1[[#This Row],[PA]]</f>
        <v>7.9439999999999991</v>
      </c>
      <c r="Q79" s="10">
        <f>(8*P$185+Table1[[#This Row],[OB]])/(8*M$185+Table1[[#This Row],[PA]])</f>
        <v>0.33092761021113842</v>
      </c>
      <c r="R79" s="11">
        <f>IF(Table1[[#This Row],[Included?]],Table1[[#This Row],[g]],"")</f>
        <v>5</v>
      </c>
      <c r="S79" s="11">
        <f>IF(Table1[[#This Row],[Included?]],Table1[[#This Row],[R]],"")</f>
        <v>2.6360000000000001</v>
      </c>
      <c r="T79" s="11">
        <f>IF(Table1[[#This Row],[Included?]],Table1[[#This Row],[HR]],"")</f>
        <v>0.30099999999999999</v>
      </c>
      <c r="U79" s="11">
        <f>IF(Table1[[#This Row],[Included?]],Table1[[#This Row],[RBI]],"")</f>
        <v>1.9380000000000002</v>
      </c>
      <c r="V79" s="11">
        <f>IF(Table1[[#This Row],[Included?]],Table1[[#This Row],[SB]],"")</f>
        <v>1.6730000000000003</v>
      </c>
      <c r="W79" s="11">
        <f>IF(Table1[[#This Row],[Included?]],Table1[[#This Row],[OBP]],"")</f>
        <v>0.35573865926290804</v>
      </c>
      <c r="X79" s="11">
        <f>IF(Table1[[#This Row],[Included?]],Table1[[#This Row],[PA]],"")</f>
        <v>22.331</v>
      </c>
      <c r="Y79" s="11">
        <f>IF(Table1[[#This Row],[Included?]],Table1[[#This Row],[H]],"")</f>
        <v>6.6499999999999995</v>
      </c>
      <c r="Z79" s="11">
        <f>IF(Table1[[#This Row],[Included?]],Table1[[#This Row],[BB]],"")</f>
        <v>1.1839999999999999</v>
      </c>
      <c r="AA79" s="11">
        <f>IF(Table1[[#This Row],[Included?]],Table1[[#This Row],[OB]],"")</f>
        <v>7.9439999999999991</v>
      </c>
      <c r="AB79" s="14">
        <f>IF(Table1[[#This Row],[Included?]], (8*AA$185+Table1[[#This Row],[I OB]])/(8*X$185+Table1[[#This Row],[I PA]]), "")</f>
        <v>0.34663460492234183</v>
      </c>
    </row>
    <row r="80" spans="1:28" hidden="1" x14ac:dyDescent="0.25">
      <c r="A80" s="23" t="b">
        <f>IF('Sim Data'!A80&gt;0, TRUE, FALSE)</f>
        <v>1</v>
      </c>
      <c r="B80">
        <v>79</v>
      </c>
      <c r="C80" s="18" t="s">
        <v>33</v>
      </c>
      <c r="D80" s="18" t="s">
        <v>34</v>
      </c>
      <c r="E80" s="18" t="s">
        <v>21</v>
      </c>
      <c r="F80" s="43" t="s">
        <v>21</v>
      </c>
      <c r="G80" s="19">
        <v>5</v>
      </c>
      <c r="H80" s="18">
        <v>2.8120000000000003</v>
      </c>
      <c r="I80" s="18">
        <v>0.81300000000000006</v>
      </c>
      <c r="J80" s="18">
        <v>2.7719999999999998</v>
      </c>
      <c r="K80" s="18">
        <v>0.55300000000000005</v>
      </c>
      <c r="L80" s="18">
        <v>0.3318372939008834</v>
      </c>
      <c r="M80" s="18">
        <v>21.167999999999999</v>
      </c>
      <c r="N80" s="18">
        <v>5.2639999999999993</v>
      </c>
      <c r="O80" s="18">
        <v>1.6120000000000001</v>
      </c>
      <c r="P80" s="10">
        <f>Table1[[#This Row],[OBP]]*Table1[[#This Row],[PA]]</f>
        <v>7.0243318372938992</v>
      </c>
      <c r="Q80" s="10">
        <f>(8*P$185+Table1[[#This Row],[OB]])/(8*M$185+Table1[[#This Row],[PA]])</f>
        <v>0.32845335239915008</v>
      </c>
      <c r="R80" s="11">
        <f>IF(Table1[[#This Row],[Included?]],Table1[[#This Row],[g]],"")</f>
        <v>5</v>
      </c>
      <c r="S80" s="11">
        <f>IF(Table1[[#This Row],[Included?]],Table1[[#This Row],[R]],"")</f>
        <v>2.8120000000000003</v>
      </c>
      <c r="T80" s="11">
        <f>IF(Table1[[#This Row],[Included?]],Table1[[#This Row],[HR]],"")</f>
        <v>0.81300000000000006</v>
      </c>
      <c r="U80" s="11">
        <f>IF(Table1[[#This Row],[Included?]],Table1[[#This Row],[RBI]],"")</f>
        <v>2.7719999999999998</v>
      </c>
      <c r="V80" s="11">
        <f>IF(Table1[[#This Row],[Included?]],Table1[[#This Row],[SB]],"")</f>
        <v>0.55300000000000005</v>
      </c>
      <c r="W80" s="11">
        <f>IF(Table1[[#This Row],[Included?]],Table1[[#This Row],[OBP]],"")</f>
        <v>0.3318372939008834</v>
      </c>
      <c r="X80" s="11">
        <f>IF(Table1[[#This Row],[Included?]],Table1[[#This Row],[PA]],"")</f>
        <v>21.167999999999999</v>
      </c>
      <c r="Y80" s="11">
        <f>IF(Table1[[#This Row],[Included?]],Table1[[#This Row],[H]],"")</f>
        <v>5.2639999999999993</v>
      </c>
      <c r="Z80" s="11">
        <f>IF(Table1[[#This Row],[Included?]],Table1[[#This Row],[BB]],"")</f>
        <v>1.6120000000000001</v>
      </c>
      <c r="AA80" s="11">
        <f>IF(Table1[[#This Row],[Included?]],Table1[[#This Row],[OB]],"")</f>
        <v>7.0243318372938992</v>
      </c>
      <c r="AB80" s="14">
        <f>IF(Table1[[#This Row],[Included?]], (8*AA$185+Table1[[#This Row],[I OB]])/(8*X$185+Table1[[#This Row],[I PA]]), "")</f>
        <v>0.34436150694251655</v>
      </c>
    </row>
    <row r="81" spans="1:28" hidden="1" x14ac:dyDescent="0.25">
      <c r="A81" s="24" t="b">
        <f>IF('Sim Data'!A81&gt;0, TRUE, FALSE)</f>
        <v>1</v>
      </c>
      <c r="B81">
        <v>80</v>
      </c>
      <c r="C81" s="18" t="s">
        <v>51</v>
      </c>
      <c r="D81" s="18" t="s">
        <v>13</v>
      </c>
      <c r="E81" s="18" t="s">
        <v>21</v>
      </c>
      <c r="F81" s="43" t="s">
        <v>21</v>
      </c>
      <c r="G81" s="19">
        <v>7</v>
      </c>
      <c r="H81" s="18">
        <v>2.2269999999999999</v>
      </c>
      <c r="I81" s="18">
        <v>0.55499999999999994</v>
      </c>
      <c r="J81" s="18">
        <v>2.5339999999999998</v>
      </c>
      <c r="K81" s="18">
        <v>0.53100000000000003</v>
      </c>
      <c r="L81" s="18">
        <v>0.34676191591521249</v>
      </c>
      <c r="M81" s="18">
        <v>25.616999999999997</v>
      </c>
      <c r="N81" s="18">
        <v>5.8409999999999993</v>
      </c>
      <c r="O81" s="18">
        <v>2.8109999999999999</v>
      </c>
      <c r="P81" s="10">
        <f>Table1[[#This Row],[OBP]]*Table1[[#This Row],[PA]]</f>
        <v>8.8829999999999973</v>
      </c>
      <c r="Q81" s="10">
        <f>(8*P$185+Table1[[#This Row],[OB]])/(8*M$185+Table1[[#This Row],[PA]])</f>
        <v>0.33025475472480936</v>
      </c>
      <c r="R81" s="11">
        <f>IF(Table1[[#This Row],[Included?]],Table1[[#This Row],[g]],"")</f>
        <v>7</v>
      </c>
      <c r="S81" s="11">
        <f>IF(Table1[[#This Row],[Included?]],Table1[[#This Row],[R]],"")</f>
        <v>2.2269999999999999</v>
      </c>
      <c r="T81" s="11">
        <f>IF(Table1[[#This Row],[Included?]],Table1[[#This Row],[HR]],"")</f>
        <v>0.55499999999999994</v>
      </c>
      <c r="U81" s="11">
        <f>IF(Table1[[#This Row],[Included?]],Table1[[#This Row],[RBI]],"")</f>
        <v>2.5339999999999998</v>
      </c>
      <c r="V81" s="11">
        <f>IF(Table1[[#This Row],[Included?]],Table1[[#This Row],[SB]],"")</f>
        <v>0.53100000000000003</v>
      </c>
      <c r="W81" s="11">
        <f>IF(Table1[[#This Row],[Included?]],Table1[[#This Row],[OBP]],"")</f>
        <v>0.34676191591521249</v>
      </c>
      <c r="X81" s="11">
        <f>IF(Table1[[#This Row],[Included?]],Table1[[#This Row],[PA]],"")</f>
        <v>25.616999999999997</v>
      </c>
      <c r="Y81" s="11">
        <f>IF(Table1[[#This Row],[Included?]],Table1[[#This Row],[H]],"")</f>
        <v>5.8409999999999993</v>
      </c>
      <c r="Z81" s="11">
        <f>IF(Table1[[#This Row],[Included?]],Table1[[#This Row],[BB]],"")</f>
        <v>2.8109999999999999</v>
      </c>
      <c r="AA81" s="11">
        <f>IF(Table1[[#This Row],[Included?]],Table1[[#This Row],[OB]],"")</f>
        <v>8.8829999999999973</v>
      </c>
      <c r="AB81" s="14">
        <f>IF(Table1[[#This Row],[Included?]], (8*AA$185+Table1[[#This Row],[I OB]])/(8*X$185+Table1[[#This Row],[I PA]]), "")</f>
        <v>0.34577118954888897</v>
      </c>
    </row>
    <row r="82" spans="1:28" x14ac:dyDescent="0.25">
      <c r="A82" s="23" t="b">
        <f>IF('Sim Data'!A82&gt;0, TRUE, FALSE)</f>
        <v>0</v>
      </c>
      <c r="B82">
        <v>81</v>
      </c>
      <c r="C82" s="18" t="s">
        <v>264</v>
      </c>
      <c r="D82" s="18" t="s">
        <v>90</v>
      </c>
      <c r="E82" s="18" t="s">
        <v>111</v>
      </c>
      <c r="F82" s="43" t="s">
        <v>30</v>
      </c>
      <c r="G82" s="19">
        <v>6</v>
      </c>
      <c r="H82" s="18">
        <v>2.8119999999999998</v>
      </c>
      <c r="I82" s="18">
        <v>0.39800000000000002</v>
      </c>
      <c r="J82" s="18">
        <v>3.1240000000000001</v>
      </c>
      <c r="K82" s="18">
        <v>0.25999999999999995</v>
      </c>
      <c r="L82" s="18">
        <v>0.30526944320047766</v>
      </c>
      <c r="M82" s="18">
        <v>26.797000000000001</v>
      </c>
      <c r="N82" s="18">
        <v>6.6320000000000006</v>
      </c>
      <c r="O82" s="18">
        <v>1.3080000000000001</v>
      </c>
      <c r="P82" s="10">
        <f>Table1[[#This Row],[OBP]]*Table1[[#This Row],[PA]]</f>
        <v>8.1803052694432008</v>
      </c>
      <c r="Q82" s="10">
        <f>(8*P$185+Table1[[#This Row],[OB]])/(8*M$185+Table1[[#This Row],[PA]])</f>
        <v>0.32532904857852085</v>
      </c>
      <c r="R82" s="11" t="str">
        <f>IF(Table1[[#This Row],[Included?]],Table1[[#This Row],[g]],"")</f>
        <v/>
      </c>
      <c r="S82" s="11" t="str">
        <f>IF(Table1[[#This Row],[Included?]],Table1[[#This Row],[R]],"")</f>
        <v/>
      </c>
      <c r="T82" s="11" t="str">
        <f>IF(Table1[[#This Row],[Included?]],Table1[[#This Row],[HR]],"")</f>
        <v/>
      </c>
      <c r="U82" s="11" t="str">
        <f>IF(Table1[[#This Row],[Included?]],Table1[[#This Row],[RBI]],"")</f>
        <v/>
      </c>
      <c r="V82" s="11" t="str">
        <f>IF(Table1[[#This Row],[Included?]],Table1[[#This Row],[SB]],"")</f>
        <v/>
      </c>
      <c r="W82" s="11" t="str">
        <f>IF(Table1[[#This Row],[Included?]],Table1[[#This Row],[OBP]],"")</f>
        <v/>
      </c>
      <c r="X82" s="11" t="str">
        <f>IF(Table1[[#This Row],[Included?]],Table1[[#This Row],[PA]],"")</f>
        <v/>
      </c>
      <c r="Y82" s="11" t="str">
        <f>IF(Table1[[#This Row],[Included?]],Table1[[#This Row],[H]],"")</f>
        <v/>
      </c>
      <c r="Z82" s="11" t="str">
        <f>IF(Table1[[#This Row],[Included?]],Table1[[#This Row],[BB]],"")</f>
        <v/>
      </c>
      <c r="AA82" s="11" t="str">
        <f>IF(Table1[[#This Row],[Included?]],Table1[[#This Row],[OB]],"")</f>
        <v/>
      </c>
      <c r="AB82" s="14" t="str">
        <f>IF(Table1[[#This Row],[Included?]], (8*AA$185+Table1[[#This Row],[I OB]])/(8*X$185+Table1[[#This Row],[I PA]]), "")</f>
        <v/>
      </c>
    </row>
    <row r="83" spans="1:28" hidden="1" x14ac:dyDescent="0.25">
      <c r="A83" s="24" t="b">
        <f>IF('Sim Data'!A83&gt;0, TRUE, FALSE)</f>
        <v>0</v>
      </c>
      <c r="B83">
        <v>82</v>
      </c>
      <c r="C83" s="18" t="s">
        <v>265</v>
      </c>
      <c r="D83" s="18" t="s">
        <v>128</v>
      </c>
      <c r="E83" s="18" t="s">
        <v>14</v>
      </c>
      <c r="F83" s="43" t="s">
        <v>14</v>
      </c>
      <c r="G83" s="19">
        <v>6</v>
      </c>
      <c r="H83" s="18">
        <v>2.6140000000000003</v>
      </c>
      <c r="I83" s="18">
        <v>1.0640000000000001</v>
      </c>
      <c r="J83" s="18">
        <v>2.6189999999999998</v>
      </c>
      <c r="K83" s="18">
        <v>5.2000000000000005E-2</v>
      </c>
      <c r="L83" s="18">
        <v>0.3063526617850782</v>
      </c>
      <c r="M83" s="18">
        <v>25.261999999999997</v>
      </c>
      <c r="N83" s="18">
        <v>5.8249999999999993</v>
      </c>
      <c r="O83" s="18">
        <v>1.7880000000000003</v>
      </c>
      <c r="P83" s="10">
        <f>Table1[[#This Row],[OBP]]*Table1[[#This Row],[PA]]</f>
        <v>7.7390809420146445</v>
      </c>
      <c r="Q83" s="10">
        <f>(8*P$185+Table1[[#This Row],[OB]])/(8*M$185+Table1[[#This Row],[PA]])</f>
        <v>0.3255931056546178</v>
      </c>
      <c r="R83" s="11" t="str">
        <f>IF(Table1[[#This Row],[Included?]],Table1[[#This Row],[g]],"")</f>
        <v/>
      </c>
      <c r="S83" s="11" t="str">
        <f>IF(Table1[[#This Row],[Included?]],Table1[[#This Row],[R]],"")</f>
        <v/>
      </c>
      <c r="T83" s="11" t="str">
        <f>IF(Table1[[#This Row],[Included?]],Table1[[#This Row],[HR]],"")</f>
        <v/>
      </c>
      <c r="U83" s="11" t="str">
        <f>IF(Table1[[#This Row],[Included?]],Table1[[#This Row],[RBI]],"")</f>
        <v/>
      </c>
      <c r="V83" s="11" t="str">
        <f>IF(Table1[[#This Row],[Included?]],Table1[[#This Row],[SB]],"")</f>
        <v/>
      </c>
      <c r="W83" s="11" t="str">
        <f>IF(Table1[[#This Row],[Included?]],Table1[[#This Row],[OBP]],"")</f>
        <v/>
      </c>
      <c r="X83" s="11" t="str">
        <f>IF(Table1[[#This Row],[Included?]],Table1[[#This Row],[PA]],"")</f>
        <v/>
      </c>
      <c r="Y83" s="11" t="str">
        <f>IF(Table1[[#This Row],[Included?]],Table1[[#This Row],[H]],"")</f>
        <v/>
      </c>
      <c r="Z83" s="11" t="str">
        <f>IF(Table1[[#This Row],[Included?]],Table1[[#This Row],[BB]],"")</f>
        <v/>
      </c>
      <c r="AA83" s="11" t="str">
        <f>IF(Table1[[#This Row],[Included?]],Table1[[#This Row],[OB]],"")</f>
        <v/>
      </c>
      <c r="AB83" s="14" t="str">
        <f>IF(Table1[[#This Row],[Included?]], (8*AA$185+Table1[[#This Row],[I OB]])/(8*X$185+Table1[[#This Row],[I PA]]), "")</f>
        <v/>
      </c>
    </row>
    <row r="84" spans="1:28" x14ac:dyDescent="0.25">
      <c r="A84" s="23" t="b">
        <v>0</v>
      </c>
      <c r="B84">
        <v>83</v>
      </c>
      <c r="C84" s="18" t="s">
        <v>266</v>
      </c>
      <c r="D84" s="18" t="s">
        <v>90</v>
      </c>
      <c r="E84" s="18" t="s">
        <v>267</v>
      </c>
      <c r="F84" s="43" t="s">
        <v>30</v>
      </c>
      <c r="G84" s="19">
        <v>6</v>
      </c>
      <c r="H84" s="18">
        <v>2.8940000000000001</v>
      </c>
      <c r="I84" s="18">
        <v>0.19400000000000001</v>
      </c>
      <c r="J84" s="18">
        <v>2.359</v>
      </c>
      <c r="K84" s="18">
        <v>0.51999999999999991</v>
      </c>
      <c r="L84" s="18">
        <v>0.32861200116516159</v>
      </c>
      <c r="M84" s="18">
        <v>27.463999999999999</v>
      </c>
      <c r="N84" s="18">
        <v>6.5379999999999994</v>
      </c>
      <c r="O84" s="18">
        <v>2.3789999999999996</v>
      </c>
      <c r="P84" s="10">
        <f>Table1[[#This Row],[OBP]]*Table1[[#This Row],[PA]]</f>
        <v>9.0249999999999968</v>
      </c>
      <c r="Q84" s="10">
        <f>(8*P$185+Table1[[#This Row],[OB]])/(8*M$185+Table1[[#This Row],[PA]])</f>
        <v>0.32815091699234744</v>
      </c>
      <c r="R84" s="11" t="str">
        <f>IF(Table1[[#This Row],[Included?]],Table1[[#This Row],[g]],"")</f>
        <v/>
      </c>
      <c r="S84" s="11" t="str">
        <f>IF(Table1[[#This Row],[Included?]],Table1[[#This Row],[R]],"")</f>
        <v/>
      </c>
      <c r="T84" s="11" t="str">
        <f>IF(Table1[[#This Row],[Included?]],Table1[[#This Row],[HR]],"")</f>
        <v/>
      </c>
      <c r="U84" s="11" t="str">
        <f>IF(Table1[[#This Row],[Included?]],Table1[[#This Row],[RBI]],"")</f>
        <v/>
      </c>
      <c r="V84" s="11" t="str">
        <f>IF(Table1[[#This Row],[Included?]],Table1[[#This Row],[SB]],"")</f>
        <v/>
      </c>
      <c r="W84" s="11" t="str">
        <f>IF(Table1[[#This Row],[Included?]],Table1[[#This Row],[OBP]],"")</f>
        <v/>
      </c>
      <c r="X84" s="11" t="str">
        <f>IF(Table1[[#This Row],[Included?]],Table1[[#This Row],[PA]],"")</f>
        <v/>
      </c>
      <c r="Y84" s="11" t="str">
        <f>IF(Table1[[#This Row],[Included?]],Table1[[#This Row],[H]],"")</f>
        <v/>
      </c>
      <c r="Z84" s="11" t="str">
        <f>IF(Table1[[#This Row],[Included?]],Table1[[#This Row],[BB]],"")</f>
        <v/>
      </c>
      <c r="AA84" s="11" t="str">
        <f>IF(Table1[[#This Row],[Included?]],Table1[[#This Row],[OB]],"")</f>
        <v/>
      </c>
      <c r="AB84" s="14" t="str">
        <f>IF(Table1[[#This Row],[Included?]], (8*AA$185+Table1[[#This Row],[I OB]])/(8*X$185+Table1[[#This Row],[I PA]]), "")</f>
        <v/>
      </c>
    </row>
    <row r="85" spans="1:28" hidden="1" x14ac:dyDescent="0.25">
      <c r="A85" s="24" t="b">
        <f>IF('Sim Data'!A85&gt;0, TRUE, FALSE)</f>
        <v>1</v>
      </c>
      <c r="B85">
        <v>84</v>
      </c>
      <c r="C85" s="18" t="s">
        <v>62</v>
      </c>
      <c r="D85" s="18" t="s">
        <v>58</v>
      </c>
      <c r="E85" s="18" t="s">
        <v>46</v>
      </c>
      <c r="F85" s="43" t="s">
        <v>46</v>
      </c>
      <c r="G85" s="19">
        <v>5</v>
      </c>
      <c r="H85" s="18">
        <v>2.9159999999999999</v>
      </c>
      <c r="I85" s="18">
        <v>0.43499999999999994</v>
      </c>
      <c r="J85" s="18">
        <v>2.089</v>
      </c>
      <c r="K85" s="18">
        <v>0.64300000000000002</v>
      </c>
      <c r="L85" s="18">
        <v>0.35584050438783343</v>
      </c>
      <c r="M85" s="18">
        <v>23.472000000000001</v>
      </c>
      <c r="N85" s="18">
        <v>5.8850000000000007</v>
      </c>
      <c r="O85" s="18">
        <v>2.2799999999999998</v>
      </c>
      <c r="P85" s="10">
        <f>Table1[[#This Row],[OBP]]*Table1[[#This Row],[PA]]</f>
        <v>8.352288318991226</v>
      </c>
      <c r="Q85" s="10">
        <f>(8*P$185+Table1[[#This Row],[OB]])/(8*M$185+Table1[[#This Row],[PA]])</f>
        <v>0.3310681458271259</v>
      </c>
      <c r="R85" s="11">
        <f>IF(Table1[[#This Row],[Included?]],Table1[[#This Row],[g]],"")</f>
        <v>5</v>
      </c>
      <c r="S85" s="11">
        <f>IF(Table1[[#This Row],[Included?]],Table1[[#This Row],[R]],"")</f>
        <v>2.9159999999999999</v>
      </c>
      <c r="T85" s="11">
        <f>IF(Table1[[#This Row],[Included?]],Table1[[#This Row],[HR]],"")</f>
        <v>0.43499999999999994</v>
      </c>
      <c r="U85" s="11">
        <f>IF(Table1[[#This Row],[Included?]],Table1[[#This Row],[RBI]],"")</f>
        <v>2.089</v>
      </c>
      <c r="V85" s="11">
        <f>IF(Table1[[#This Row],[Included?]],Table1[[#This Row],[SB]],"")</f>
        <v>0.64300000000000002</v>
      </c>
      <c r="W85" s="11">
        <f>IF(Table1[[#This Row],[Included?]],Table1[[#This Row],[OBP]],"")</f>
        <v>0.35584050438783343</v>
      </c>
      <c r="X85" s="11">
        <f>IF(Table1[[#This Row],[Included?]],Table1[[#This Row],[PA]],"")</f>
        <v>23.472000000000001</v>
      </c>
      <c r="Y85" s="11">
        <f>IF(Table1[[#This Row],[Included?]],Table1[[#This Row],[H]],"")</f>
        <v>5.8850000000000007</v>
      </c>
      <c r="Z85" s="11">
        <f>IF(Table1[[#This Row],[Included?]],Table1[[#This Row],[BB]],"")</f>
        <v>2.2799999999999998</v>
      </c>
      <c r="AA85" s="11">
        <f>IF(Table1[[#This Row],[Included?]],Table1[[#This Row],[OB]],"")</f>
        <v>8.352288318991226</v>
      </c>
      <c r="AB85" s="14">
        <f>IF(Table1[[#This Row],[Included?]], (8*AA$185+Table1[[#This Row],[I OB]])/(8*X$185+Table1[[#This Row],[I PA]]), "")</f>
        <v>0.34669027354391091</v>
      </c>
    </row>
    <row r="86" spans="1:28" hidden="1" x14ac:dyDescent="0.25">
      <c r="A86" s="23" t="b">
        <f>IF('Sim Data'!A86&gt;0, TRUE, FALSE)</f>
        <v>1</v>
      </c>
      <c r="B86">
        <v>85</v>
      </c>
      <c r="C86" s="18" t="s">
        <v>268</v>
      </c>
      <c r="D86" s="18" t="s">
        <v>269</v>
      </c>
      <c r="E86" s="18" t="s">
        <v>16</v>
      </c>
      <c r="F86" s="43" t="s">
        <v>16</v>
      </c>
      <c r="G86" s="19">
        <v>5</v>
      </c>
      <c r="H86" s="18">
        <v>2.4510000000000001</v>
      </c>
      <c r="I86" s="18">
        <v>0.90600000000000014</v>
      </c>
      <c r="J86" s="18">
        <v>2.7330000000000001</v>
      </c>
      <c r="K86" s="18">
        <v>0.161</v>
      </c>
      <c r="L86" s="18">
        <v>0.35899930507296735</v>
      </c>
      <c r="M86" s="18">
        <v>21.584000000000003</v>
      </c>
      <c r="N86" s="18">
        <v>5.0280000000000005</v>
      </c>
      <c r="O86" s="18">
        <v>2.3969999999999998</v>
      </c>
      <c r="P86" s="10">
        <f>Table1[[#This Row],[OBP]]*Table1[[#This Row],[PA]]</f>
        <v>7.7486410006949287</v>
      </c>
      <c r="Q86" s="10">
        <f>(8*P$185+Table1[[#This Row],[OB]])/(8*M$185+Table1[[#This Row],[PA]])</f>
        <v>0.3311670062183083</v>
      </c>
      <c r="R86" s="11">
        <f>IF(Table1[[#This Row],[Included?]],Table1[[#This Row],[g]],"")</f>
        <v>5</v>
      </c>
      <c r="S86" s="11">
        <f>IF(Table1[[#This Row],[Included?]],Table1[[#This Row],[R]],"")</f>
        <v>2.4510000000000001</v>
      </c>
      <c r="T86" s="11">
        <f>IF(Table1[[#This Row],[Included?]],Table1[[#This Row],[HR]],"")</f>
        <v>0.90600000000000014</v>
      </c>
      <c r="U86" s="11">
        <f>IF(Table1[[#This Row],[Included?]],Table1[[#This Row],[RBI]],"")</f>
        <v>2.7330000000000001</v>
      </c>
      <c r="V86" s="11">
        <f>IF(Table1[[#This Row],[Included?]],Table1[[#This Row],[SB]],"")</f>
        <v>0.161</v>
      </c>
      <c r="W86" s="11">
        <f>IF(Table1[[#This Row],[Included?]],Table1[[#This Row],[OBP]],"")</f>
        <v>0.35899930507296735</v>
      </c>
      <c r="X86" s="11">
        <f>IF(Table1[[#This Row],[Included?]],Table1[[#This Row],[PA]],"")</f>
        <v>21.584000000000003</v>
      </c>
      <c r="Y86" s="11">
        <f>IF(Table1[[#This Row],[Included?]],Table1[[#This Row],[H]],"")</f>
        <v>5.0280000000000005</v>
      </c>
      <c r="Z86" s="11">
        <f>IF(Table1[[#This Row],[Included?]],Table1[[#This Row],[BB]],"")</f>
        <v>2.3969999999999998</v>
      </c>
      <c r="AA86" s="11">
        <f>IF(Table1[[#This Row],[Included?]],Table1[[#This Row],[OB]],"")</f>
        <v>7.7486410006949287</v>
      </c>
      <c r="AB86" s="14">
        <f>IF(Table1[[#This Row],[Included?]], (8*AA$185+Table1[[#This Row],[I OB]])/(8*X$185+Table1[[#This Row],[I PA]]), "")</f>
        <v>0.34691387658559164</v>
      </c>
    </row>
    <row r="87" spans="1:28" hidden="1" x14ac:dyDescent="0.25">
      <c r="A87" s="24" t="b">
        <f>IF('Sim Data'!A87&gt;0, TRUE, FALSE)</f>
        <v>1</v>
      </c>
      <c r="B87">
        <v>86</v>
      </c>
      <c r="C87" s="18" t="s">
        <v>35</v>
      </c>
      <c r="D87" s="18" t="s">
        <v>18</v>
      </c>
      <c r="E87" s="18" t="s">
        <v>16</v>
      </c>
      <c r="F87" s="43" t="s">
        <v>16</v>
      </c>
      <c r="G87" s="19">
        <v>5</v>
      </c>
      <c r="H87" s="18">
        <v>2.7190000000000003</v>
      </c>
      <c r="I87" s="18">
        <v>0.98499999999999999</v>
      </c>
      <c r="J87" s="18">
        <v>2.3359999999999999</v>
      </c>
      <c r="K87" s="18">
        <v>0.13100000000000001</v>
      </c>
      <c r="L87" s="18">
        <v>0.33965616809559768</v>
      </c>
      <c r="M87" s="18">
        <v>22.512</v>
      </c>
      <c r="N87" s="18">
        <v>5.26</v>
      </c>
      <c r="O87" s="18">
        <v>2.1389999999999998</v>
      </c>
      <c r="P87" s="10">
        <f>Table1[[#This Row],[OBP]]*Table1[[#This Row],[PA]]</f>
        <v>7.6463396561680952</v>
      </c>
      <c r="Q87" s="10">
        <f>(8*P$185+Table1[[#This Row],[OB]])/(8*M$185+Table1[[#This Row],[PA]])</f>
        <v>0.32928358386914069</v>
      </c>
      <c r="R87" s="11">
        <f>IF(Table1[[#This Row],[Included?]],Table1[[#This Row],[g]],"")</f>
        <v>5</v>
      </c>
      <c r="S87" s="11">
        <f>IF(Table1[[#This Row],[Included?]],Table1[[#This Row],[R]],"")</f>
        <v>2.7190000000000003</v>
      </c>
      <c r="T87" s="11">
        <f>IF(Table1[[#This Row],[Included?]],Table1[[#This Row],[HR]],"")</f>
        <v>0.98499999999999999</v>
      </c>
      <c r="U87" s="11">
        <f>IF(Table1[[#This Row],[Included?]],Table1[[#This Row],[RBI]],"")</f>
        <v>2.3359999999999999</v>
      </c>
      <c r="V87" s="11">
        <f>IF(Table1[[#This Row],[Included?]],Table1[[#This Row],[SB]],"")</f>
        <v>0.13100000000000001</v>
      </c>
      <c r="W87" s="11">
        <f>IF(Table1[[#This Row],[Included?]],Table1[[#This Row],[OBP]],"")</f>
        <v>0.33965616809559768</v>
      </c>
      <c r="X87" s="11">
        <f>IF(Table1[[#This Row],[Included?]],Table1[[#This Row],[PA]],"")</f>
        <v>22.512</v>
      </c>
      <c r="Y87" s="11">
        <f>IF(Table1[[#This Row],[Included?]],Table1[[#This Row],[H]],"")</f>
        <v>5.26</v>
      </c>
      <c r="Z87" s="11">
        <f>IF(Table1[[#This Row],[Included?]],Table1[[#This Row],[BB]],"")</f>
        <v>2.1389999999999998</v>
      </c>
      <c r="AA87" s="11">
        <f>IF(Table1[[#This Row],[Included?]],Table1[[#This Row],[OB]],"")</f>
        <v>7.6463396561680952</v>
      </c>
      <c r="AB87" s="14">
        <f>IF(Table1[[#This Row],[Included?]], (8*AA$185+Table1[[#This Row],[I OB]])/(8*X$185+Table1[[#This Row],[I PA]]), "")</f>
        <v>0.34505791612401537</v>
      </c>
    </row>
    <row r="88" spans="1:28" hidden="1" x14ac:dyDescent="0.25">
      <c r="A88" s="23" t="b">
        <f>IF('Sim Data'!A88&gt;0, TRUE, FALSE)</f>
        <v>0</v>
      </c>
      <c r="B88">
        <v>87</v>
      </c>
      <c r="C88" s="18" t="s">
        <v>112</v>
      </c>
      <c r="D88" s="18" t="s">
        <v>53</v>
      </c>
      <c r="E88" s="18" t="s">
        <v>37</v>
      </c>
      <c r="F88" s="43" t="s">
        <v>37</v>
      </c>
      <c r="G88" s="19">
        <v>6</v>
      </c>
      <c r="H88" s="18">
        <v>2.9609999999999999</v>
      </c>
      <c r="I88" s="18">
        <v>0.79500000000000004</v>
      </c>
      <c r="J88" s="18">
        <v>2.0960000000000001</v>
      </c>
      <c r="K88" s="18">
        <v>6.4000000000000001E-2</v>
      </c>
      <c r="L88" s="18">
        <v>0.32014755513695942</v>
      </c>
      <c r="M88" s="18">
        <v>25.481999999999999</v>
      </c>
      <c r="N88" s="18">
        <v>5.6120000000000001</v>
      </c>
      <c r="O88" s="18">
        <v>2.3939999999999997</v>
      </c>
      <c r="P88" s="10">
        <f>Table1[[#This Row],[OBP]]*Table1[[#This Row],[PA]]</f>
        <v>8.1579999999999995</v>
      </c>
      <c r="Q88" s="10">
        <f>(8*P$185+Table1[[#This Row],[OB]])/(8*M$185+Table1[[#This Row],[PA]])</f>
        <v>0.32716840085000765</v>
      </c>
      <c r="R88" s="11" t="str">
        <f>IF(Table1[[#This Row],[Included?]],Table1[[#This Row],[g]],"")</f>
        <v/>
      </c>
      <c r="S88" s="11" t="str">
        <f>IF(Table1[[#This Row],[Included?]],Table1[[#This Row],[R]],"")</f>
        <v/>
      </c>
      <c r="T88" s="11" t="str">
        <f>IF(Table1[[#This Row],[Included?]],Table1[[#This Row],[HR]],"")</f>
        <v/>
      </c>
      <c r="U88" s="11" t="str">
        <f>IF(Table1[[#This Row],[Included?]],Table1[[#This Row],[RBI]],"")</f>
        <v/>
      </c>
      <c r="V88" s="11" t="str">
        <f>IF(Table1[[#This Row],[Included?]],Table1[[#This Row],[SB]],"")</f>
        <v/>
      </c>
      <c r="W88" s="11" t="str">
        <f>IF(Table1[[#This Row],[Included?]],Table1[[#This Row],[OBP]],"")</f>
        <v/>
      </c>
      <c r="X88" s="11" t="str">
        <f>IF(Table1[[#This Row],[Included?]],Table1[[#This Row],[PA]],"")</f>
        <v/>
      </c>
      <c r="Y88" s="11" t="str">
        <f>IF(Table1[[#This Row],[Included?]],Table1[[#This Row],[H]],"")</f>
        <v/>
      </c>
      <c r="Z88" s="11" t="str">
        <f>IF(Table1[[#This Row],[Included?]],Table1[[#This Row],[BB]],"")</f>
        <v/>
      </c>
      <c r="AA88" s="11" t="str">
        <f>IF(Table1[[#This Row],[Included?]],Table1[[#This Row],[OB]],"")</f>
        <v/>
      </c>
      <c r="AB88" s="14" t="str">
        <f>IF(Table1[[#This Row],[Included?]], (8*AA$185+Table1[[#This Row],[I OB]])/(8*X$185+Table1[[#This Row],[I PA]]), "")</f>
        <v/>
      </c>
    </row>
    <row r="89" spans="1:28" hidden="1" x14ac:dyDescent="0.25">
      <c r="A89" s="24" t="b">
        <f>IF('Sim Data'!A89&gt;0, TRUE, FALSE)</f>
        <v>0</v>
      </c>
      <c r="B89">
        <v>88</v>
      </c>
      <c r="C89" s="18" t="s">
        <v>139</v>
      </c>
      <c r="D89" s="18" t="s">
        <v>23</v>
      </c>
      <c r="E89" s="18" t="s">
        <v>16</v>
      </c>
      <c r="F89" s="43" t="s">
        <v>16</v>
      </c>
      <c r="G89" s="19">
        <v>6</v>
      </c>
      <c r="H89" s="18">
        <v>2.7190000000000003</v>
      </c>
      <c r="I89" s="18">
        <v>0.55799999999999994</v>
      </c>
      <c r="J89" s="18">
        <v>2.7109999999999999</v>
      </c>
      <c r="K89" s="18">
        <v>0.40400000000000003</v>
      </c>
      <c r="L89" s="18">
        <v>0.31938047686977794</v>
      </c>
      <c r="M89" s="18">
        <v>24.536999999999999</v>
      </c>
      <c r="N89" s="18">
        <v>6.008</v>
      </c>
      <c r="O89" s="18">
        <v>1.706</v>
      </c>
      <c r="P89" s="10">
        <f>Table1[[#This Row],[OBP]]*Table1[[#This Row],[PA]]</f>
        <v>7.8366387609537407</v>
      </c>
      <c r="Q89" s="10">
        <f>(8*P$185+Table1[[#This Row],[OB]])/(8*M$185+Table1[[#This Row],[PA]])</f>
        <v>0.32711288238599201</v>
      </c>
      <c r="R89" s="11" t="str">
        <f>IF(Table1[[#This Row],[Included?]],Table1[[#This Row],[g]],"")</f>
        <v/>
      </c>
      <c r="S89" s="11" t="str">
        <f>IF(Table1[[#This Row],[Included?]],Table1[[#This Row],[R]],"")</f>
        <v/>
      </c>
      <c r="T89" s="11" t="str">
        <f>IF(Table1[[#This Row],[Included?]],Table1[[#This Row],[HR]],"")</f>
        <v/>
      </c>
      <c r="U89" s="11" t="str">
        <f>IF(Table1[[#This Row],[Included?]],Table1[[#This Row],[RBI]],"")</f>
        <v/>
      </c>
      <c r="V89" s="11" t="str">
        <f>IF(Table1[[#This Row],[Included?]],Table1[[#This Row],[SB]],"")</f>
        <v/>
      </c>
      <c r="W89" s="11" t="str">
        <f>IF(Table1[[#This Row],[Included?]],Table1[[#This Row],[OBP]],"")</f>
        <v/>
      </c>
      <c r="X89" s="11" t="str">
        <f>IF(Table1[[#This Row],[Included?]],Table1[[#This Row],[PA]],"")</f>
        <v/>
      </c>
      <c r="Y89" s="11" t="str">
        <f>IF(Table1[[#This Row],[Included?]],Table1[[#This Row],[H]],"")</f>
        <v/>
      </c>
      <c r="Z89" s="11" t="str">
        <f>IF(Table1[[#This Row],[Included?]],Table1[[#This Row],[BB]],"")</f>
        <v/>
      </c>
      <c r="AA89" s="11" t="str">
        <f>IF(Table1[[#This Row],[Included?]],Table1[[#This Row],[OB]],"")</f>
        <v/>
      </c>
      <c r="AB89" s="14" t="str">
        <f>IF(Table1[[#This Row],[Included?]], (8*AA$185+Table1[[#This Row],[I OB]])/(8*X$185+Table1[[#This Row],[I PA]]), "")</f>
        <v/>
      </c>
    </row>
    <row r="90" spans="1:28" hidden="1" x14ac:dyDescent="0.25">
      <c r="A90" s="23" t="b">
        <f>IF('Sim Data'!A90&gt;0, TRUE, FALSE)</f>
        <v>1</v>
      </c>
      <c r="B90">
        <v>89</v>
      </c>
      <c r="C90" s="18" t="s">
        <v>270</v>
      </c>
      <c r="D90" s="18" t="s">
        <v>72</v>
      </c>
      <c r="E90" s="18" t="s">
        <v>21</v>
      </c>
      <c r="F90" s="43" t="s">
        <v>21</v>
      </c>
      <c r="G90" s="19">
        <v>7</v>
      </c>
      <c r="H90" s="18">
        <v>1.8280000000000001</v>
      </c>
      <c r="I90" s="18">
        <v>0.253</v>
      </c>
      <c r="J90" s="18">
        <v>1.66</v>
      </c>
      <c r="K90" s="18">
        <v>3.1880000000000006</v>
      </c>
      <c r="L90" s="18">
        <v>0.28402938901778807</v>
      </c>
      <c r="M90" s="18">
        <v>25.865000000000002</v>
      </c>
      <c r="N90" s="18">
        <v>5.8149999999999995</v>
      </c>
      <c r="O90" s="18">
        <v>1.4809999999999999</v>
      </c>
      <c r="P90" s="10">
        <f>Table1[[#This Row],[OBP]]*Table1[[#This Row],[PA]]</f>
        <v>7.3464201469450892</v>
      </c>
      <c r="Q90" s="10">
        <f>(8*P$185+Table1[[#This Row],[OB]])/(8*M$185+Table1[[#This Row],[PA]])</f>
        <v>0.32292607460701733</v>
      </c>
      <c r="R90" s="11">
        <f>IF(Table1[[#This Row],[Included?]],Table1[[#This Row],[g]],"")</f>
        <v>7</v>
      </c>
      <c r="S90" s="11">
        <f>IF(Table1[[#This Row],[Included?]],Table1[[#This Row],[R]],"")</f>
        <v>1.8280000000000001</v>
      </c>
      <c r="T90" s="11">
        <f>IF(Table1[[#This Row],[Included?]],Table1[[#This Row],[HR]],"")</f>
        <v>0.253</v>
      </c>
      <c r="U90" s="11">
        <f>IF(Table1[[#This Row],[Included?]],Table1[[#This Row],[RBI]],"")</f>
        <v>1.66</v>
      </c>
      <c r="V90" s="11">
        <f>IF(Table1[[#This Row],[Included?]],Table1[[#This Row],[SB]],"")</f>
        <v>3.1880000000000006</v>
      </c>
      <c r="W90" s="11">
        <f>IF(Table1[[#This Row],[Included?]],Table1[[#This Row],[OBP]],"")</f>
        <v>0.28402938901778807</v>
      </c>
      <c r="X90" s="11">
        <f>IF(Table1[[#This Row],[Included?]],Table1[[#This Row],[PA]],"")</f>
        <v>25.865000000000002</v>
      </c>
      <c r="Y90" s="11">
        <f>IF(Table1[[#This Row],[Included?]],Table1[[#This Row],[H]],"")</f>
        <v>5.8149999999999995</v>
      </c>
      <c r="Z90" s="11">
        <f>IF(Table1[[#This Row],[Included?]],Table1[[#This Row],[BB]],"")</f>
        <v>1.4809999999999999</v>
      </c>
      <c r="AA90" s="11">
        <f>IF(Table1[[#This Row],[Included?]],Table1[[#This Row],[OB]],"")</f>
        <v>7.3464201469450892</v>
      </c>
      <c r="AB90" s="14">
        <f>IF(Table1[[#This Row],[Included?]], (8*AA$185+Table1[[#This Row],[I OB]])/(8*X$185+Table1[[#This Row],[I PA]]), "")</f>
        <v>0.33877639516021202</v>
      </c>
    </row>
    <row r="91" spans="1:28" x14ac:dyDescent="0.25">
      <c r="A91" s="24" t="b">
        <f>IF('Sim Data'!A91&gt;0, TRUE, FALSE)</f>
        <v>1</v>
      </c>
      <c r="B91">
        <v>90</v>
      </c>
      <c r="C91" s="18" t="s">
        <v>120</v>
      </c>
      <c r="D91" s="18" t="s">
        <v>42</v>
      </c>
      <c r="E91" s="18" t="s">
        <v>30</v>
      </c>
      <c r="F91" s="43" t="s">
        <v>30</v>
      </c>
      <c r="G91" s="19">
        <v>6</v>
      </c>
      <c r="H91" s="18">
        <v>2.431</v>
      </c>
      <c r="I91" s="18">
        <v>0.66899999999999993</v>
      </c>
      <c r="J91" s="18">
        <v>2.6509999999999998</v>
      </c>
      <c r="K91" s="18">
        <v>0.312</v>
      </c>
      <c r="L91" s="18">
        <v>0.32887798896382586</v>
      </c>
      <c r="M91" s="18">
        <v>24.466999999999999</v>
      </c>
      <c r="N91" s="18">
        <v>5.7700000000000005</v>
      </c>
      <c r="O91" s="18">
        <v>2.0569999999999999</v>
      </c>
      <c r="P91" s="10">
        <f>Table1[[#This Row],[OBP]]*Table1[[#This Row],[PA]]</f>
        <v>8.0466577559779271</v>
      </c>
      <c r="Q91" s="10">
        <f>(8*P$185+Table1[[#This Row],[OB]])/(8*M$185+Table1[[#This Row],[PA]])</f>
        <v>0.32817427623540296</v>
      </c>
      <c r="R91" s="11">
        <f>IF(Table1[[#This Row],[Included?]],Table1[[#This Row],[g]],"")</f>
        <v>6</v>
      </c>
      <c r="S91" s="11">
        <f>IF(Table1[[#This Row],[Included?]],Table1[[#This Row],[R]],"")</f>
        <v>2.431</v>
      </c>
      <c r="T91" s="11">
        <f>IF(Table1[[#This Row],[Included?]],Table1[[#This Row],[HR]],"")</f>
        <v>0.66899999999999993</v>
      </c>
      <c r="U91" s="11">
        <f>IF(Table1[[#This Row],[Included?]],Table1[[#This Row],[RBI]],"")</f>
        <v>2.6509999999999998</v>
      </c>
      <c r="V91" s="11">
        <f>IF(Table1[[#This Row],[Included?]],Table1[[#This Row],[SB]],"")</f>
        <v>0.312</v>
      </c>
      <c r="W91" s="11">
        <f>IF(Table1[[#This Row],[Included?]],Table1[[#This Row],[OBP]],"")</f>
        <v>0.32887798896382586</v>
      </c>
      <c r="X91" s="11">
        <f>IF(Table1[[#This Row],[Included?]],Table1[[#This Row],[PA]],"")</f>
        <v>24.466999999999999</v>
      </c>
      <c r="Y91" s="11">
        <f>IF(Table1[[#This Row],[Included?]],Table1[[#This Row],[H]],"")</f>
        <v>5.7700000000000005</v>
      </c>
      <c r="Z91" s="11">
        <f>IF(Table1[[#This Row],[Included?]],Table1[[#This Row],[BB]],"")</f>
        <v>2.0569999999999999</v>
      </c>
      <c r="AA91" s="11">
        <f>IF(Table1[[#This Row],[Included?]],Table1[[#This Row],[OB]],"")</f>
        <v>8.0466577559779271</v>
      </c>
      <c r="AB91" s="14">
        <f>IF(Table1[[#This Row],[Included?]], (8*AA$185+Table1[[#This Row],[I OB]])/(8*X$185+Table1[[#This Row],[I PA]]), "")</f>
        <v>0.34386821019132424</v>
      </c>
    </row>
    <row r="92" spans="1:28" hidden="1" x14ac:dyDescent="0.25">
      <c r="A92" s="23" t="b">
        <f>IF('Sim Data'!A92&gt;0, TRUE, FALSE)</f>
        <v>0</v>
      </c>
      <c r="B92">
        <v>91</v>
      </c>
      <c r="C92" s="18" t="s">
        <v>47</v>
      </c>
      <c r="D92" s="18" t="s">
        <v>18</v>
      </c>
      <c r="E92" s="18" t="s">
        <v>14</v>
      </c>
      <c r="F92" s="43" t="s">
        <v>14</v>
      </c>
      <c r="G92" s="19">
        <v>5</v>
      </c>
      <c r="H92" s="18">
        <v>2.4529999999999998</v>
      </c>
      <c r="I92" s="18">
        <v>1.069</v>
      </c>
      <c r="J92" s="18">
        <v>2.7439999999999998</v>
      </c>
      <c r="K92" s="18">
        <v>0.05</v>
      </c>
      <c r="L92" s="18">
        <v>0.33542056074766363</v>
      </c>
      <c r="M92" s="18">
        <v>21.401</v>
      </c>
      <c r="N92" s="18">
        <v>4.5470000000000006</v>
      </c>
      <c r="O92" s="18">
        <v>2.5019999999999998</v>
      </c>
      <c r="P92" s="10">
        <f>Table1[[#This Row],[OBP]]*Table1[[#This Row],[PA]]</f>
        <v>7.1783354205607495</v>
      </c>
      <c r="Q92" s="10">
        <f>(8*P$185+Table1[[#This Row],[OB]])/(8*M$185+Table1[[#This Row],[PA]])</f>
        <v>0.32881140091755806</v>
      </c>
      <c r="R92" s="11" t="str">
        <f>IF(Table1[[#This Row],[Included?]],Table1[[#This Row],[g]],"")</f>
        <v/>
      </c>
      <c r="S92" s="11" t="str">
        <f>IF(Table1[[#This Row],[Included?]],Table1[[#This Row],[R]],"")</f>
        <v/>
      </c>
      <c r="T92" s="11" t="str">
        <f>IF(Table1[[#This Row],[Included?]],Table1[[#This Row],[HR]],"")</f>
        <v/>
      </c>
      <c r="U92" s="11" t="str">
        <f>IF(Table1[[#This Row],[Included?]],Table1[[#This Row],[RBI]],"")</f>
        <v/>
      </c>
      <c r="V92" s="11" t="str">
        <f>IF(Table1[[#This Row],[Included?]],Table1[[#This Row],[SB]],"")</f>
        <v/>
      </c>
      <c r="W92" s="11" t="str">
        <f>IF(Table1[[#This Row],[Included?]],Table1[[#This Row],[OBP]],"")</f>
        <v/>
      </c>
      <c r="X92" s="11" t="str">
        <f>IF(Table1[[#This Row],[Included?]],Table1[[#This Row],[PA]],"")</f>
        <v/>
      </c>
      <c r="Y92" s="11" t="str">
        <f>IF(Table1[[#This Row],[Included?]],Table1[[#This Row],[H]],"")</f>
        <v/>
      </c>
      <c r="Z92" s="11" t="str">
        <f>IF(Table1[[#This Row],[Included?]],Table1[[#This Row],[BB]],"")</f>
        <v/>
      </c>
      <c r="AA92" s="11" t="str">
        <f>IF(Table1[[#This Row],[Included?]],Table1[[#This Row],[OB]],"")</f>
        <v/>
      </c>
      <c r="AB92" s="14" t="str">
        <f>IF(Table1[[#This Row],[Included?]], (8*AA$185+Table1[[#This Row],[I OB]])/(8*X$185+Table1[[#This Row],[I PA]]), "")</f>
        <v/>
      </c>
    </row>
    <row r="93" spans="1:28" hidden="1" x14ac:dyDescent="0.25">
      <c r="A93" s="24" t="b">
        <f>IF('Sim Data'!A93&gt;0, TRUE, FALSE)</f>
        <v>0</v>
      </c>
      <c r="B93">
        <v>92</v>
      </c>
      <c r="C93" s="18" t="s">
        <v>136</v>
      </c>
      <c r="D93" s="18" t="s">
        <v>26</v>
      </c>
      <c r="E93" s="18" t="s">
        <v>46</v>
      </c>
      <c r="F93" s="43" t="s">
        <v>46</v>
      </c>
      <c r="G93" s="19">
        <v>6</v>
      </c>
      <c r="H93" s="18">
        <v>3.1460000000000004</v>
      </c>
      <c r="I93" s="18">
        <v>0.36199999999999999</v>
      </c>
      <c r="J93" s="18">
        <v>2.077</v>
      </c>
      <c r="K93" s="18">
        <v>0.36499999999999999</v>
      </c>
      <c r="L93" s="18">
        <v>0.3105903292791457</v>
      </c>
      <c r="M93" s="18">
        <v>26.966999999999999</v>
      </c>
      <c r="N93" s="18">
        <v>6.5450000000000017</v>
      </c>
      <c r="O93" s="18">
        <v>1.641</v>
      </c>
      <c r="P93" s="10">
        <f>Table1[[#This Row],[OBP]]*Table1[[#This Row],[PA]]</f>
        <v>8.3756894096707217</v>
      </c>
      <c r="Q93" s="10">
        <f>(8*P$185+Table1[[#This Row],[OB]])/(8*M$185+Table1[[#This Row],[PA]])</f>
        <v>0.32596018964605972</v>
      </c>
      <c r="R93" s="11" t="str">
        <f>IF(Table1[[#This Row],[Included?]],Table1[[#This Row],[g]],"")</f>
        <v/>
      </c>
      <c r="S93" s="11" t="str">
        <f>IF(Table1[[#This Row],[Included?]],Table1[[#This Row],[R]],"")</f>
        <v/>
      </c>
      <c r="T93" s="11" t="str">
        <f>IF(Table1[[#This Row],[Included?]],Table1[[#This Row],[HR]],"")</f>
        <v/>
      </c>
      <c r="U93" s="11" t="str">
        <f>IF(Table1[[#This Row],[Included?]],Table1[[#This Row],[RBI]],"")</f>
        <v/>
      </c>
      <c r="V93" s="11" t="str">
        <f>IF(Table1[[#This Row],[Included?]],Table1[[#This Row],[SB]],"")</f>
        <v/>
      </c>
      <c r="W93" s="11" t="str">
        <f>IF(Table1[[#This Row],[Included?]],Table1[[#This Row],[OBP]],"")</f>
        <v/>
      </c>
      <c r="X93" s="11" t="str">
        <f>IF(Table1[[#This Row],[Included?]],Table1[[#This Row],[PA]],"")</f>
        <v/>
      </c>
      <c r="Y93" s="11" t="str">
        <f>IF(Table1[[#This Row],[Included?]],Table1[[#This Row],[H]],"")</f>
        <v/>
      </c>
      <c r="Z93" s="11" t="str">
        <f>IF(Table1[[#This Row],[Included?]],Table1[[#This Row],[BB]],"")</f>
        <v/>
      </c>
      <c r="AA93" s="11" t="str">
        <f>IF(Table1[[#This Row],[Included?]],Table1[[#This Row],[OB]],"")</f>
        <v/>
      </c>
      <c r="AB93" s="14" t="str">
        <f>IF(Table1[[#This Row],[Included?]], (8*AA$185+Table1[[#This Row],[I OB]])/(8*X$185+Table1[[#This Row],[I PA]]), "")</f>
        <v/>
      </c>
    </row>
    <row r="94" spans="1:28" hidden="1" x14ac:dyDescent="0.25">
      <c r="A94" s="23" t="b">
        <v>0</v>
      </c>
      <c r="B94">
        <v>93</v>
      </c>
      <c r="C94" s="18" t="s">
        <v>121</v>
      </c>
      <c r="D94" s="18" t="s">
        <v>81</v>
      </c>
      <c r="E94" s="18" t="s">
        <v>19</v>
      </c>
      <c r="F94" s="43" t="s">
        <v>14</v>
      </c>
      <c r="G94" s="19">
        <v>6</v>
      </c>
      <c r="H94" s="18">
        <v>2.3810000000000002</v>
      </c>
      <c r="I94" s="18">
        <v>0.66500000000000004</v>
      </c>
      <c r="J94" s="18">
        <v>2.6539999999999999</v>
      </c>
      <c r="K94" s="18">
        <v>0.13599999999999998</v>
      </c>
      <c r="L94" s="18">
        <v>0.33700081499592505</v>
      </c>
      <c r="M94" s="18">
        <v>24.54</v>
      </c>
      <c r="N94" s="18">
        <v>6.535000000000001</v>
      </c>
      <c r="O94" s="18">
        <v>1.6620000000000004</v>
      </c>
      <c r="P94" s="10">
        <f>Table1[[#This Row],[OBP]]*Table1[[#This Row],[PA]]</f>
        <v>8.27</v>
      </c>
      <c r="Q94" s="10">
        <f>(8*P$185+Table1[[#This Row],[OB]])/(8*M$185+Table1[[#This Row],[PA]])</f>
        <v>0.32908256667521779</v>
      </c>
      <c r="R94" s="11" t="str">
        <f>IF(Table1[[#This Row],[Included?]],Table1[[#This Row],[g]],"")</f>
        <v/>
      </c>
      <c r="S94" s="11" t="str">
        <f>IF(Table1[[#This Row],[Included?]],Table1[[#This Row],[R]],"")</f>
        <v/>
      </c>
      <c r="T94" s="11" t="str">
        <f>IF(Table1[[#This Row],[Included?]],Table1[[#This Row],[HR]],"")</f>
        <v/>
      </c>
      <c r="U94" s="11" t="str">
        <f>IF(Table1[[#This Row],[Included?]],Table1[[#This Row],[RBI]],"")</f>
        <v/>
      </c>
      <c r="V94" s="11" t="str">
        <f>IF(Table1[[#This Row],[Included?]],Table1[[#This Row],[SB]],"")</f>
        <v/>
      </c>
      <c r="W94" s="11" t="str">
        <f>IF(Table1[[#This Row],[Included?]],Table1[[#This Row],[OBP]],"")</f>
        <v/>
      </c>
      <c r="X94" s="11" t="str">
        <f>IF(Table1[[#This Row],[Included?]],Table1[[#This Row],[PA]],"")</f>
        <v/>
      </c>
      <c r="Y94" s="11" t="str">
        <f>IF(Table1[[#This Row],[Included?]],Table1[[#This Row],[H]],"")</f>
        <v/>
      </c>
      <c r="Z94" s="11" t="str">
        <f>IF(Table1[[#This Row],[Included?]],Table1[[#This Row],[BB]],"")</f>
        <v/>
      </c>
      <c r="AA94" s="11" t="str">
        <f>IF(Table1[[#This Row],[Included?]],Table1[[#This Row],[OB]],"")</f>
        <v/>
      </c>
      <c r="AB94" s="14" t="str">
        <f>IF(Table1[[#This Row],[Included?]], (8*AA$185+Table1[[#This Row],[I OB]])/(8*X$185+Table1[[#This Row],[I PA]]), "")</f>
        <v/>
      </c>
    </row>
    <row r="95" spans="1:28" hidden="1" x14ac:dyDescent="0.25">
      <c r="A95" s="24" t="b">
        <f>IF('Sim Data'!A95&gt;0, TRUE, FALSE)</f>
        <v>0</v>
      </c>
      <c r="B95">
        <v>94</v>
      </c>
      <c r="C95" s="18" t="s">
        <v>172</v>
      </c>
      <c r="D95" s="18" t="s">
        <v>56</v>
      </c>
      <c r="E95" s="18" t="s">
        <v>37</v>
      </c>
      <c r="F95" s="43" t="s">
        <v>37</v>
      </c>
      <c r="G95" s="19">
        <v>7</v>
      </c>
      <c r="H95" s="18">
        <v>2.4739999999999998</v>
      </c>
      <c r="I95" s="18">
        <v>0.98499999999999999</v>
      </c>
      <c r="J95" s="18">
        <v>2.4809999999999999</v>
      </c>
      <c r="K95" s="18">
        <v>6.8000000000000005E-2</v>
      </c>
      <c r="L95" s="18">
        <v>0.28901207104044346</v>
      </c>
      <c r="M95" s="18">
        <v>27.423999999999999</v>
      </c>
      <c r="N95" s="18">
        <v>7.0169999999999995</v>
      </c>
      <c r="O95" s="18">
        <v>0.77200000000000002</v>
      </c>
      <c r="P95" s="10">
        <f>Table1[[#This Row],[OBP]]*Table1[[#This Row],[PA]]</f>
        <v>7.9258670362131216</v>
      </c>
      <c r="Q95" s="10">
        <f>(8*P$185+Table1[[#This Row],[OB]])/(8*M$185+Table1[[#This Row],[PA]])</f>
        <v>0.32326782223866118</v>
      </c>
      <c r="R95" s="11" t="str">
        <f>IF(Table1[[#This Row],[Included?]],Table1[[#This Row],[g]],"")</f>
        <v/>
      </c>
      <c r="S95" s="11" t="str">
        <f>IF(Table1[[#This Row],[Included?]],Table1[[#This Row],[R]],"")</f>
        <v/>
      </c>
      <c r="T95" s="11" t="str">
        <f>IF(Table1[[#This Row],[Included?]],Table1[[#This Row],[HR]],"")</f>
        <v/>
      </c>
      <c r="U95" s="11" t="str">
        <f>IF(Table1[[#This Row],[Included?]],Table1[[#This Row],[RBI]],"")</f>
        <v/>
      </c>
      <c r="V95" s="11" t="str">
        <f>IF(Table1[[#This Row],[Included?]],Table1[[#This Row],[SB]],"")</f>
        <v/>
      </c>
      <c r="W95" s="11" t="str">
        <f>IF(Table1[[#This Row],[Included?]],Table1[[#This Row],[OBP]],"")</f>
        <v/>
      </c>
      <c r="X95" s="11" t="str">
        <f>IF(Table1[[#This Row],[Included?]],Table1[[#This Row],[PA]],"")</f>
        <v/>
      </c>
      <c r="Y95" s="11" t="str">
        <f>IF(Table1[[#This Row],[Included?]],Table1[[#This Row],[H]],"")</f>
        <v/>
      </c>
      <c r="Z95" s="11" t="str">
        <f>IF(Table1[[#This Row],[Included?]],Table1[[#This Row],[BB]],"")</f>
        <v/>
      </c>
      <c r="AA95" s="11" t="str">
        <f>IF(Table1[[#This Row],[Included?]],Table1[[#This Row],[OB]],"")</f>
        <v/>
      </c>
      <c r="AB95" s="14" t="str">
        <f>IF(Table1[[#This Row],[Included?]], (8*AA$185+Table1[[#This Row],[I OB]])/(8*X$185+Table1[[#This Row],[I PA]]), "")</f>
        <v/>
      </c>
    </row>
    <row r="96" spans="1:28" hidden="1" x14ac:dyDescent="0.25">
      <c r="A96" s="23" t="b">
        <f>IF('Sim Data'!A96&gt;0, TRUE, FALSE)</f>
        <v>1</v>
      </c>
      <c r="B96">
        <v>95</v>
      </c>
      <c r="C96" s="18" t="s">
        <v>271</v>
      </c>
      <c r="D96" s="18" t="s">
        <v>269</v>
      </c>
      <c r="E96" s="18" t="s">
        <v>21</v>
      </c>
      <c r="F96" s="43" t="s">
        <v>21</v>
      </c>
      <c r="G96" s="19">
        <v>5</v>
      </c>
      <c r="H96" s="18">
        <v>2.629</v>
      </c>
      <c r="I96" s="18">
        <v>0.40700000000000003</v>
      </c>
      <c r="J96" s="18">
        <v>1.806</v>
      </c>
      <c r="K96" s="18">
        <v>1.4169999999999998</v>
      </c>
      <c r="L96" s="18">
        <v>0.33747521480502318</v>
      </c>
      <c r="M96" s="18">
        <v>22.693999999999999</v>
      </c>
      <c r="N96" s="18">
        <v>5.7009999999999996</v>
      </c>
      <c r="O96" s="18">
        <v>1.7979999999999998</v>
      </c>
      <c r="P96" s="10">
        <f>Table1[[#This Row],[OBP]]*Table1[[#This Row],[PA]]</f>
        <v>7.6586625247851954</v>
      </c>
      <c r="Q96" s="10">
        <f>(8*P$185+Table1[[#This Row],[OB]])/(8*M$185+Table1[[#This Row],[PA]])</f>
        <v>0.32906487460453987</v>
      </c>
      <c r="R96" s="11">
        <f>IF(Table1[[#This Row],[Included?]],Table1[[#This Row],[g]],"")</f>
        <v>5</v>
      </c>
      <c r="S96" s="11">
        <f>IF(Table1[[#This Row],[Included?]],Table1[[#This Row],[R]],"")</f>
        <v>2.629</v>
      </c>
      <c r="T96" s="11">
        <f>IF(Table1[[#This Row],[Included?]],Table1[[#This Row],[HR]],"")</f>
        <v>0.40700000000000003</v>
      </c>
      <c r="U96" s="11">
        <f>IF(Table1[[#This Row],[Included?]],Table1[[#This Row],[RBI]],"")</f>
        <v>1.806</v>
      </c>
      <c r="V96" s="11">
        <f>IF(Table1[[#This Row],[Included?]],Table1[[#This Row],[SB]],"")</f>
        <v>1.4169999999999998</v>
      </c>
      <c r="W96" s="11">
        <f>IF(Table1[[#This Row],[Included?]],Table1[[#This Row],[OBP]],"")</f>
        <v>0.33747521480502318</v>
      </c>
      <c r="X96" s="11">
        <f>IF(Table1[[#This Row],[Included?]],Table1[[#This Row],[PA]],"")</f>
        <v>22.693999999999999</v>
      </c>
      <c r="Y96" s="11">
        <f>IF(Table1[[#This Row],[Included?]],Table1[[#This Row],[H]],"")</f>
        <v>5.7009999999999996</v>
      </c>
      <c r="Z96" s="11">
        <f>IF(Table1[[#This Row],[Included?]],Table1[[#This Row],[BB]],"")</f>
        <v>1.7979999999999998</v>
      </c>
      <c r="AA96" s="11">
        <f>IF(Table1[[#This Row],[Included?]],Table1[[#This Row],[OB]],"")</f>
        <v>7.6586625247851954</v>
      </c>
      <c r="AB96" s="14">
        <f>IF(Table1[[#This Row],[Included?]], (8*AA$185+Table1[[#This Row],[I OB]])/(8*X$185+Table1[[#This Row],[I PA]]), "")</f>
        <v>0.3448372613091758</v>
      </c>
    </row>
    <row r="97" spans="1:28" x14ac:dyDescent="0.25">
      <c r="A97" s="24" t="b">
        <v>0</v>
      </c>
      <c r="B97">
        <v>96</v>
      </c>
      <c r="C97" s="18" t="s">
        <v>110</v>
      </c>
      <c r="D97" s="18" t="s">
        <v>32</v>
      </c>
      <c r="E97" s="18" t="s">
        <v>111</v>
      </c>
      <c r="F97" s="43" t="s">
        <v>30</v>
      </c>
      <c r="G97" s="19">
        <v>6</v>
      </c>
      <c r="H97" s="18">
        <v>3.0149999999999997</v>
      </c>
      <c r="I97" s="18">
        <v>0.26800000000000002</v>
      </c>
      <c r="J97" s="18">
        <v>2.3200000000000003</v>
      </c>
      <c r="K97" s="18">
        <v>8.7999999999999995E-2</v>
      </c>
      <c r="L97" s="18">
        <v>0.33741326888594375</v>
      </c>
      <c r="M97" s="18">
        <v>25.654</v>
      </c>
      <c r="N97" s="18">
        <v>6.6130000000000004</v>
      </c>
      <c r="O97" s="18">
        <v>1.837</v>
      </c>
      <c r="P97" s="10">
        <f>Table1[[#This Row],[OBP]]*Table1[[#This Row],[PA]]</f>
        <v>8.6560000000000006</v>
      </c>
      <c r="Q97" s="10">
        <f>(8*P$185+Table1[[#This Row],[OB]])/(8*M$185+Table1[[#This Row],[PA]])</f>
        <v>0.32917050530956193</v>
      </c>
      <c r="R97" s="11" t="str">
        <f>IF(Table1[[#This Row],[Included?]],Table1[[#This Row],[g]],"")</f>
        <v/>
      </c>
      <c r="S97" s="11" t="str">
        <f>IF(Table1[[#This Row],[Included?]],Table1[[#This Row],[R]],"")</f>
        <v/>
      </c>
      <c r="T97" s="11" t="str">
        <f>IF(Table1[[#This Row],[Included?]],Table1[[#This Row],[HR]],"")</f>
        <v/>
      </c>
      <c r="U97" s="11" t="str">
        <f>IF(Table1[[#This Row],[Included?]],Table1[[#This Row],[RBI]],"")</f>
        <v/>
      </c>
      <c r="V97" s="11" t="str">
        <f>IF(Table1[[#This Row],[Included?]],Table1[[#This Row],[SB]],"")</f>
        <v/>
      </c>
      <c r="W97" s="11" t="str">
        <f>IF(Table1[[#This Row],[Included?]],Table1[[#This Row],[OBP]],"")</f>
        <v/>
      </c>
      <c r="X97" s="11" t="str">
        <f>IF(Table1[[#This Row],[Included?]],Table1[[#This Row],[PA]],"")</f>
        <v/>
      </c>
      <c r="Y97" s="11" t="str">
        <f>IF(Table1[[#This Row],[Included?]],Table1[[#This Row],[H]],"")</f>
        <v/>
      </c>
      <c r="Z97" s="11" t="str">
        <f>IF(Table1[[#This Row],[Included?]],Table1[[#This Row],[BB]],"")</f>
        <v/>
      </c>
      <c r="AA97" s="11" t="str">
        <f>IF(Table1[[#This Row],[Included?]],Table1[[#This Row],[OB]],"")</f>
        <v/>
      </c>
      <c r="AB97" s="14" t="str">
        <f>IF(Table1[[#This Row],[Included?]], (8*AA$185+Table1[[#This Row],[I OB]])/(8*X$185+Table1[[#This Row],[I PA]]), "")</f>
        <v/>
      </c>
    </row>
    <row r="98" spans="1:28" hidden="1" x14ac:dyDescent="0.25">
      <c r="A98" s="23" t="b">
        <v>0</v>
      </c>
      <c r="B98">
        <v>97</v>
      </c>
      <c r="C98" s="18" t="s">
        <v>272</v>
      </c>
      <c r="D98" s="18" t="s">
        <v>107</v>
      </c>
      <c r="E98" s="18" t="s">
        <v>21</v>
      </c>
      <c r="F98" s="43" t="s">
        <v>21</v>
      </c>
      <c r="G98" s="19">
        <v>6</v>
      </c>
      <c r="H98" s="18">
        <v>2.8460000000000001</v>
      </c>
      <c r="I98" s="18">
        <v>0.27099999999999996</v>
      </c>
      <c r="J98" s="18">
        <v>1.9810000000000001</v>
      </c>
      <c r="K98" s="18">
        <v>0.47300000000000003</v>
      </c>
      <c r="L98" s="18">
        <v>0.33209913858243911</v>
      </c>
      <c r="M98" s="18">
        <v>26.469000000000001</v>
      </c>
      <c r="N98" s="18">
        <v>6.42</v>
      </c>
      <c r="O98" s="18">
        <v>1.9200000000000002</v>
      </c>
      <c r="P98" s="10">
        <f>Table1[[#This Row],[OBP]]*Table1[[#This Row],[PA]]</f>
        <v>8.7903320991385812</v>
      </c>
      <c r="Q98" s="10">
        <f>(8*P$185+Table1[[#This Row],[OB]])/(8*M$185+Table1[[#This Row],[PA]])</f>
        <v>0.32856565517297126</v>
      </c>
      <c r="R98" s="11" t="str">
        <f>IF(Table1[[#This Row],[Included?]],Table1[[#This Row],[g]],"")</f>
        <v/>
      </c>
      <c r="S98" s="11" t="str">
        <f>IF(Table1[[#This Row],[Included?]],Table1[[#This Row],[R]],"")</f>
        <v/>
      </c>
      <c r="T98" s="11" t="str">
        <f>IF(Table1[[#This Row],[Included?]],Table1[[#This Row],[HR]],"")</f>
        <v/>
      </c>
      <c r="U98" s="11" t="str">
        <f>IF(Table1[[#This Row],[Included?]],Table1[[#This Row],[RBI]],"")</f>
        <v/>
      </c>
      <c r="V98" s="11" t="str">
        <f>IF(Table1[[#This Row],[Included?]],Table1[[#This Row],[SB]],"")</f>
        <v/>
      </c>
      <c r="W98" s="11" t="str">
        <f>IF(Table1[[#This Row],[Included?]],Table1[[#This Row],[OBP]],"")</f>
        <v/>
      </c>
      <c r="X98" s="11" t="str">
        <f>IF(Table1[[#This Row],[Included?]],Table1[[#This Row],[PA]],"")</f>
        <v/>
      </c>
      <c r="Y98" s="11" t="str">
        <f>IF(Table1[[#This Row],[Included?]],Table1[[#This Row],[H]],"")</f>
        <v/>
      </c>
      <c r="Z98" s="11" t="str">
        <f>IF(Table1[[#This Row],[Included?]],Table1[[#This Row],[BB]],"")</f>
        <v/>
      </c>
      <c r="AA98" s="11" t="str">
        <f>IF(Table1[[#This Row],[Included?]],Table1[[#This Row],[OB]],"")</f>
        <v/>
      </c>
      <c r="AB98" s="14" t="str">
        <f>IF(Table1[[#This Row],[Included?]], (8*AA$185+Table1[[#This Row],[I OB]])/(8*X$185+Table1[[#This Row],[I PA]]), "")</f>
        <v/>
      </c>
    </row>
    <row r="99" spans="1:28" hidden="1" x14ac:dyDescent="0.25">
      <c r="A99" s="24" t="b">
        <f>IF('Sim Data'!A99&gt;0, TRUE, FALSE)</f>
        <v>0</v>
      </c>
      <c r="B99">
        <v>98</v>
      </c>
      <c r="C99" s="18" t="s">
        <v>153</v>
      </c>
      <c r="D99" s="18" t="s">
        <v>85</v>
      </c>
      <c r="E99" s="18" t="s">
        <v>154</v>
      </c>
      <c r="F99" s="43" t="s">
        <v>46</v>
      </c>
      <c r="G99" s="19">
        <v>6</v>
      </c>
      <c r="H99" s="18">
        <v>2.4340000000000002</v>
      </c>
      <c r="I99" s="18">
        <v>0.53700000000000003</v>
      </c>
      <c r="J99" s="18">
        <v>2.5640000000000001</v>
      </c>
      <c r="K99" s="18">
        <v>0.46100000000000002</v>
      </c>
      <c r="L99" s="18">
        <v>0.31751998100815071</v>
      </c>
      <c r="M99" s="18">
        <v>25.273999999999997</v>
      </c>
      <c r="N99" s="18">
        <v>5.5149999999999997</v>
      </c>
      <c r="O99" s="18">
        <v>2.08</v>
      </c>
      <c r="P99" s="10">
        <f>Table1[[#This Row],[OBP]]*Table1[[#This Row],[PA]]</f>
        <v>8.0250000000000004</v>
      </c>
      <c r="Q99" s="10">
        <f>(8*P$185+Table1[[#This Row],[OB]])/(8*M$185+Table1[[#This Row],[PA]])</f>
        <v>0.32687351517100222</v>
      </c>
      <c r="R99" s="11" t="str">
        <f>IF(Table1[[#This Row],[Included?]],Table1[[#This Row],[g]],"")</f>
        <v/>
      </c>
      <c r="S99" s="11" t="str">
        <f>IF(Table1[[#This Row],[Included?]],Table1[[#This Row],[R]],"")</f>
        <v/>
      </c>
      <c r="T99" s="11" t="str">
        <f>IF(Table1[[#This Row],[Included?]],Table1[[#This Row],[HR]],"")</f>
        <v/>
      </c>
      <c r="U99" s="11" t="str">
        <f>IF(Table1[[#This Row],[Included?]],Table1[[#This Row],[RBI]],"")</f>
        <v/>
      </c>
      <c r="V99" s="11" t="str">
        <f>IF(Table1[[#This Row],[Included?]],Table1[[#This Row],[SB]],"")</f>
        <v/>
      </c>
      <c r="W99" s="11" t="str">
        <f>IF(Table1[[#This Row],[Included?]],Table1[[#This Row],[OBP]],"")</f>
        <v/>
      </c>
      <c r="X99" s="11" t="str">
        <f>IF(Table1[[#This Row],[Included?]],Table1[[#This Row],[PA]],"")</f>
        <v/>
      </c>
      <c r="Y99" s="11" t="str">
        <f>IF(Table1[[#This Row],[Included?]],Table1[[#This Row],[H]],"")</f>
        <v/>
      </c>
      <c r="Z99" s="11" t="str">
        <f>IF(Table1[[#This Row],[Included?]],Table1[[#This Row],[BB]],"")</f>
        <v/>
      </c>
      <c r="AA99" s="11" t="str">
        <f>IF(Table1[[#This Row],[Included?]],Table1[[#This Row],[OB]],"")</f>
        <v/>
      </c>
      <c r="AB99" s="14" t="str">
        <f>IF(Table1[[#This Row],[Included?]], (8*AA$185+Table1[[#This Row],[I OB]])/(8*X$185+Table1[[#This Row],[I PA]]), "")</f>
        <v/>
      </c>
    </row>
    <row r="100" spans="1:28" hidden="1" x14ac:dyDescent="0.25">
      <c r="A100" s="23" t="b">
        <f>IF('Sim Data'!A100&gt;0, TRUE, FALSE)</f>
        <v>1</v>
      </c>
      <c r="B100">
        <v>99</v>
      </c>
      <c r="C100" s="18" t="s">
        <v>273</v>
      </c>
      <c r="D100" s="18" t="s">
        <v>76</v>
      </c>
      <c r="E100" s="18" t="s">
        <v>43</v>
      </c>
      <c r="F100" s="43" t="s">
        <v>37</v>
      </c>
      <c r="G100" s="19">
        <v>6</v>
      </c>
      <c r="H100" s="18">
        <v>2.496</v>
      </c>
      <c r="I100" s="18">
        <v>0.85500000000000009</v>
      </c>
      <c r="J100" s="18">
        <v>2.6579999999999999</v>
      </c>
      <c r="K100" s="18">
        <v>5.7999999999999996E-2</v>
      </c>
      <c r="L100" s="18">
        <v>0.38023202330454331</v>
      </c>
      <c r="M100" s="18">
        <v>19.567</v>
      </c>
      <c r="N100" s="18">
        <v>4.5329999999999995</v>
      </c>
      <c r="O100" s="18">
        <v>2.8090000000000002</v>
      </c>
      <c r="P100" s="10">
        <f>Table1[[#This Row],[OBP]]*Table1[[#This Row],[PA]]</f>
        <v>7.4399999999999986</v>
      </c>
      <c r="Q100" s="10">
        <f>(8*P$185+Table1[[#This Row],[OB]])/(8*M$185+Table1[[#This Row],[PA]])</f>
        <v>0.33284182464015022</v>
      </c>
      <c r="R100" s="11">
        <f>IF(Table1[[#This Row],[Included?]],Table1[[#This Row],[g]],"")</f>
        <v>6</v>
      </c>
      <c r="S100" s="11">
        <f>IF(Table1[[#This Row],[Included?]],Table1[[#This Row],[R]],"")</f>
        <v>2.496</v>
      </c>
      <c r="T100" s="11">
        <f>IF(Table1[[#This Row],[Included?]],Table1[[#This Row],[HR]],"")</f>
        <v>0.85500000000000009</v>
      </c>
      <c r="U100" s="11">
        <f>IF(Table1[[#This Row],[Included?]],Table1[[#This Row],[RBI]],"")</f>
        <v>2.6579999999999999</v>
      </c>
      <c r="V100" s="11">
        <f>IF(Table1[[#This Row],[Included?]],Table1[[#This Row],[SB]],"")</f>
        <v>5.7999999999999996E-2</v>
      </c>
      <c r="W100" s="11">
        <f>IF(Table1[[#This Row],[Included?]],Table1[[#This Row],[OBP]],"")</f>
        <v>0.38023202330454331</v>
      </c>
      <c r="X100" s="11">
        <f>IF(Table1[[#This Row],[Included?]],Table1[[#This Row],[PA]],"")</f>
        <v>19.567</v>
      </c>
      <c r="Y100" s="11">
        <f>IF(Table1[[#This Row],[Included?]],Table1[[#This Row],[H]],"")</f>
        <v>4.5329999999999995</v>
      </c>
      <c r="Z100" s="11">
        <f>IF(Table1[[#This Row],[Included?]],Table1[[#This Row],[BB]],"")</f>
        <v>2.8090000000000002</v>
      </c>
      <c r="AA100" s="11">
        <f>IF(Table1[[#This Row],[Included?]],Table1[[#This Row],[OB]],"")</f>
        <v>7.4399999999999986</v>
      </c>
      <c r="AB100" s="14">
        <f>IF(Table1[[#This Row],[Included?]], (8*AA$185+Table1[[#This Row],[I OB]])/(8*X$185+Table1[[#This Row],[I PA]]), "")</f>
        <v>0.34864712913761359</v>
      </c>
    </row>
    <row r="101" spans="1:28" hidden="1" x14ac:dyDescent="0.25">
      <c r="A101" s="24" t="b">
        <f>IF('Sim Data'!A101&gt;0, TRUE, FALSE)</f>
        <v>0</v>
      </c>
      <c r="B101">
        <v>100</v>
      </c>
      <c r="C101" s="18" t="s">
        <v>164</v>
      </c>
      <c r="D101" s="18" t="s">
        <v>32</v>
      </c>
      <c r="E101" s="18" t="s">
        <v>37</v>
      </c>
      <c r="F101" s="43" t="s">
        <v>37</v>
      </c>
      <c r="G101" s="19">
        <v>6</v>
      </c>
      <c r="H101" s="18">
        <v>2.6440000000000001</v>
      </c>
      <c r="I101" s="18">
        <v>0.79100000000000004</v>
      </c>
      <c r="J101" s="18">
        <v>2.992</v>
      </c>
      <c r="K101" s="18">
        <v>0</v>
      </c>
      <c r="L101" s="18">
        <v>0.29846634595616955</v>
      </c>
      <c r="M101" s="18">
        <v>24.320999999999998</v>
      </c>
      <c r="N101" s="18">
        <v>6.0860000000000003</v>
      </c>
      <c r="O101" s="18">
        <v>1.149</v>
      </c>
      <c r="P101" s="10">
        <f>Table1[[#This Row],[OBP]]*Table1[[#This Row],[PA]]</f>
        <v>7.2589999999999995</v>
      </c>
      <c r="Q101" s="10">
        <f>(8*P$185+Table1[[#This Row],[OB]])/(8*M$185+Table1[[#This Row],[PA]])</f>
        <v>0.32480104397433579</v>
      </c>
      <c r="R101" s="11" t="str">
        <f>IF(Table1[[#This Row],[Included?]],Table1[[#This Row],[g]],"")</f>
        <v/>
      </c>
      <c r="S101" s="11" t="str">
        <f>IF(Table1[[#This Row],[Included?]],Table1[[#This Row],[R]],"")</f>
        <v/>
      </c>
      <c r="T101" s="11" t="str">
        <f>IF(Table1[[#This Row],[Included?]],Table1[[#This Row],[HR]],"")</f>
        <v/>
      </c>
      <c r="U101" s="11" t="str">
        <f>IF(Table1[[#This Row],[Included?]],Table1[[#This Row],[RBI]],"")</f>
        <v/>
      </c>
      <c r="V101" s="11" t="str">
        <f>IF(Table1[[#This Row],[Included?]],Table1[[#This Row],[SB]],"")</f>
        <v/>
      </c>
      <c r="W101" s="11" t="str">
        <f>IF(Table1[[#This Row],[Included?]],Table1[[#This Row],[OBP]],"")</f>
        <v/>
      </c>
      <c r="X101" s="11" t="str">
        <f>IF(Table1[[#This Row],[Included?]],Table1[[#This Row],[PA]],"")</f>
        <v/>
      </c>
      <c r="Y101" s="11" t="str">
        <f>IF(Table1[[#This Row],[Included?]],Table1[[#This Row],[H]],"")</f>
        <v/>
      </c>
      <c r="Z101" s="11" t="str">
        <f>IF(Table1[[#This Row],[Included?]],Table1[[#This Row],[BB]],"")</f>
        <v/>
      </c>
      <c r="AA101" s="11" t="str">
        <f>IF(Table1[[#This Row],[Included?]],Table1[[#This Row],[OB]],"")</f>
        <v/>
      </c>
      <c r="AB101" s="14" t="str">
        <f>IF(Table1[[#This Row],[Included?]], (8*AA$185+Table1[[#This Row],[I OB]])/(8*X$185+Table1[[#This Row],[I PA]]), "")</f>
        <v/>
      </c>
    </row>
    <row r="102" spans="1:28" hidden="1" x14ac:dyDescent="0.25">
      <c r="A102" s="23" t="b">
        <f>IF('Sim Data'!A102&gt;0, TRUE, FALSE)</f>
        <v>1</v>
      </c>
      <c r="B102">
        <v>101</v>
      </c>
      <c r="C102" s="18" t="s">
        <v>274</v>
      </c>
      <c r="D102" s="18" t="s">
        <v>23</v>
      </c>
      <c r="E102" s="18" t="s">
        <v>21</v>
      </c>
      <c r="F102" s="43" t="s">
        <v>21</v>
      </c>
      <c r="G102" s="19">
        <v>6</v>
      </c>
      <c r="H102" s="18">
        <v>3.0030000000000001</v>
      </c>
      <c r="I102" s="18">
        <v>0.60099999999999998</v>
      </c>
      <c r="J102" s="18">
        <v>2.226</v>
      </c>
      <c r="K102" s="18">
        <v>0.30399999999999999</v>
      </c>
      <c r="L102" s="18">
        <v>0.32944670072928955</v>
      </c>
      <c r="M102" s="18">
        <v>22.901000000000003</v>
      </c>
      <c r="N102" s="18">
        <v>5.6630000000000003</v>
      </c>
      <c r="O102" s="18">
        <v>1.7449999999999999</v>
      </c>
      <c r="P102" s="10">
        <f>Table1[[#This Row],[OBP]]*Table1[[#This Row],[PA]]</f>
        <v>7.5446588934014613</v>
      </c>
      <c r="Q102" s="10">
        <f>(8*P$185+Table1[[#This Row],[OB]])/(8*M$185+Table1[[#This Row],[PA]])</f>
        <v>0.32822899508799508</v>
      </c>
      <c r="R102" s="11">
        <f>IF(Table1[[#This Row],[Included?]],Table1[[#This Row],[g]],"")</f>
        <v>6</v>
      </c>
      <c r="S102" s="11">
        <f>IF(Table1[[#This Row],[Included?]],Table1[[#This Row],[R]],"")</f>
        <v>3.0030000000000001</v>
      </c>
      <c r="T102" s="11">
        <f>IF(Table1[[#This Row],[Included?]],Table1[[#This Row],[HR]],"")</f>
        <v>0.60099999999999998</v>
      </c>
      <c r="U102" s="11">
        <f>IF(Table1[[#This Row],[Included?]],Table1[[#This Row],[RBI]],"")</f>
        <v>2.226</v>
      </c>
      <c r="V102" s="11">
        <f>IF(Table1[[#This Row],[Included?]],Table1[[#This Row],[SB]],"")</f>
        <v>0.30399999999999999</v>
      </c>
      <c r="W102" s="11">
        <f>IF(Table1[[#This Row],[Included?]],Table1[[#This Row],[OBP]],"")</f>
        <v>0.32944670072928955</v>
      </c>
      <c r="X102" s="11">
        <f>IF(Table1[[#This Row],[Included?]],Table1[[#This Row],[PA]],"")</f>
        <v>22.901000000000003</v>
      </c>
      <c r="Y102" s="11">
        <f>IF(Table1[[#This Row],[Included?]],Table1[[#This Row],[H]],"")</f>
        <v>5.6630000000000003</v>
      </c>
      <c r="Z102" s="11">
        <f>IF(Table1[[#This Row],[Included?]],Table1[[#This Row],[BB]],"")</f>
        <v>1.7449999999999999</v>
      </c>
      <c r="AA102" s="11">
        <f>IF(Table1[[#This Row],[Included?]],Table1[[#This Row],[OB]],"")</f>
        <v>7.5446588934014613</v>
      </c>
      <c r="AB102" s="14">
        <f>IF(Table1[[#This Row],[Included?]], (8*AA$185+Table1[[#This Row],[I OB]])/(8*X$185+Table1[[#This Row],[I PA]]), "")</f>
        <v>0.34402761423533085</v>
      </c>
    </row>
    <row r="103" spans="1:28" x14ac:dyDescent="0.25">
      <c r="A103" s="24" t="b">
        <f>IF('Sim Data'!A103&gt;0, TRUE, FALSE)</f>
        <v>1</v>
      </c>
      <c r="B103">
        <v>102</v>
      </c>
      <c r="C103" s="18" t="s">
        <v>141</v>
      </c>
      <c r="D103" s="18" t="s">
        <v>70</v>
      </c>
      <c r="E103" s="18" t="s">
        <v>142</v>
      </c>
      <c r="F103" s="43" t="s">
        <v>30</v>
      </c>
      <c r="G103" s="19">
        <v>6</v>
      </c>
      <c r="H103" s="18">
        <v>2.7589999999999999</v>
      </c>
      <c r="I103" s="18">
        <v>0.10100000000000001</v>
      </c>
      <c r="J103" s="18">
        <v>1.8409999999999997</v>
      </c>
      <c r="K103" s="18">
        <v>0.83900000000000008</v>
      </c>
      <c r="L103" s="18">
        <v>0.34270493078239223</v>
      </c>
      <c r="M103" s="18">
        <v>25.716999999999999</v>
      </c>
      <c r="N103" s="18">
        <v>6.165</v>
      </c>
      <c r="O103" s="18">
        <v>2.4929999999999999</v>
      </c>
      <c r="P103" s="10">
        <f>Table1[[#This Row],[OBP]]*Table1[[#This Row],[PA]]</f>
        <v>8.8133427049307809</v>
      </c>
      <c r="Q103" s="10">
        <f>(8*P$185+Table1[[#This Row],[OB]])/(8*M$185+Table1[[#This Row],[PA]])</f>
        <v>0.32978948334535674</v>
      </c>
      <c r="R103" s="11">
        <f>IF(Table1[[#This Row],[Included?]],Table1[[#This Row],[g]],"")</f>
        <v>6</v>
      </c>
      <c r="S103" s="11">
        <f>IF(Table1[[#This Row],[Included?]],Table1[[#This Row],[R]],"")</f>
        <v>2.7589999999999999</v>
      </c>
      <c r="T103" s="11">
        <f>IF(Table1[[#This Row],[Included?]],Table1[[#This Row],[HR]],"")</f>
        <v>0.10100000000000001</v>
      </c>
      <c r="U103" s="11">
        <f>IF(Table1[[#This Row],[Included?]],Table1[[#This Row],[RBI]],"")</f>
        <v>1.8409999999999997</v>
      </c>
      <c r="V103" s="11">
        <f>IF(Table1[[#This Row],[Included?]],Table1[[#This Row],[SB]],"")</f>
        <v>0.83900000000000008</v>
      </c>
      <c r="W103" s="11">
        <f>IF(Table1[[#This Row],[Included?]],Table1[[#This Row],[OBP]],"")</f>
        <v>0.34270493078239223</v>
      </c>
      <c r="X103" s="11">
        <f>IF(Table1[[#This Row],[Included?]],Table1[[#This Row],[PA]],"")</f>
        <v>25.716999999999999</v>
      </c>
      <c r="Y103" s="11">
        <f>IF(Table1[[#This Row],[Included?]],Table1[[#This Row],[H]],"")</f>
        <v>6.165</v>
      </c>
      <c r="Z103" s="11">
        <f>IF(Table1[[#This Row],[Included?]],Table1[[#This Row],[BB]],"")</f>
        <v>2.4929999999999999</v>
      </c>
      <c r="AA103" s="11">
        <f>IF(Table1[[#This Row],[Included?]],Table1[[#This Row],[OB]],"")</f>
        <v>8.8133427049307809</v>
      </c>
      <c r="AB103" s="14">
        <f>IF(Table1[[#This Row],[Included?]], (8*AA$185+Table1[[#This Row],[I OB]])/(8*X$185+Table1[[#This Row],[I PA]]), "")</f>
        <v>0.34532148860041045</v>
      </c>
    </row>
    <row r="104" spans="1:28" x14ac:dyDescent="0.25">
      <c r="A104" s="23" t="b">
        <f>IF('Sim Data'!A104&gt;0, TRUE, FALSE)</f>
        <v>0</v>
      </c>
      <c r="B104">
        <v>103</v>
      </c>
      <c r="C104" s="18" t="s">
        <v>275</v>
      </c>
      <c r="D104" s="18" t="s">
        <v>72</v>
      </c>
      <c r="E104" s="18" t="s">
        <v>276</v>
      </c>
      <c r="F104" s="43" t="s">
        <v>30</v>
      </c>
      <c r="G104" s="19">
        <v>7</v>
      </c>
      <c r="H104" s="18">
        <v>2.1469999999999998</v>
      </c>
      <c r="I104" s="18">
        <v>0.626</v>
      </c>
      <c r="J104" s="18">
        <v>2.2959999999999998</v>
      </c>
      <c r="K104" s="18">
        <v>0.67899999999999994</v>
      </c>
      <c r="L104" s="18">
        <v>0.30875783625511466</v>
      </c>
      <c r="M104" s="18">
        <v>26.642000000000003</v>
      </c>
      <c r="N104" s="18">
        <v>5.6689999999999996</v>
      </c>
      <c r="O104" s="18">
        <v>2.157</v>
      </c>
      <c r="P104" s="10">
        <f>Table1[[#This Row],[OBP]]*Table1[[#This Row],[PA]]</f>
        <v>8.2259262735087653</v>
      </c>
      <c r="Q104" s="10">
        <f>(8*P$185+Table1[[#This Row],[OB]])/(8*M$185+Table1[[#This Row],[PA]])</f>
        <v>0.32576243583066455</v>
      </c>
      <c r="R104" s="11" t="str">
        <f>IF(Table1[[#This Row],[Included?]],Table1[[#This Row],[g]],"")</f>
        <v/>
      </c>
      <c r="S104" s="11" t="str">
        <f>IF(Table1[[#This Row],[Included?]],Table1[[#This Row],[R]],"")</f>
        <v/>
      </c>
      <c r="T104" s="11" t="str">
        <f>IF(Table1[[#This Row],[Included?]],Table1[[#This Row],[HR]],"")</f>
        <v/>
      </c>
      <c r="U104" s="11" t="str">
        <f>IF(Table1[[#This Row],[Included?]],Table1[[#This Row],[RBI]],"")</f>
        <v/>
      </c>
      <c r="V104" s="11" t="str">
        <f>IF(Table1[[#This Row],[Included?]],Table1[[#This Row],[SB]],"")</f>
        <v/>
      </c>
      <c r="W104" s="11" t="str">
        <f>IF(Table1[[#This Row],[Included?]],Table1[[#This Row],[OBP]],"")</f>
        <v/>
      </c>
      <c r="X104" s="11" t="str">
        <f>IF(Table1[[#This Row],[Included?]],Table1[[#This Row],[PA]],"")</f>
        <v/>
      </c>
      <c r="Y104" s="11" t="str">
        <f>IF(Table1[[#This Row],[Included?]],Table1[[#This Row],[H]],"")</f>
        <v/>
      </c>
      <c r="Z104" s="11" t="str">
        <f>IF(Table1[[#This Row],[Included?]],Table1[[#This Row],[BB]],"")</f>
        <v/>
      </c>
      <c r="AA104" s="11" t="str">
        <f>IF(Table1[[#This Row],[Included?]],Table1[[#This Row],[OB]],"")</f>
        <v/>
      </c>
      <c r="AB104" s="14" t="str">
        <f>IF(Table1[[#This Row],[Included?]], (8*AA$185+Table1[[#This Row],[I OB]])/(8*X$185+Table1[[#This Row],[I PA]]), "")</f>
        <v/>
      </c>
    </row>
    <row r="105" spans="1:28" hidden="1" x14ac:dyDescent="0.25">
      <c r="A105" s="24" t="b">
        <f>IF('Sim Data'!A105&gt;0, TRUE, FALSE)</f>
        <v>0</v>
      </c>
      <c r="B105">
        <v>104</v>
      </c>
      <c r="C105" s="18" t="s">
        <v>125</v>
      </c>
      <c r="D105" s="18" t="s">
        <v>70</v>
      </c>
      <c r="E105" s="18" t="s">
        <v>14</v>
      </c>
      <c r="F105" s="43" t="s">
        <v>14</v>
      </c>
      <c r="G105" s="19">
        <v>6</v>
      </c>
      <c r="H105" s="18">
        <v>2.613</v>
      </c>
      <c r="I105" s="18">
        <v>0.8630000000000001</v>
      </c>
      <c r="J105" s="18">
        <v>2.9409999999999998</v>
      </c>
      <c r="K105" s="18">
        <v>0</v>
      </c>
      <c r="L105" s="18">
        <v>0.29150262467191596</v>
      </c>
      <c r="M105" s="18">
        <v>24.385000000000005</v>
      </c>
      <c r="N105" s="18">
        <v>4.891</v>
      </c>
      <c r="O105" s="18">
        <v>1.972</v>
      </c>
      <c r="P105" s="10">
        <f>Table1[[#This Row],[OBP]]*Table1[[#This Row],[PA]]</f>
        <v>7.108291502624672</v>
      </c>
      <c r="Q105" s="10">
        <f>(8*P$185+Table1[[#This Row],[OB]])/(8*M$185+Table1[[#This Row],[PA]])</f>
        <v>0.32401925186502484</v>
      </c>
      <c r="R105" s="11" t="str">
        <f>IF(Table1[[#This Row],[Included?]],Table1[[#This Row],[g]],"")</f>
        <v/>
      </c>
      <c r="S105" s="11" t="str">
        <f>IF(Table1[[#This Row],[Included?]],Table1[[#This Row],[R]],"")</f>
        <v/>
      </c>
      <c r="T105" s="11" t="str">
        <f>IF(Table1[[#This Row],[Included?]],Table1[[#This Row],[HR]],"")</f>
        <v/>
      </c>
      <c r="U105" s="11" t="str">
        <f>IF(Table1[[#This Row],[Included?]],Table1[[#This Row],[RBI]],"")</f>
        <v/>
      </c>
      <c r="V105" s="11" t="str">
        <f>IF(Table1[[#This Row],[Included?]],Table1[[#This Row],[SB]],"")</f>
        <v/>
      </c>
      <c r="W105" s="11" t="str">
        <f>IF(Table1[[#This Row],[Included?]],Table1[[#This Row],[OBP]],"")</f>
        <v/>
      </c>
      <c r="X105" s="11" t="str">
        <f>IF(Table1[[#This Row],[Included?]],Table1[[#This Row],[PA]],"")</f>
        <v/>
      </c>
      <c r="Y105" s="11" t="str">
        <f>IF(Table1[[#This Row],[Included?]],Table1[[#This Row],[H]],"")</f>
        <v/>
      </c>
      <c r="Z105" s="11" t="str">
        <f>IF(Table1[[#This Row],[Included?]],Table1[[#This Row],[BB]],"")</f>
        <v/>
      </c>
      <c r="AA105" s="11" t="str">
        <f>IF(Table1[[#This Row],[Included?]],Table1[[#This Row],[OB]],"")</f>
        <v/>
      </c>
      <c r="AB105" s="14" t="str">
        <f>IF(Table1[[#This Row],[Included?]], (8*AA$185+Table1[[#This Row],[I OB]])/(8*X$185+Table1[[#This Row],[I PA]]), "")</f>
        <v/>
      </c>
    </row>
    <row r="106" spans="1:28" hidden="1" x14ac:dyDescent="0.25">
      <c r="A106" s="23" t="b">
        <f>IF('Sim Data'!A106&gt;0, TRUE, FALSE)</f>
        <v>0</v>
      </c>
      <c r="B106">
        <v>105</v>
      </c>
      <c r="C106" s="18" t="s">
        <v>108</v>
      </c>
      <c r="D106" s="18" t="s">
        <v>109</v>
      </c>
      <c r="E106" s="18" t="s">
        <v>21</v>
      </c>
      <c r="F106" s="43" t="s">
        <v>21</v>
      </c>
      <c r="G106" s="19">
        <v>6</v>
      </c>
      <c r="H106" s="18">
        <v>2.7629999999999999</v>
      </c>
      <c r="I106" s="18">
        <v>0.39100000000000001</v>
      </c>
      <c r="J106" s="18">
        <v>1.8719999999999999</v>
      </c>
      <c r="K106" s="18">
        <v>0.89</v>
      </c>
      <c r="L106" s="18">
        <v>0.31134873556041215</v>
      </c>
      <c r="M106" s="18">
        <v>25.621000000000002</v>
      </c>
      <c r="N106" s="18">
        <v>5.9420000000000002</v>
      </c>
      <c r="O106" s="18">
        <v>1.881</v>
      </c>
      <c r="P106" s="10">
        <f>Table1[[#This Row],[OBP]]*Table1[[#This Row],[PA]]</f>
        <v>7.9770659537933204</v>
      </c>
      <c r="Q106" s="10">
        <f>(8*P$185+Table1[[#This Row],[OB]])/(8*M$185+Table1[[#This Row],[PA]])</f>
        <v>0.32614205391244205</v>
      </c>
      <c r="R106" s="11" t="str">
        <f>IF(Table1[[#This Row],[Included?]],Table1[[#This Row],[g]],"")</f>
        <v/>
      </c>
      <c r="S106" s="11" t="str">
        <f>IF(Table1[[#This Row],[Included?]],Table1[[#This Row],[R]],"")</f>
        <v/>
      </c>
      <c r="T106" s="11" t="str">
        <f>IF(Table1[[#This Row],[Included?]],Table1[[#This Row],[HR]],"")</f>
        <v/>
      </c>
      <c r="U106" s="11" t="str">
        <f>IF(Table1[[#This Row],[Included?]],Table1[[#This Row],[RBI]],"")</f>
        <v/>
      </c>
      <c r="V106" s="11" t="str">
        <f>IF(Table1[[#This Row],[Included?]],Table1[[#This Row],[SB]],"")</f>
        <v/>
      </c>
      <c r="W106" s="11" t="str">
        <f>IF(Table1[[#This Row],[Included?]],Table1[[#This Row],[OBP]],"")</f>
        <v/>
      </c>
      <c r="X106" s="11" t="str">
        <f>IF(Table1[[#This Row],[Included?]],Table1[[#This Row],[PA]],"")</f>
        <v/>
      </c>
      <c r="Y106" s="11" t="str">
        <f>IF(Table1[[#This Row],[Included?]],Table1[[#This Row],[H]],"")</f>
        <v/>
      </c>
      <c r="Z106" s="11" t="str">
        <f>IF(Table1[[#This Row],[Included?]],Table1[[#This Row],[BB]],"")</f>
        <v/>
      </c>
      <c r="AA106" s="11" t="str">
        <f>IF(Table1[[#This Row],[Included?]],Table1[[#This Row],[OB]],"")</f>
        <v/>
      </c>
      <c r="AB106" s="14" t="str">
        <f>IF(Table1[[#This Row],[Included?]], (8*AA$185+Table1[[#This Row],[I OB]])/(8*X$185+Table1[[#This Row],[I PA]]), "")</f>
        <v/>
      </c>
    </row>
    <row r="107" spans="1:28" hidden="1" x14ac:dyDescent="0.25">
      <c r="A107" s="24" t="b">
        <f>IF('Sim Data'!A107&gt;0, TRUE, FALSE)</f>
        <v>0</v>
      </c>
      <c r="B107">
        <v>106</v>
      </c>
      <c r="C107" s="18" t="s">
        <v>44</v>
      </c>
      <c r="D107" s="18" t="s">
        <v>45</v>
      </c>
      <c r="E107" s="18" t="s">
        <v>46</v>
      </c>
      <c r="F107" s="43" t="s">
        <v>46</v>
      </c>
      <c r="G107" s="19">
        <v>5</v>
      </c>
      <c r="H107" s="18">
        <v>2.7369999999999997</v>
      </c>
      <c r="I107" s="18">
        <v>0.83600000000000008</v>
      </c>
      <c r="J107" s="18">
        <v>1.8890000000000002</v>
      </c>
      <c r="K107" s="18">
        <v>0.47299999999999998</v>
      </c>
      <c r="L107" s="18">
        <v>0.32201466480446927</v>
      </c>
      <c r="M107" s="18">
        <v>22.912000000000003</v>
      </c>
      <c r="N107" s="18">
        <v>4.798</v>
      </c>
      <c r="O107" s="18">
        <v>2.282</v>
      </c>
      <c r="P107" s="10">
        <f>Table1[[#This Row],[OBP]]*Table1[[#This Row],[PA]]</f>
        <v>7.378000000000001</v>
      </c>
      <c r="Q107" s="10">
        <f>(8*P$185+Table1[[#This Row],[OB]])/(8*M$185+Table1[[#This Row],[PA]])</f>
        <v>0.32744754614396926</v>
      </c>
      <c r="R107" s="11" t="str">
        <f>IF(Table1[[#This Row],[Included?]],Table1[[#This Row],[g]],"")</f>
        <v/>
      </c>
      <c r="S107" s="11" t="str">
        <f>IF(Table1[[#This Row],[Included?]],Table1[[#This Row],[R]],"")</f>
        <v/>
      </c>
      <c r="T107" s="11" t="str">
        <f>IF(Table1[[#This Row],[Included?]],Table1[[#This Row],[HR]],"")</f>
        <v/>
      </c>
      <c r="U107" s="11" t="str">
        <f>IF(Table1[[#This Row],[Included?]],Table1[[#This Row],[RBI]],"")</f>
        <v/>
      </c>
      <c r="V107" s="11" t="str">
        <f>IF(Table1[[#This Row],[Included?]],Table1[[#This Row],[SB]],"")</f>
        <v/>
      </c>
      <c r="W107" s="11" t="str">
        <f>IF(Table1[[#This Row],[Included?]],Table1[[#This Row],[OBP]],"")</f>
        <v/>
      </c>
      <c r="X107" s="11" t="str">
        <f>IF(Table1[[#This Row],[Included?]],Table1[[#This Row],[PA]],"")</f>
        <v/>
      </c>
      <c r="Y107" s="11" t="str">
        <f>IF(Table1[[#This Row],[Included?]],Table1[[#This Row],[H]],"")</f>
        <v/>
      </c>
      <c r="Z107" s="11" t="str">
        <f>IF(Table1[[#This Row],[Included?]],Table1[[#This Row],[BB]],"")</f>
        <v/>
      </c>
      <c r="AA107" s="11" t="str">
        <f>IF(Table1[[#This Row],[Included?]],Table1[[#This Row],[OB]],"")</f>
        <v/>
      </c>
      <c r="AB107" s="14" t="str">
        <f>IF(Table1[[#This Row],[Included?]], (8*AA$185+Table1[[#This Row],[I OB]])/(8*X$185+Table1[[#This Row],[I PA]]), "")</f>
        <v/>
      </c>
    </row>
    <row r="108" spans="1:28" hidden="1" x14ac:dyDescent="0.25">
      <c r="A108" s="23" t="b">
        <f>IF('Sim Data'!A108&gt;0, TRUE, FALSE)</f>
        <v>1</v>
      </c>
      <c r="B108">
        <v>107</v>
      </c>
      <c r="C108" s="18" t="s">
        <v>50</v>
      </c>
      <c r="D108" s="18" t="s">
        <v>49</v>
      </c>
      <c r="E108" s="18" t="s">
        <v>16</v>
      </c>
      <c r="F108" s="43" t="s">
        <v>16</v>
      </c>
      <c r="G108" s="19">
        <v>5</v>
      </c>
      <c r="H108" s="18">
        <v>2.6909999999999998</v>
      </c>
      <c r="I108" s="18">
        <v>0.70099999999999996</v>
      </c>
      <c r="J108" s="18">
        <v>1.94</v>
      </c>
      <c r="K108" s="18">
        <v>0.63800000000000001</v>
      </c>
      <c r="L108" s="18">
        <v>0.32840118725911482</v>
      </c>
      <c r="M108" s="18">
        <v>22.571999999999999</v>
      </c>
      <c r="N108" s="18">
        <v>5.7940000000000005</v>
      </c>
      <c r="O108" s="18">
        <v>1.5510000000000002</v>
      </c>
      <c r="P108" s="10">
        <f>Table1[[#This Row],[OBP]]*Table1[[#This Row],[PA]]</f>
        <v>7.4126715988127394</v>
      </c>
      <c r="Q108" s="10">
        <f>(8*P$185+Table1[[#This Row],[OB]])/(8*M$185+Table1[[#This Row],[PA]])</f>
        <v>0.32811867550390705</v>
      </c>
      <c r="R108" s="11">
        <f>IF(Table1[[#This Row],[Included?]],Table1[[#This Row],[g]],"")</f>
        <v>5</v>
      </c>
      <c r="S108" s="11">
        <f>IF(Table1[[#This Row],[Included?]],Table1[[#This Row],[R]],"")</f>
        <v>2.6909999999999998</v>
      </c>
      <c r="T108" s="11">
        <f>IF(Table1[[#This Row],[Included?]],Table1[[#This Row],[HR]],"")</f>
        <v>0.70099999999999996</v>
      </c>
      <c r="U108" s="11">
        <f>IF(Table1[[#This Row],[Included?]],Table1[[#This Row],[RBI]],"")</f>
        <v>1.94</v>
      </c>
      <c r="V108" s="11">
        <f>IF(Table1[[#This Row],[Included?]],Table1[[#This Row],[SB]],"")</f>
        <v>0.63800000000000001</v>
      </c>
      <c r="W108" s="11">
        <f>IF(Table1[[#This Row],[Included?]],Table1[[#This Row],[OBP]],"")</f>
        <v>0.32840118725911482</v>
      </c>
      <c r="X108" s="11">
        <f>IF(Table1[[#This Row],[Included?]],Table1[[#This Row],[PA]],"")</f>
        <v>22.571999999999999</v>
      </c>
      <c r="Y108" s="11">
        <f>IF(Table1[[#This Row],[Included?]],Table1[[#This Row],[H]],"")</f>
        <v>5.7940000000000005</v>
      </c>
      <c r="Z108" s="11">
        <f>IF(Table1[[#This Row],[Included?]],Table1[[#This Row],[BB]],"")</f>
        <v>1.5510000000000002</v>
      </c>
      <c r="AA108" s="11">
        <f>IF(Table1[[#This Row],[Included?]],Table1[[#This Row],[OB]],"")</f>
        <v>7.4126715988127394</v>
      </c>
      <c r="AB108" s="14">
        <f>IF(Table1[[#This Row],[Included?]], (8*AA$185+Table1[[#This Row],[I OB]])/(8*X$185+Table1[[#This Row],[I PA]]), "")</f>
        <v>0.34394537962289046</v>
      </c>
    </row>
    <row r="109" spans="1:28" hidden="1" x14ac:dyDescent="0.25">
      <c r="A109" s="24" t="b">
        <v>0</v>
      </c>
      <c r="B109">
        <v>108</v>
      </c>
      <c r="C109" s="18" t="s">
        <v>130</v>
      </c>
      <c r="D109" s="18" t="s">
        <v>109</v>
      </c>
      <c r="E109" s="18" t="s">
        <v>21</v>
      </c>
      <c r="F109" s="43" t="s">
        <v>21</v>
      </c>
      <c r="G109" s="19">
        <v>6</v>
      </c>
      <c r="H109" s="18">
        <v>2.5719999999999996</v>
      </c>
      <c r="I109" s="18">
        <v>0.247</v>
      </c>
      <c r="J109" s="18">
        <v>2.5919999999999996</v>
      </c>
      <c r="K109" s="18">
        <v>4.5999999999999999E-2</v>
      </c>
      <c r="L109" s="18">
        <v>0.34941844085805129</v>
      </c>
      <c r="M109" s="18">
        <v>24.844000000000001</v>
      </c>
      <c r="N109" s="18">
        <v>6.0399999999999991</v>
      </c>
      <c r="O109" s="18">
        <v>2.5180000000000002</v>
      </c>
      <c r="P109" s="10">
        <f>Table1[[#This Row],[OBP]]*Table1[[#This Row],[PA]]</f>
        <v>8.6809517446774276</v>
      </c>
      <c r="Q109" s="10">
        <f>(8*P$185+Table1[[#This Row],[OB]])/(8*M$185+Table1[[#This Row],[PA]])</f>
        <v>0.33049694533558971</v>
      </c>
      <c r="R109" s="11" t="str">
        <f>IF(Table1[[#This Row],[Included?]],Table1[[#This Row],[g]],"")</f>
        <v/>
      </c>
      <c r="S109" s="11" t="str">
        <f>IF(Table1[[#This Row],[Included?]],Table1[[#This Row],[R]],"")</f>
        <v/>
      </c>
      <c r="T109" s="11" t="str">
        <f>IF(Table1[[#This Row],[Included?]],Table1[[#This Row],[HR]],"")</f>
        <v/>
      </c>
      <c r="U109" s="11" t="str">
        <f>IF(Table1[[#This Row],[Included?]],Table1[[#This Row],[RBI]],"")</f>
        <v/>
      </c>
      <c r="V109" s="11" t="str">
        <f>IF(Table1[[#This Row],[Included?]],Table1[[#This Row],[SB]],"")</f>
        <v/>
      </c>
      <c r="W109" s="11" t="str">
        <f>IF(Table1[[#This Row],[Included?]],Table1[[#This Row],[OBP]],"")</f>
        <v/>
      </c>
      <c r="X109" s="11" t="str">
        <f>IF(Table1[[#This Row],[Included?]],Table1[[#This Row],[PA]],"")</f>
        <v/>
      </c>
      <c r="Y109" s="11" t="str">
        <f>IF(Table1[[#This Row],[Included?]],Table1[[#This Row],[H]],"")</f>
        <v/>
      </c>
      <c r="Z109" s="11" t="str">
        <f>IF(Table1[[#This Row],[Included?]],Table1[[#This Row],[BB]],"")</f>
        <v/>
      </c>
      <c r="AA109" s="11" t="str">
        <f>IF(Table1[[#This Row],[Included?]],Table1[[#This Row],[OB]],"")</f>
        <v/>
      </c>
      <c r="AB109" s="14" t="str">
        <f>IF(Table1[[#This Row],[Included?]], (8*AA$185+Table1[[#This Row],[I OB]])/(8*X$185+Table1[[#This Row],[I PA]]), "")</f>
        <v/>
      </c>
    </row>
    <row r="110" spans="1:28" x14ac:dyDescent="0.25">
      <c r="A110" s="23" t="b">
        <f>IF('Sim Data'!A110&gt;0, TRUE, FALSE)</f>
        <v>0</v>
      </c>
      <c r="B110">
        <v>109</v>
      </c>
      <c r="C110" s="18" t="s">
        <v>160</v>
      </c>
      <c r="D110" s="18" t="s">
        <v>13</v>
      </c>
      <c r="E110" s="18" t="s">
        <v>161</v>
      </c>
      <c r="F110" s="43" t="s">
        <v>30</v>
      </c>
      <c r="G110" s="19">
        <v>7</v>
      </c>
      <c r="H110" s="18">
        <v>2.2799999999999998</v>
      </c>
      <c r="I110" s="18">
        <v>0.56399999999999995</v>
      </c>
      <c r="J110" s="18">
        <v>2.0949999999999998</v>
      </c>
      <c r="K110" s="18">
        <v>0.29699999999999999</v>
      </c>
      <c r="L110" s="18">
        <v>0.3127911142959513</v>
      </c>
      <c r="M110" s="18">
        <v>27.909999999999997</v>
      </c>
      <c r="N110" s="18">
        <v>5.94</v>
      </c>
      <c r="O110" s="18">
        <v>2.371</v>
      </c>
      <c r="P110" s="10">
        <f>Table1[[#This Row],[OBP]]*Table1[[#This Row],[PA]]</f>
        <v>8.73</v>
      </c>
      <c r="Q110" s="10">
        <f>(8*P$185+Table1[[#This Row],[OB]])/(8*M$185+Table1[[#This Row],[PA]])</f>
        <v>0.32617074501778531</v>
      </c>
      <c r="R110" s="11" t="str">
        <f>IF(Table1[[#This Row],[Included?]],Table1[[#This Row],[g]],"")</f>
        <v/>
      </c>
      <c r="S110" s="11" t="str">
        <f>IF(Table1[[#This Row],[Included?]],Table1[[#This Row],[R]],"")</f>
        <v/>
      </c>
      <c r="T110" s="11" t="str">
        <f>IF(Table1[[#This Row],[Included?]],Table1[[#This Row],[HR]],"")</f>
        <v/>
      </c>
      <c r="U110" s="11" t="str">
        <f>IF(Table1[[#This Row],[Included?]],Table1[[#This Row],[RBI]],"")</f>
        <v/>
      </c>
      <c r="V110" s="11" t="str">
        <f>IF(Table1[[#This Row],[Included?]],Table1[[#This Row],[SB]],"")</f>
        <v/>
      </c>
      <c r="W110" s="11" t="str">
        <f>IF(Table1[[#This Row],[Included?]],Table1[[#This Row],[OBP]],"")</f>
        <v/>
      </c>
      <c r="X110" s="11" t="str">
        <f>IF(Table1[[#This Row],[Included?]],Table1[[#This Row],[PA]],"")</f>
        <v/>
      </c>
      <c r="Y110" s="11" t="str">
        <f>IF(Table1[[#This Row],[Included?]],Table1[[#This Row],[H]],"")</f>
        <v/>
      </c>
      <c r="Z110" s="11" t="str">
        <f>IF(Table1[[#This Row],[Included?]],Table1[[#This Row],[BB]],"")</f>
        <v/>
      </c>
      <c r="AA110" s="11" t="str">
        <f>IF(Table1[[#This Row],[Included?]],Table1[[#This Row],[OB]],"")</f>
        <v/>
      </c>
      <c r="AB110" s="14" t="str">
        <f>IF(Table1[[#This Row],[Included?]], (8*AA$185+Table1[[#This Row],[I OB]])/(8*X$185+Table1[[#This Row],[I PA]]), "")</f>
        <v/>
      </c>
    </row>
    <row r="111" spans="1:28" hidden="1" x14ac:dyDescent="0.25">
      <c r="A111" s="24" t="b">
        <f>IF('Sim Data'!A111&gt;0, TRUE, FALSE)</f>
        <v>0</v>
      </c>
      <c r="B111">
        <v>110</v>
      </c>
      <c r="C111" s="18" t="s">
        <v>277</v>
      </c>
      <c r="D111" s="18" t="s">
        <v>90</v>
      </c>
      <c r="E111" s="18" t="s">
        <v>14</v>
      </c>
      <c r="F111" s="43" t="s">
        <v>14</v>
      </c>
      <c r="G111" s="19">
        <v>6</v>
      </c>
      <c r="H111" s="18">
        <v>2.1869999999999998</v>
      </c>
      <c r="I111" s="18">
        <v>0.89400000000000002</v>
      </c>
      <c r="J111" s="18">
        <v>2.028</v>
      </c>
      <c r="K111" s="18">
        <v>0.20300000000000001</v>
      </c>
      <c r="L111" s="18">
        <v>0.33849979278905923</v>
      </c>
      <c r="M111" s="18">
        <v>24.130000000000003</v>
      </c>
      <c r="N111" s="18">
        <v>4.585</v>
      </c>
      <c r="O111" s="18">
        <v>3.367</v>
      </c>
      <c r="P111" s="10">
        <f>Table1[[#This Row],[OBP]]*Table1[[#This Row],[PA]]</f>
        <v>8.1679999999999993</v>
      </c>
      <c r="Q111" s="10">
        <f>(8*P$185+Table1[[#This Row],[OB]])/(8*M$185+Table1[[#This Row],[PA]])</f>
        <v>0.32923283023523947</v>
      </c>
      <c r="R111" s="11" t="str">
        <f>IF(Table1[[#This Row],[Included?]],Table1[[#This Row],[g]],"")</f>
        <v/>
      </c>
      <c r="S111" s="11" t="str">
        <f>IF(Table1[[#This Row],[Included?]],Table1[[#This Row],[R]],"")</f>
        <v/>
      </c>
      <c r="T111" s="11" t="str">
        <f>IF(Table1[[#This Row],[Included?]],Table1[[#This Row],[HR]],"")</f>
        <v/>
      </c>
      <c r="U111" s="11" t="str">
        <f>IF(Table1[[#This Row],[Included?]],Table1[[#This Row],[RBI]],"")</f>
        <v/>
      </c>
      <c r="V111" s="11" t="str">
        <f>IF(Table1[[#This Row],[Included?]],Table1[[#This Row],[SB]],"")</f>
        <v/>
      </c>
      <c r="W111" s="11" t="str">
        <f>IF(Table1[[#This Row],[Included?]],Table1[[#This Row],[OBP]],"")</f>
        <v/>
      </c>
      <c r="X111" s="11" t="str">
        <f>IF(Table1[[#This Row],[Included?]],Table1[[#This Row],[PA]],"")</f>
        <v/>
      </c>
      <c r="Y111" s="11" t="str">
        <f>IF(Table1[[#This Row],[Included?]],Table1[[#This Row],[H]],"")</f>
        <v/>
      </c>
      <c r="Z111" s="11" t="str">
        <f>IF(Table1[[#This Row],[Included?]],Table1[[#This Row],[BB]],"")</f>
        <v/>
      </c>
      <c r="AA111" s="11" t="str">
        <f>IF(Table1[[#This Row],[Included?]],Table1[[#This Row],[OB]],"")</f>
        <v/>
      </c>
      <c r="AB111" s="14" t="str">
        <f>IF(Table1[[#This Row],[Included?]], (8*AA$185+Table1[[#This Row],[I OB]])/(8*X$185+Table1[[#This Row],[I PA]]), "")</f>
        <v/>
      </c>
    </row>
    <row r="112" spans="1:28" hidden="1" x14ac:dyDescent="0.25">
      <c r="A112" s="23" t="b">
        <f>IF('Sim Data'!A112&gt;0, TRUE, FALSE)</f>
        <v>0</v>
      </c>
      <c r="B112">
        <v>111</v>
      </c>
      <c r="C112" s="18" t="s">
        <v>278</v>
      </c>
      <c r="D112" s="18" t="s">
        <v>94</v>
      </c>
      <c r="E112" s="18" t="s">
        <v>46</v>
      </c>
      <c r="F112" s="43" t="s">
        <v>46</v>
      </c>
      <c r="G112" s="19">
        <v>6</v>
      </c>
      <c r="H112" s="18">
        <v>3.3000000000000007</v>
      </c>
      <c r="I112" s="18">
        <v>0.251</v>
      </c>
      <c r="J112" s="18">
        <v>2.0819999999999999</v>
      </c>
      <c r="K112" s="18">
        <v>0.153</v>
      </c>
      <c r="L112" s="18">
        <v>0.29746719783633641</v>
      </c>
      <c r="M112" s="18">
        <v>27.36</v>
      </c>
      <c r="N112" s="18">
        <v>6.3390000000000004</v>
      </c>
      <c r="O112" s="18">
        <v>1.5820000000000001</v>
      </c>
      <c r="P112" s="10">
        <f>Table1[[#This Row],[OBP]]*Table1[[#This Row],[PA]]</f>
        <v>8.1387025328021636</v>
      </c>
      <c r="Q112" s="10">
        <f>(8*P$185+Table1[[#This Row],[OB]])/(8*M$185+Table1[[#This Row],[PA]])</f>
        <v>0.32431813890358097</v>
      </c>
      <c r="R112" s="11" t="str">
        <f>IF(Table1[[#This Row],[Included?]],Table1[[#This Row],[g]],"")</f>
        <v/>
      </c>
      <c r="S112" s="11" t="str">
        <f>IF(Table1[[#This Row],[Included?]],Table1[[#This Row],[R]],"")</f>
        <v/>
      </c>
      <c r="T112" s="11" t="str">
        <f>IF(Table1[[#This Row],[Included?]],Table1[[#This Row],[HR]],"")</f>
        <v/>
      </c>
      <c r="U112" s="11" t="str">
        <f>IF(Table1[[#This Row],[Included?]],Table1[[#This Row],[RBI]],"")</f>
        <v/>
      </c>
      <c r="V112" s="11" t="str">
        <f>IF(Table1[[#This Row],[Included?]],Table1[[#This Row],[SB]],"")</f>
        <v/>
      </c>
      <c r="W112" s="11" t="str">
        <f>IF(Table1[[#This Row],[Included?]],Table1[[#This Row],[OBP]],"")</f>
        <v/>
      </c>
      <c r="X112" s="11" t="str">
        <f>IF(Table1[[#This Row],[Included?]],Table1[[#This Row],[PA]],"")</f>
        <v/>
      </c>
      <c r="Y112" s="11" t="str">
        <f>IF(Table1[[#This Row],[Included?]],Table1[[#This Row],[H]],"")</f>
        <v/>
      </c>
      <c r="Z112" s="11" t="str">
        <f>IF(Table1[[#This Row],[Included?]],Table1[[#This Row],[BB]],"")</f>
        <v/>
      </c>
      <c r="AA112" s="11" t="str">
        <f>IF(Table1[[#This Row],[Included?]],Table1[[#This Row],[OB]],"")</f>
        <v/>
      </c>
      <c r="AB112" s="14" t="str">
        <f>IF(Table1[[#This Row],[Included?]], (8*AA$185+Table1[[#This Row],[I OB]])/(8*X$185+Table1[[#This Row],[I PA]]), "")</f>
        <v/>
      </c>
    </row>
    <row r="113" spans="1:28" x14ac:dyDescent="0.25">
      <c r="A113" s="24" t="b">
        <f>IF('Sim Data'!A113&gt;0, TRUE, FALSE)</f>
        <v>0</v>
      </c>
      <c r="B113">
        <v>112</v>
      </c>
      <c r="C113" s="18" t="s">
        <v>279</v>
      </c>
      <c r="D113" s="18" t="s">
        <v>143</v>
      </c>
      <c r="E113" s="18" t="s">
        <v>30</v>
      </c>
      <c r="F113" s="43" t="s">
        <v>30</v>
      </c>
      <c r="G113" s="19">
        <v>6</v>
      </c>
      <c r="H113" s="18">
        <v>3.02</v>
      </c>
      <c r="I113" s="18">
        <v>0.19500000000000001</v>
      </c>
      <c r="J113" s="18">
        <v>2.524</v>
      </c>
      <c r="K113" s="18">
        <v>0.20600000000000002</v>
      </c>
      <c r="L113" s="18">
        <v>0.30796948671752211</v>
      </c>
      <c r="M113" s="18">
        <v>26.084000000000003</v>
      </c>
      <c r="N113" s="18">
        <v>6.7519999999999998</v>
      </c>
      <c r="O113" s="18">
        <v>1.228</v>
      </c>
      <c r="P113" s="10">
        <f>Table1[[#This Row],[OBP]]*Table1[[#This Row],[PA]]</f>
        <v>8.0330760915398471</v>
      </c>
      <c r="Q113" s="10">
        <f>(8*P$185+Table1[[#This Row],[OB]])/(8*M$185+Table1[[#This Row],[PA]])</f>
        <v>0.3257123377825783</v>
      </c>
      <c r="R113" s="11" t="str">
        <f>IF(Table1[[#This Row],[Included?]],Table1[[#This Row],[g]],"")</f>
        <v/>
      </c>
      <c r="S113" s="11" t="str">
        <f>IF(Table1[[#This Row],[Included?]],Table1[[#This Row],[R]],"")</f>
        <v/>
      </c>
      <c r="T113" s="11" t="str">
        <f>IF(Table1[[#This Row],[Included?]],Table1[[#This Row],[HR]],"")</f>
        <v/>
      </c>
      <c r="U113" s="11" t="str">
        <f>IF(Table1[[#This Row],[Included?]],Table1[[#This Row],[RBI]],"")</f>
        <v/>
      </c>
      <c r="V113" s="11" t="str">
        <f>IF(Table1[[#This Row],[Included?]],Table1[[#This Row],[SB]],"")</f>
        <v/>
      </c>
      <c r="W113" s="11" t="str">
        <f>IF(Table1[[#This Row],[Included?]],Table1[[#This Row],[OBP]],"")</f>
        <v/>
      </c>
      <c r="X113" s="11" t="str">
        <f>IF(Table1[[#This Row],[Included?]],Table1[[#This Row],[PA]],"")</f>
        <v/>
      </c>
      <c r="Y113" s="11" t="str">
        <f>IF(Table1[[#This Row],[Included?]],Table1[[#This Row],[H]],"")</f>
        <v/>
      </c>
      <c r="Z113" s="11" t="str">
        <f>IF(Table1[[#This Row],[Included?]],Table1[[#This Row],[BB]],"")</f>
        <v/>
      </c>
      <c r="AA113" s="11" t="str">
        <f>IF(Table1[[#This Row],[Included?]],Table1[[#This Row],[OB]],"")</f>
        <v/>
      </c>
      <c r="AB113" s="14" t="str">
        <f>IF(Table1[[#This Row],[Included?]], (8*AA$185+Table1[[#This Row],[I OB]])/(8*X$185+Table1[[#This Row],[I PA]]), "")</f>
        <v/>
      </c>
    </row>
    <row r="114" spans="1:28" hidden="1" x14ac:dyDescent="0.25">
      <c r="A114" s="23" t="b">
        <f>IF('Sim Data'!A114&gt;0, TRUE, FALSE)</f>
        <v>0</v>
      </c>
      <c r="B114">
        <v>113</v>
      </c>
      <c r="C114" s="18" t="s">
        <v>113</v>
      </c>
      <c r="D114" s="18" t="s">
        <v>109</v>
      </c>
      <c r="E114" s="18" t="s">
        <v>114</v>
      </c>
      <c r="F114" s="43" t="s">
        <v>46</v>
      </c>
      <c r="G114" s="19">
        <v>6</v>
      </c>
      <c r="H114" s="18">
        <v>2.8929999999999998</v>
      </c>
      <c r="I114" s="18">
        <v>0.23</v>
      </c>
      <c r="J114" s="18">
        <v>1.5410000000000001</v>
      </c>
      <c r="K114" s="18">
        <v>0.78900000000000003</v>
      </c>
      <c r="L114" s="18">
        <v>0.31993153290224419</v>
      </c>
      <c r="M114" s="18">
        <v>26.29</v>
      </c>
      <c r="N114" s="18">
        <v>5.8719999999999999</v>
      </c>
      <c r="O114" s="18">
        <v>2.33</v>
      </c>
      <c r="P114" s="10">
        <f>Table1[[#This Row],[OBP]]*Table1[[#This Row],[PA]]</f>
        <v>8.4109999999999996</v>
      </c>
      <c r="Q114" s="10">
        <f>(8*P$185+Table1[[#This Row],[OB]])/(8*M$185+Table1[[#This Row],[PA]])</f>
        <v>0.32711709609474915</v>
      </c>
      <c r="R114" s="11" t="str">
        <f>IF(Table1[[#This Row],[Included?]],Table1[[#This Row],[g]],"")</f>
        <v/>
      </c>
      <c r="S114" s="11" t="str">
        <f>IF(Table1[[#This Row],[Included?]],Table1[[#This Row],[R]],"")</f>
        <v/>
      </c>
      <c r="T114" s="11" t="str">
        <f>IF(Table1[[#This Row],[Included?]],Table1[[#This Row],[HR]],"")</f>
        <v/>
      </c>
      <c r="U114" s="11" t="str">
        <f>IF(Table1[[#This Row],[Included?]],Table1[[#This Row],[RBI]],"")</f>
        <v/>
      </c>
      <c r="V114" s="11" t="str">
        <f>IF(Table1[[#This Row],[Included?]],Table1[[#This Row],[SB]],"")</f>
        <v/>
      </c>
      <c r="W114" s="11" t="str">
        <f>IF(Table1[[#This Row],[Included?]],Table1[[#This Row],[OBP]],"")</f>
        <v/>
      </c>
      <c r="X114" s="11" t="str">
        <f>IF(Table1[[#This Row],[Included?]],Table1[[#This Row],[PA]],"")</f>
        <v/>
      </c>
      <c r="Y114" s="11" t="str">
        <f>IF(Table1[[#This Row],[Included?]],Table1[[#This Row],[H]],"")</f>
        <v/>
      </c>
      <c r="Z114" s="11" t="str">
        <f>IF(Table1[[#This Row],[Included?]],Table1[[#This Row],[BB]],"")</f>
        <v/>
      </c>
      <c r="AA114" s="11" t="str">
        <f>IF(Table1[[#This Row],[Included?]],Table1[[#This Row],[OB]],"")</f>
        <v/>
      </c>
      <c r="AB114" s="14" t="str">
        <f>IF(Table1[[#This Row],[Included?]], (8*AA$185+Table1[[#This Row],[I OB]])/(8*X$185+Table1[[#This Row],[I PA]]), "")</f>
        <v/>
      </c>
    </row>
    <row r="115" spans="1:28" hidden="1" x14ac:dyDescent="0.25">
      <c r="A115" s="24" t="b">
        <f>IF('Sim Data'!A115&gt;0, TRUE, FALSE)</f>
        <v>0</v>
      </c>
      <c r="B115">
        <v>114</v>
      </c>
      <c r="C115" s="18" t="s">
        <v>48</v>
      </c>
      <c r="D115" s="18" t="s">
        <v>49</v>
      </c>
      <c r="E115" s="18" t="s">
        <v>21</v>
      </c>
      <c r="F115" s="43" t="s">
        <v>21</v>
      </c>
      <c r="G115" s="19">
        <v>5</v>
      </c>
      <c r="H115" s="18">
        <v>2.3850000000000002</v>
      </c>
      <c r="I115" s="18">
        <v>0.92500000000000004</v>
      </c>
      <c r="J115" s="18">
        <v>2.7359999999999998</v>
      </c>
      <c r="K115" s="18">
        <v>0.18099999999999999</v>
      </c>
      <c r="L115" s="18">
        <v>0.31497273871103032</v>
      </c>
      <c r="M115" s="18">
        <v>21.460999999999999</v>
      </c>
      <c r="N115" s="18">
        <v>5.718</v>
      </c>
      <c r="O115" s="18">
        <v>0.72</v>
      </c>
      <c r="P115" s="10">
        <f>Table1[[#This Row],[OBP]]*Table1[[#This Row],[PA]]</f>
        <v>6.7596299454774211</v>
      </c>
      <c r="Q115" s="10">
        <f>(8*P$185+Table1[[#This Row],[OB]])/(8*M$185+Table1[[#This Row],[PA]])</f>
        <v>0.32678572416693064</v>
      </c>
      <c r="R115" s="11" t="str">
        <f>IF(Table1[[#This Row],[Included?]],Table1[[#This Row],[g]],"")</f>
        <v/>
      </c>
      <c r="S115" s="11" t="str">
        <f>IF(Table1[[#This Row],[Included?]],Table1[[#This Row],[R]],"")</f>
        <v/>
      </c>
      <c r="T115" s="11" t="str">
        <f>IF(Table1[[#This Row],[Included?]],Table1[[#This Row],[HR]],"")</f>
        <v/>
      </c>
      <c r="U115" s="11" t="str">
        <f>IF(Table1[[#This Row],[Included?]],Table1[[#This Row],[RBI]],"")</f>
        <v/>
      </c>
      <c r="V115" s="11" t="str">
        <f>IF(Table1[[#This Row],[Included?]],Table1[[#This Row],[SB]],"")</f>
        <v/>
      </c>
      <c r="W115" s="11" t="str">
        <f>IF(Table1[[#This Row],[Included?]],Table1[[#This Row],[OBP]],"")</f>
        <v/>
      </c>
      <c r="X115" s="11" t="str">
        <f>IF(Table1[[#This Row],[Included?]],Table1[[#This Row],[PA]],"")</f>
        <v/>
      </c>
      <c r="Y115" s="11" t="str">
        <f>IF(Table1[[#This Row],[Included?]],Table1[[#This Row],[H]],"")</f>
        <v/>
      </c>
      <c r="Z115" s="11" t="str">
        <f>IF(Table1[[#This Row],[Included?]],Table1[[#This Row],[BB]],"")</f>
        <v/>
      </c>
      <c r="AA115" s="11" t="str">
        <f>IF(Table1[[#This Row],[Included?]],Table1[[#This Row],[OB]],"")</f>
        <v/>
      </c>
      <c r="AB115" s="14" t="str">
        <f>IF(Table1[[#This Row],[Included?]], (8*AA$185+Table1[[#This Row],[I OB]])/(8*X$185+Table1[[#This Row],[I PA]]), "")</f>
        <v/>
      </c>
    </row>
    <row r="116" spans="1:28" hidden="1" x14ac:dyDescent="0.25">
      <c r="A116" s="23" t="b">
        <f>IF('Sim Data'!A116&gt;0, TRUE, FALSE)</f>
        <v>0</v>
      </c>
      <c r="B116">
        <v>115</v>
      </c>
      <c r="C116" s="18" t="s">
        <v>280</v>
      </c>
      <c r="D116" s="18" t="s">
        <v>269</v>
      </c>
      <c r="E116" s="18" t="s">
        <v>14</v>
      </c>
      <c r="F116" s="43" t="s">
        <v>14</v>
      </c>
      <c r="G116" s="19">
        <v>5</v>
      </c>
      <c r="H116" s="18">
        <v>2.3849999999999998</v>
      </c>
      <c r="I116" s="18">
        <v>1.0490000000000002</v>
      </c>
      <c r="J116" s="18">
        <v>2.5749999999999997</v>
      </c>
      <c r="K116" s="18">
        <v>4.4999999999999998E-2</v>
      </c>
      <c r="L116" s="18">
        <v>0.32214350244876611</v>
      </c>
      <c r="M116" s="18">
        <v>21.029</v>
      </c>
      <c r="N116" s="18">
        <v>4.0579999999999998</v>
      </c>
      <c r="O116" s="18">
        <v>2.4429999999999996</v>
      </c>
      <c r="P116" s="10">
        <f>Table1[[#This Row],[OBP]]*Table1[[#This Row],[PA]]</f>
        <v>6.774355712995102</v>
      </c>
      <c r="Q116" s="10">
        <f>(8*P$185+Table1[[#This Row],[OB]])/(8*M$185+Table1[[#This Row],[PA]])</f>
        <v>0.32750744920527824</v>
      </c>
      <c r="R116" s="11" t="str">
        <f>IF(Table1[[#This Row],[Included?]],Table1[[#This Row],[g]],"")</f>
        <v/>
      </c>
      <c r="S116" s="11" t="str">
        <f>IF(Table1[[#This Row],[Included?]],Table1[[#This Row],[R]],"")</f>
        <v/>
      </c>
      <c r="T116" s="11" t="str">
        <f>IF(Table1[[#This Row],[Included?]],Table1[[#This Row],[HR]],"")</f>
        <v/>
      </c>
      <c r="U116" s="11" t="str">
        <f>IF(Table1[[#This Row],[Included?]],Table1[[#This Row],[RBI]],"")</f>
        <v/>
      </c>
      <c r="V116" s="11" t="str">
        <f>IF(Table1[[#This Row],[Included?]],Table1[[#This Row],[SB]],"")</f>
        <v/>
      </c>
      <c r="W116" s="11" t="str">
        <f>IF(Table1[[#This Row],[Included?]],Table1[[#This Row],[OBP]],"")</f>
        <v/>
      </c>
      <c r="X116" s="11" t="str">
        <f>IF(Table1[[#This Row],[Included?]],Table1[[#This Row],[PA]],"")</f>
        <v/>
      </c>
      <c r="Y116" s="11" t="str">
        <f>IF(Table1[[#This Row],[Included?]],Table1[[#This Row],[H]],"")</f>
        <v/>
      </c>
      <c r="Z116" s="11" t="str">
        <f>IF(Table1[[#This Row],[Included?]],Table1[[#This Row],[BB]],"")</f>
        <v/>
      </c>
      <c r="AA116" s="11" t="str">
        <f>IF(Table1[[#This Row],[Included?]],Table1[[#This Row],[OB]],"")</f>
        <v/>
      </c>
      <c r="AB116" s="14" t="str">
        <f>IF(Table1[[#This Row],[Included?]], (8*AA$185+Table1[[#This Row],[I OB]])/(8*X$185+Table1[[#This Row],[I PA]]), "")</f>
        <v/>
      </c>
    </row>
    <row r="117" spans="1:28" hidden="1" x14ac:dyDescent="0.25">
      <c r="A117" s="24" t="b">
        <f>IF('Sim Data'!A117&gt;0, TRUE, FALSE)</f>
        <v>1</v>
      </c>
      <c r="B117">
        <v>116</v>
      </c>
      <c r="C117" s="18" t="s">
        <v>38</v>
      </c>
      <c r="D117" s="18" t="s">
        <v>34</v>
      </c>
      <c r="E117" s="18" t="s">
        <v>21</v>
      </c>
      <c r="F117" s="43" t="s">
        <v>21</v>
      </c>
      <c r="G117" s="19">
        <v>5</v>
      </c>
      <c r="H117" s="18">
        <v>2.21</v>
      </c>
      <c r="I117" s="18">
        <v>0.67600000000000005</v>
      </c>
      <c r="J117" s="18">
        <v>2.4739999999999998</v>
      </c>
      <c r="K117" s="18">
        <v>0.877</v>
      </c>
      <c r="L117" s="18">
        <v>0.33805959050121465</v>
      </c>
      <c r="M117" s="18">
        <v>20.169</v>
      </c>
      <c r="N117" s="18">
        <v>5.1219999999999999</v>
      </c>
      <c r="O117" s="18">
        <v>1.2330000000000001</v>
      </c>
      <c r="P117" s="10">
        <f>Table1[[#This Row],[OBP]]*Table1[[#This Row],[PA]]</f>
        <v>6.8183238808189985</v>
      </c>
      <c r="Q117" s="10">
        <f>(8*P$185+Table1[[#This Row],[OB]])/(8*M$185+Table1[[#This Row],[PA]])</f>
        <v>0.32902095178161173</v>
      </c>
      <c r="R117" s="11">
        <f>IF(Table1[[#This Row],[Included?]],Table1[[#This Row],[g]],"")</f>
        <v>5</v>
      </c>
      <c r="S117" s="11">
        <f>IF(Table1[[#This Row],[Included?]],Table1[[#This Row],[R]],"")</f>
        <v>2.21</v>
      </c>
      <c r="T117" s="11">
        <f>IF(Table1[[#This Row],[Included?]],Table1[[#This Row],[HR]],"")</f>
        <v>0.67600000000000005</v>
      </c>
      <c r="U117" s="11">
        <f>IF(Table1[[#This Row],[Included?]],Table1[[#This Row],[RBI]],"")</f>
        <v>2.4739999999999998</v>
      </c>
      <c r="V117" s="11">
        <f>IF(Table1[[#This Row],[Included?]],Table1[[#This Row],[SB]],"")</f>
        <v>0.877</v>
      </c>
      <c r="W117" s="11">
        <f>IF(Table1[[#This Row],[Included?]],Table1[[#This Row],[OBP]],"")</f>
        <v>0.33805959050121465</v>
      </c>
      <c r="X117" s="11">
        <f>IF(Table1[[#This Row],[Included?]],Table1[[#This Row],[PA]],"")</f>
        <v>20.169</v>
      </c>
      <c r="Y117" s="11">
        <f>IF(Table1[[#This Row],[Included?]],Table1[[#This Row],[H]],"")</f>
        <v>5.1219999999999999</v>
      </c>
      <c r="Z117" s="11">
        <f>IF(Table1[[#This Row],[Included?]],Table1[[#This Row],[BB]],"")</f>
        <v>1.2330000000000001</v>
      </c>
      <c r="AA117" s="11">
        <f>IF(Table1[[#This Row],[Included?]],Table1[[#This Row],[OB]],"")</f>
        <v>6.8183238808189985</v>
      </c>
      <c r="AB117" s="14">
        <f>IF(Table1[[#This Row],[Included?]], (8*AA$185+Table1[[#This Row],[I OB]])/(8*X$185+Table1[[#This Row],[I PA]]), "")</f>
        <v>0.34497152448286272</v>
      </c>
    </row>
    <row r="118" spans="1:28" x14ac:dyDescent="0.25">
      <c r="A118" s="23" t="b">
        <f>IF('Sim Data'!A118&gt;0, TRUE, FALSE)</f>
        <v>1</v>
      </c>
      <c r="B118">
        <v>117</v>
      </c>
      <c r="C118" s="18" t="s">
        <v>281</v>
      </c>
      <c r="D118" s="18" t="s">
        <v>83</v>
      </c>
      <c r="E118" s="18" t="s">
        <v>30</v>
      </c>
      <c r="F118" s="43" t="s">
        <v>30</v>
      </c>
      <c r="G118" s="19">
        <v>5</v>
      </c>
      <c r="H118" s="18">
        <v>2.3730000000000002</v>
      </c>
      <c r="I118" s="18">
        <v>0.59499999999999997</v>
      </c>
      <c r="J118" s="18">
        <v>2.6989999999999998</v>
      </c>
      <c r="K118" s="18">
        <v>0.67300000000000004</v>
      </c>
      <c r="L118" s="18">
        <v>0.31831676169831763</v>
      </c>
      <c r="M118" s="18">
        <v>21.22</v>
      </c>
      <c r="N118" s="18">
        <v>5.3769999999999998</v>
      </c>
      <c r="O118" s="18">
        <v>1.0589999999999999</v>
      </c>
      <c r="P118" s="10">
        <f>Table1[[#This Row],[OBP]]*Table1[[#This Row],[PA]]</f>
        <v>6.7546816832382994</v>
      </c>
      <c r="Q118" s="10">
        <f>(8*P$185+Table1[[#This Row],[OB]])/(8*M$185+Table1[[#This Row],[PA]])</f>
        <v>0.32712711176012205</v>
      </c>
      <c r="R118" s="11">
        <f>IF(Table1[[#This Row],[Included?]],Table1[[#This Row],[g]],"")</f>
        <v>5</v>
      </c>
      <c r="S118" s="11">
        <f>IF(Table1[[#This Row],[Included?]],Table1[[#This Row],[R]],"")</f>
        <v>2.3730000000000002</v>
      </c>
      <c r="T118" s="11">
        <f>IF(Table1[[#This Row],[Included?]],Table1[[#This Row],[HR]],"")</f>
        <v>0.59499999999999997</v>
      </c>
      <c r="U118" s="11">
        <f>IF(Table1[[#This Row],[Included?]],Table1[[#This Row],[RBI]],"")</f>
        <v>2.6989999999999998</v>
      </c>
      <c r="V118" s="11">
        <f>IF(Table1[[#This Row],[Included?]],Table1[[#This Row],[SB]],"")</f>
        <v>0.67300000000000004</v>
      </c>
      <c r="W118" s="11">
        <f>IF(Table1[[#This Row],[Included?]],Table1[[#This Row],[OBP]],"")</f>
        <v>0.31831676169831763</v>
      </c>
      <c r="X118" s="11">
        <f>IF(Table1[[#This Row],[Included?]],Table1[[#This Row],[PA]],"")</f>
        <v>21.22</v>
      </c>
      <c r="Y118" s="11">
        <f>IF(Table1[[#This Row],[Included?]],Table1[[#This Row],[H]],"")</f>
        <v>5.3769999999999998</v>
      </c>
      <c r="Z118" s="11">
        <f>IF(Table1[[#This Row],[Included?]],Table1[[#This Row],[BB]],"")</f>
        <v>1.0589999999999999</v>
      </c>
      <c r="AA118" s="11">
        <f>IF(Table1[[#This Row],[Included?]],Table1[[#This Row],[OB]],"")</f>
        <v>6.7546816832382994</v>
      </c>
      <c r="AB118" s="14">
        <f>IF(Table1[[#This Row],[Included?]], (8*AA$185+Table1[[#This Row],[I OB]])/(8*X$185+Table1[[#This Row],[I PA]]), "")</f>
        <v>0.34309634730842681</v>
      </c>
    </row>
    <row r="119" spans="1:28" hidden="1" x14ac:dyDescent="0.25">
      <c r="A119" s="24" t="b">
        <f>IF('Sim Data'!A119&gt;0, TRUE, FALSE)</f>
        <v>1</v>
      </c>
      <c r="B119">
        <v>118</v>
      </c>
      <c r="C119" s="18" t="s">
        <v>282</v>
      </c>
      <c r="D119" s="18" t="s">
        <v>269</v>
      </c>
      <c r="E119" s="18" t="s">
        <v>21</v>
      </c>
      <c r="F119" s="43" t="s">
        <v>21</v>
      </c>
      <c r="G119" s="19">
        <v>5</v>
      </c>
      <c r="H119" s="18">
        <v>2.4160000000000004</v>
      </c>
      <c r="I119" s="18">
        <v>0.49</v>
      </c>
      <c r="J119" s="18">
        <v>2.11</v>
      </c>
      <c r="K119" s="18">
        <v>0.747</v>
      </c>
      <c r="L119" s="18">
        <v>0.33962605004064672</v>
      </c>
      <c r="M119" s="18">
        <v>22.139000000000003</v>
      </c>
      <c r="N119" s="18">
        <v>5.3130000000000006</v>
      </c>
      <c r="O119" s="18">
        <v>1.9629999999999996</v>
      </c>
      <c r="P119" s="10">
        <f>Table1[[#This Row],[OBP]]*Table1[[#This Row],[PA]]</f>
        <v>7.5189811218498788</v>
      </c>
      <c r="Q119" s="10">
        <f>(8*P$185+Table1[[#This Row],[OB]])/(8*M$185+Table1[[#This Row],[PA]])</f>
        <v>0.32926269296308486</v>
      </c>
      <c r="R119" s="11">
        <f>IF(Table1[[#This Row],[Included?]],Table1[[#This Row],[g]],"")</f>
        <v>5</v>
      </c>
      <c r="S119" s="11">
        <f>IF(Table1[[#This Row],[Included?]],Table1[[#This Row],[R]],"")</f>
        <v>2.4160000000000004</v>
      </c>
      <c r="T119" s="11">
        <f>IF(Table1[[#This Row],[Included?]],Table1[[#This Row],[HR]],"")</f>
        <v>0.49</v>
      </c>
      <c r="U119" s="11">
        <f>IF(Table1[[#This Row],[Included?]],Table1[[#This Row],[RBI]],"")</f>
        <v>2.11</v>
      </c>
      <c r="V119" s="11">
        <f>IF(Table1[[#This Row],[Included?]],Table1[[#This Row],[SB]],"")</f>
        <v>0.747</v>
      </c>
      <c r="W119" s="11">
        <f>IF(Table1[[#This Row],[Included?]],Table1[[#This Row],[OBP]],"")</f>
        <v>0.33962605004064672</v>
      </c>
      <c r="X119" s="11">
        <f>IF(Table1[[#This Row],[Included?]],Table1[[#This Row],[PA]],"")</f>
        <v>22.139000000000003</v>
      </c>
      <c r="Y119" s="11">
        <f>IF(Table1[[#This Row],[Included?]],Table1[[#This Row],[H]],"")</f>
        <v>5.3130000000000006</v>
      </c>
      <c r="Z119" s="11">
        <f>IF(Table1[[#This Row],[Included?]],Table1[[#This Row],[BB]],"")</f>
        <v>1.9629999999999996</v>
      </c>
      <c r="AA119" s="11">
        <f>IF(Table1[[#This Row],[Included?]],Table1[[#This Row],[OB]],"")</f>
        <v>7.5189811218498788</v>
      </c>
      <c r="AB119" s="14">
        <f>IF(Table1[[#This Row],[Included?]], (8*AA$185+Table1[[#This Row],[I OB]])/(8*X$185+Table1[[#This Row],[I PA]]), "")</f>
        <v>0.34506382331395707</v>
      </c>
    </row>
    <row r="120" spans="1:28" hidden="1" x14ac:dyDescent="0.25">
      <c r="A120" s="23" t="b">
        <f>IF('Sim Data'!A120&gt;0, TRUE, FALSE)</f>
        <v>1</v>
      </c>
      <c r="B120">
        <v>119</v>
      </c>
      <c r="C120" s="18" t="s">
        <v>283</v>
      </c>
      <c r="D120" s="18" t="s">
        <v>26</v>
      </c>
      <c r="E120" s="18" t="s">
        <v>37</v>
      </c>
      <c r="F120" s="43" t="s">
        <v>37</v>
      </c>
      <c r="G120" s="19">
        <v>6</v>
      </c>
      <c r="H120" s="18">
        <v>2.387</v>
      </c>
      <c r="I120" s="18">
        <v>0.58699999999999997</v>
      </c>
      <c r="J120" s="18">
        <v>2.3159999999999998</v>
      </c>
      <c r="K120" s="18">
        <v>2.4E-2</v>
      </c>
      <c r="L120" s="18">
        <v>0.33226337448559667</v>
      </c>
      <c r="M120" s="18">
        <v>24.299999999999997</v>
      </c>
      <c r="N120" s="18">
        <v>4.3849999999999998</v>
      </c>
      <c r="O120" s="18">
        <v>3.569</v>
      </c>
      <c r="P120" s="10">
        <f>Table1[[#This Row],[OBP]]*Table1[[#This Row],[PA]]</f>
        <v>8.0739999999999981</v>
      </c>
      <c r="Q120" s="10">
        <f>(8*P$185+Table1[[#This Row],[OB]])/(8*M$185+Table1[[#This Row],[PA]])</f>
        <v>0.32854890381740848</v>
      </c>
      <c r="R120" s="11">
        <f>IF(Table1[[#This Row],[Included?]],Table1[[#This Row],[g]],"")</f>
        <v>6</v>
      </c>
      <c r="S120" s="11">
        <f>IF(Table1[[#This Row],[Included?]],Table1[[#This Row],[R]],"")</f>
        <v>2.387</v>
      </c>
      <c r="T120" s="11">
        <f>IF(Table1[[#This Row],[Included?]],Table1[[#This Row],[HR]],"")</f>
        <v>0.58699999999999997</v>
      </c>
      <c r="U120" s="11">
        <f>IF(Table1[[#This Row],[Included?]],Table1[[#This Row],[RBI]],"")</f>
        <v>2.3159999999999998</v>
      </c>
      <c r="V120" s="11">
        <f>IF(Table1[[#This Row],[Included?]],Table1[[#This Row],[SB]],"")</f>
        <v>2.4E-2</v>
      </c>
      <c r="W120" s="11">
        <f>IF(Table1[[#This Row],[Included?]],Table1[[#This Row],[OBP]],"")</f>
        <v>0.33226337448559667</v>
      </c>
      <c r="X120" s="11">
        <f>IF(Table1[[#This Row],[Included?]],Table1[[#This Row],[PA]],"")</f>
        <v>24.299999999999997</v>
      </c>
      <c r="Y120" s="11">
        <f>IF(Table1[[#This Row],[Included?]],Table1[[#This Row],[H]],"")</f>
        <v>4.3849999999999998</v>
      </c>
      <c r="Z120" s="11">
        <f>IF(Table1[[#This Row],[Included?]],Table1[[#This Row],[BB]],"")</f>
        <v>3.569</v>
      </c>
      <c r="AA120" s="11">
        <f>IF(Table1[[#This Row],[Included?]],Table1[[#This Row],[OB]],"")</f>
        <v>8.0739999999999981</v>
      </c>
      <c r="AB120" s="14">
        <f>IF(Table1[[#This Row],[Included?]], (8*AA$185+Table1[[#This Row],[I OB]])/(8*X$185+Table1[[#This Row],[I PA]]), "")</f>
        <v>0.34423617728148337</v>
      </c>
    </row>
    <row r="121" spans="1:28" x14ac:dyDescent="0.25">
      <c r="A121" s="24" t="b">
        <f>IF('Sim Data'!A121&gt;0, TRUE, FALSE)</f>
        <v>1</v>
      </c>
      <c r="B121">
        <v>120</v>
      </c>
      <c r="C121" s="18" t="s">
        <v>28</v>
      </c>
      <c r="D121" s="18" t="s">
        <v>29</v>
      </c>
      <c r="E121" s="18" t="s">
        <v>30</v>
      </c>
      <c r="F121" s="43" t="s">
        <v>30</v>
      </c>
      <c r="G121" s="19">
        <v>5</v>
      </c>
      <c r="H121" s="18">
        <v>2.5700000000000003</v>
      </c>
      <c r="I121" s="18">
        <v>0.61199999999999999</v>
      </c>
      <c r="J121" s="18">
        <v>2.5790000000000002</v>
      </c>
      <c r="K121" s="18">
        <v>5.8999999999999997E-2</v>
      </c>
      <c r="L121" s="18">
        <v>0.34234445277361331</v>
      </c>
      <c r="M121" s="18">
        <v>21.343</v>
      </c>
      <c r="N121" s="18">
        <v>5.3650000000000011</v>
      </c>
      <c r="O121" s="18">
        <v>1.835</v>
      </c>
      <c r="P121" s="10">
        <f>Table1[[#This Row],[OBP]]*Table1[[#This Row],[PA]]</f>
        <v>7.3066576555472285</v>
      </c>
      <c r="Q121" s="10">
        <f>(8*P$185+Table1[[#This Row],[OB]])/(8*M$185+Table1[[#This Row],[PA]])</f>
        <v>0.329492766714299</v>
      </c>
      <c r="R121" s="11">
        <f>IF(Table1[[#This Row],[Included?]],Table1[[#This Row],[g]],"")</f>
        <v>5</v>
      </c>
      <c r="S121" s="11">
        <f>IF(Table1[[#This Row],[Included?]],Table1[[#This Row],[R]],"")</f>
        <v>2.5700000000000003</v>
      </c>
      <c r="T121" s="11">
        <f>IF(Table1[[#This Row],[Included?]],Table1[[#This Row],[HR]],"")</f>
        <v>0.61199999999999999</v>
      </c>
      <c r="U121" s="11">
        <f>IF(Table1[[#This Row],[Included?]],Table1[[#This Row],[RBI]],"")</f>
        <v>2.5790000000000002</v>
      </c>
      <c r="V121" s="11">
        <f>IF(Table1[[#This Row],[Included?]],Table1[[#This Row],[SB]],"")</f>
        <v>5.8999999999999997E-2</v>
      </c>
      <c r="W121" s="11">
        <f>IF(Table1[[#This Row],[Included?]],Table1[[#This Row],[OBP]],"")</f>
        <v>0.34234445277361331</v>
      </c>
      <c r="X121" s="11">
        <f>IF(Table1[[#This Row],[Included?]],Table1[[#This Row],[PA]],"")</f>
        <v>21.343</v>
      </c>
      <c r="Y121" s="11">
        <f>IF(Table1[[#This Row],[Included?]],Table1[[#This Row],[H]],"")</f>
        <v>5.3650000000000011</v>
      </c>
      <c r="Z121" s="11">
        <f>IF(Table1[[#This Row],[Included?]],Table1[[#This Row],[BB]],"")</f>
        <v>1.835</v>
      </c>
      <c r="AA121" s="11">
        <f>IF(Table1[[#This Row],[Included?]],Table1[[#This Row],[OB]],"")</f>
        <v>7.3066576555472285</v>
      </c>
      <c r="AB121" s="14">
        <f>IF(Table1[[#This Row],[Included?]], (8*AA$185+Table1[[#This Row],[I OB]])/(8*X$185+Table1[[#This Row],[I PA]]), "")</f>
        <v>0.34533798351121103</v>
      </c>
    </row>
    <row r="122" spans="1:28" hidden="1" x14ac:dyDescent="0.25">
      <c r="A122" s="23" t="b">
        <f>IF('Sim Data'!A122&gt;0, TRUE, FALSE)</f>
        <v>1</v>
      </c>
      <c r="B122">
        <v>121</v>
      </c>
      <c r="C122" s="18" t="s">
        <v>165</v>
      </c>
      <c r="D122" s="18" t="s">
        <v>152</v>
      </c>
      <c r="E122" s="18" t="s">
        <v>166</v>
      </c>
      <c r="F122" s="43" t="s">
        <v>37</v>
      </c>
      <c r="G122" s="19">
        <v>5</v>
      </c>
      <c r="H122" s="18">
        <v>2.6160000000000005</v>
      </c>
      <c r="I122" s="18">
        <v>0.82499999999999996</v>
      </c>
      <c r="J122" s="18">
        <v>2.2040000000000002</v>
      </c>
      <c r="K122" s="18">
        <v>2.5000000000000001E-2</v>
      </c>
      <c r="L122" s="18">
        <v>0.33070866141732291</v>
      </c>
      <c r="M122" s="18">
        <v>21.966999999999999</v>
      </c>
      <c r="N122" s="18">
        <v>5.2720000000000002</v>
      </c>
      <c r="O122" s="18">
        <v>1.9039999999999999</v>
      </c>
      <c r="P122" s="10">
        <f>Table1[[#This Row],[OBP]]*Table1[[#This Row],[PA]]</f>
        <v>7.2646771653543318</v>
      </c>
      <c r="Q122" s="10">
        <f>(8*P$185+Table1[[#This Row],[OB]])/(8*M$185+Table1[[#This Row],[PA]])</f>
        <v>0.32835153412538637</v>
      </c>
      <c r="R122" s="11">
        <f>IF(Table1[[#This Row],[Included?]],Table1[[#This Row],[g]],"")</f>
        <v>5</v>
      </c>
      <c r="S122" s="11">
        <f>IF(Table1[[#This Row],[Included?]],Table1[[#This Row],[R]],"")</f>
        <v>2.6160000000000005</v>
      </c>
      <c r="T122" s="11">
        <f>IF(Table1[[#This Row],[Included?]],Table1[[#This Row],[HR]],"")</f>
        <v>0.82499999999999996</v>
      </c>
      <c r="U122" s="11">
        <f>IF(Table1[[#This Row],[Included?]],Table1[[#This Row],[RBI]],"")</f>
        <v>2.2040000000000002</v>
      </c>
      <c r="V122" s="11">
        <f>IF(Table1[[#This Row],[Included?]],Table1[[#This Row],[SB]],"")</f>
        <v>2.5000000000000001E-2</v>
      </c>
      <c r="W122" s="11">
        <f>IF(Table1[[#This Row],[Included?]],Table1[[#This Row],[OBP]],"")</f>
        <v>0.33070866141732291</v>
      </c>
      <c r="X122" s="11">
        <f>IF(Table1[[#This Row],[Included?]],Table1[[#This Row],[PA]],"")</f>
        <v>21.966999999999999</v>
      </c>
      <c r="Y122" s="11">
        <f>IF(Table1[[#This Row],[Included?]],Table1[[#This Row],[H]],"")</f>
        <v>5.2720000000000002</v>
      </c>
      <c r="Z122" s="11">
        <f>IF(Table1[[#This Row],[Included?]],Table1[[#This Row],[BB]],"")</f>
        <v>1.9039999999999999</v>
      </c>
      <c r="AA122" s="11">
        <f>IF(Table1[[#This Row],[Included?]],Table1[[#This Row],[OB]],"")</f>
        <v>7.2646771653543318</v>
      </c>
      <c r="AB122" s="14">
        <f>IF(Table1[[#This Row],[Included?]], (8*AA$185+Table1[[#This Row],[I OB]])/(8*X$185+Table1[[#This Row],[I PA]]), "")</f>
        <v>0.34420890162663242</v>
      </c>
    </row>
    <row r="123" spans="1:28" hidden="1" x14ac:dyDescent="0.25">
      <c r="A123" s="24" t="b">
        <f>IF('Sim Data'!A123&gt;0, TRUE, FALSE)</f>
        <v>1</v>
      </c>
      <c r="B123">
        <v>122</v>
      </c>
      <c r="C123" s="18" t="s">
        <v>151</v>
      </c>
      <c r="D123" s="18" t="s">
        <v>152</v>
      </c>
      <c r="E123" s="18" t="s">
        <v>21</v>
      </c>
      <c r="F123" s="43" t="s">
        <v>21</v>
      </c>
      <c r="G123" s="19">
        <v>5</v>
      </c>
      <c r="H123" s="18">
        <v>2.6269999999999998</v>
      </c>
      <c r="I123" s="18">
        <v>0.17700000000000002</v>
      </c>
      <c r="J123" s="18">
        <v>1.8090000000000002</v>
      </c>
      <c r="K123" s="18">
        <v>1.4149999999999998</v>
      </c>
      <c r="L123" s="18">
        <v>0.32220248667850804</v>
      </c>
      <c r="M123" s="18">
        <v>22.521999999999998</v>
      </c>
      <c r="N123" s="18">
        <v>5.9540000000000006</v>
      </c>
      <c r="O123" s="18">
        <v>0.85199999999999998</v>
      </c>
      <c r="P123" s="10">
        <f>Table1[[#This Row],[OBP]]*Table1[[#This Row],[PA]]</f>
        <v>7.2566444049733576</v>
      </c>
      <c r="Q123" s="10">
        <f>(8*P$185+Table1[[#This Row],[OB]])/(8*M$185+Table1[[#This Row],[PA]])</f>
        <v>0.3274767367948867</v>
      </c>
      <c r="R123" s="11">
        <f>IF(Table1[[#This Row],[Included?]],Table1[[#This Row],[g]],"")</f>
        <v>5</v>
      </c>
      <c r="S123" s="11">
        <f>IF(Table1[[#This Row],[Included?]],Table1[[#This Row],[R]],"")</f>
        <v>2.6269999999999998</v>
      </c>
      <c r="T123" s="11">
        <f>IF(Table1[[#This Row],[Included?]],Table1[[#This Row],[HR]],"")</f>
        <v>0.17700000000000002</v>
      </c>
      <c r="U123" s="11">
        <f>IF(Table1[[#This Row],[Included?]],Table1[[#This Row],[RBI]],"")</f>
        <v>1.8090000000000002</v>
      </c>
      <c r="V123" s="11">
        <f>IF(Table1[[#This Row],[Included?]],Table1[[#This Row],[SB]],"")</f>
        <v>1.4149999999999998</v>
      </c>
      <c r="W123" s="11">
        <f>IF(Table1[[#This Row],[Included?]],Table1[[#This Row],[OBP]],"")</f>
        <v>0.32220248667850804</v>
      </c>
      <c r="X123" s="11">
        <f>IF(Table1[[#This Row],[Included?]],Table1[[#This Row],[PA]],"")</f>
        <v>22.521999999999998</v>
      </c>
      <c r="Y123" s="11">
        <f>IF(Table1[[#This Row],[Included?]],Table1[[#This Row],[H]],"")</f>
        <v>5.9540000000000006</v>
      </c>
      <c r="Z123" s="11">
        <f>IF(Table1[[#This Row],[Included?]],Table1[[#This Row],[BB]],"")</f>
        <v>0.85199999999999998</v>
      </c>
      <c r="AA123" s="11">
        <f>IF(Table1[[#This Row],[Included?]],Table1[[#This Row],[OB]],"")</f>
        <v>7.2566444049733576</v>
      </c>
      <c r="AB123" s="14">
        <f>IF(Table1[[#This Row],[Included?]], (8*AA$185+Table1[[#This Row],[I OB]])/(8*X$185+Table1[[#This Row],[I PA]]), "")</f>
        <v>0.34333805088129671</v>
      </c>
    </row>
    <row r="124" spans="1:28" x14ac:dyDescent="0.25">
      <c r="A124" s="23" t="b">
        <f>IF('Sim Data'!A124&gt;0, TRUE, FALSE)</f>
        <v>0</v>
      </c>
      <c r="B124">
        <v>123</v>
      </c>
      <c r="C124" s="18" t="s">
        <v>284</v>
      </c>
      <c r="D124" s="18" t="s">
        <v>81</v>
      </c>
      <c r="E124" s="18" t="s">
        <v>161</v>
      </c>
      <c r="F124" s="43" t="s">
        <v>30</v>
      </c>
      <c r="G124" s="19">
        <v>6</v>
      </c>
      <c r="H124" s="18">
        <v>2.5750000000000002</v>
      </c>
      <c r="I124" s="18">
        <v>0.53500000000000003</v>
      </c>
      <c r="J124" s="18">
        <v>2.9540000000000002</v>
      </c>
      <c r="K124" s="18">
        <v>4.7E-2</v>
      </c>
      <c r="L124" s="18">
        <v>0.28548758232166949</v>
      </c>
      <c r="M124" s="18">
        <v>25.208000000000002</v>
      </c>
      <c r="N124" s="18">
        <v>6.0790000000000006</v>
      </c>
      <c r="O124" s="18">
        <v>0.96400000000000008</v>
      </c>
      <c r="P124" s="10">
        <f>Table1[[#This Row],[OBP]]*Table1[[#This Row],[PA]]</f>
        <v>7.1965709751646454</v>
      </c>
      <c r="Q124" s="10">
        <f>(8*P$185+Table1[[#This Row],[OB]])/(8*M$185+Table1[[#This Row],[PA]])</f>
        <v>0.32320907824763173</v>
      </c>
      <c r="R124" s="11" t="str">
        <f>IF(Table1[[#This Row],[Included?]],Table1[[#This Row],[g]],"")</f>
        <v/>
      </c>
      <c r="S124" s="11" t="str">
        <f>IF(Table1[[#This Row],[Included?]],Table1[[#This Row],[R]],"")</f>
        <v/>
      </c>
      <c r="T124" s="11" t="str">
        <f>IF(Table1[[#This Row],[Included?]],Table1[[#This Row],[HR]],"")</f>
        <v/>
      </c>
      <c r="U124" s="11" t="str">
        <f>IF(Table1[[#This Row],[Included?]],Table1[[#This Row],[RBI]],"")</f>
        <v/>
      </c>
      <c r="V124" s="11" t="str">
        <f>IF(Table1[[#This Row],[Included?]],Table1[[#This Row],[SB]],"")</f>
        <v/>
      </c>
      <c r="W124" s="11" t="str">
        <f>IF(Table1[[#This Row],[Included?]],Table1[[#This Row],[OBP]],"")</f>
        <v/>
      </c>
      <c r="X124" s="11" t="str">
        <f>IF(Table1[[#This Row],[Included?]],Table1[[#This Row],[PA]],"")</f>
        <v/>
      </c>
      <c r="Y124" s="11" t="str">
        <f>IF(Table1[[#This Row],[Included?]],Table1[[#This Row],[H]],"")</f>
        <v/>
      </c>
      <c r="Z124" s="11" t="str">
        <f>IF(Table1[[#This Row],[Included?]],Table1[[#This Row],[BB]],"")</f>
        <v/>
      </c>
      <c r="AA124" s="11" t="str">
        <f>IF(Table1[[#This Row],[Included?]],Table1[[#This Row],[OB]],"")</f>
        <v/>
      </c>
      <c r="AB124" s="14" t="str">
        <f>IF(Table1[[#This Row],[Included?]], (8*AA$185+Table1[[#This Row],[I OB]])/(8*X$185+Table1[[#This Row],[I PA]]), "")</f>
        <v/>
      </c>
    </row>
    <row r="125" spans="1:28" x14ac:dyDescent="0.25">
      <c r="A125" s="24" t="b">
        <f>IF('Sim Data'!A125&gt;0, TRUE, FALSE)</f>
        <v>1</v>
      </c>
      <c r="B125">
        <v>124</v>
      </c>
      <c r="C125" s="18" t="s">
        <v>63</v>
      </c>
      <c r="D125" s="18" t="s">
        <v>18</v>
      </c>
      <c r="E125" s="18" t="s">
        <v>30</v>
      </c>
      <c r="F125" s="43" t="s">
        <v>30</v>
      </c>
      <c r="G125" s="19">
        <v>5</v>
      </c>
      <c r="H125" s="18">
        <v>2.7029999999999998</v>
      </c>
      <c r="I125" s="18">
        <v>0.28799999999999998</v>
      </c>
      <c r="J125" s="18">
        <v>1.8390000000000002</v>
      </c>
      <c r="K125" s="18">
        <v>1.0640000000000001</v>
      </c>
      <c r="L125" s="18">
        <v>0.31557501408817024</v>
      </c>
      <c r="M125" s="18">
        <v>23.067000000000004</v>
      </c>
      <c r="N125" s="18">
        <v>5.9809999999999999</v>
      </c>
      <c r="O125" s="18">
        <v>1.274</v>
      </c>
      <c r="P125" s="10">
        <f>Table1[[#This Row],[OBP]]*Table1[[#This Row],[PA]]</f>
        <v>7.2793688499718243</v>
      </c>
      <c r="Q125" s="10">
        <f>(8*P$185+Table1[[#This Row],[OB]])/(8*M$185+Table1[[#This Row],[PA]])</f>
        <v>0.3267624308863511</v>
      </c>
      <c r="R125" s="11">
        <f>IF(Table1[[#This Row],[Included?]],Table1[[#This Row],[g]],"")</f>
        <v>5</v>
      </c>
      <c r="S125" s="11">
        <f>IF(Table1[[#This Row],[Included?]],Table1[[#This Row],[R]],"")</f>
        <v>2.7029999999999998</v>
      </c>
      <c r="T125" s="11">
        <f>IF(Table1[[#This Row],[Included?]],Table1[[#This Row],[HR]],"")</f>
        <v>0.28799999999999998</v>
      </c>
      <c r="U125" s="11">
        <f>IF(Table1[[#This Row],[Included?]],Table1[[#This Row],[RBI]],"")</f>
        <v>1.8390000000000002</v>
      </c>
      <c r="V125" s="11">
        <f>IF(Table1[[#This Row],[Included?]],Table1[[#This Row],[SB]],"")</f>
        <v>1.0640000000000001</v>
      </c>
      <c r="W125" s="11">
        <f>IF(Table1[[#This Row],[Included?]],Table1[[#This Row],[OBP]],"")</f>
        <v>0.31557501408817024</v>
      </c>
      <c r="X125" s="11">
        <f>IF(Table1[[#This Row],[Included?]],Table1[[#This Row],[PA]],"")</f>
        <v>23.067000000000004</v>
      </c>
      <c r="Y125" s="11">
        <f>IF(Table1[[#This Row],[Included?]],Table1[[#This Row],[H]],"")</f>
        <v>5.9809999999999999</v>
      </c>
      <c r="Z125" s="11">
        <f>IF(Table1[[#This Row],[Included?]],Table1[[#This Row],[BB]],"")</f>
        <v>1.274</v>
      </c>
      <c r="AA125" s="11">
        <f>IF(Table1[[#This Row],[Included?]],Table1[[#This Row],[OB]],"")</f>
        <v>7.2793688499718243</v>
      </c>
      <c r="AB125" s="14">
        <f>IF(Table1[[#This Row],[Included?]], (8*AA$185+Table1[[#This Row],[I OB]])/(8*X$185+Table1[[#This Row],[I PA]]), "")</f>
        <v>0.34262059598594413</v>
      </c>
    </row>
    <row r="126" spans="1:28" hidden="1" x14ac:dyDescent="0.25">
      <c r="A126" s="23" t="b">
        <f>IF('Sim Data'!A126&gt;0, TRUE, FALSE)</f>
        <v>0</v>
      </c>
      <c r="B126">
        <v>125</v>
      </c>
      <c r="C126" s="18" t="s">
        <v>59</v>
      </c>
      <c r="D126" s="18" t="s">
        <v>49</v>
      </c>
      <c r="E126" s="18" t="s">
        <v>95</v>
      </c>
      <c r="F126" s="43" t="s">
        <v>16</v>
      </c>
      <c r="G126" s="19">
        <v>5</v>
      </c>
      <c r="H126" s="18">
        <v>2.387</v>
      </c>
      <c r="I126" s="18">
        <v>1.097</v>
      </c>
      <c r="J126" s="18">
        <v>2.5169999999999999</v>
      </c>
      <c r="K126" s="18">
        <v>0</v>
      </c>
      <c r="L126" s="18">
        <v>0.30684970821773649</v>
      </c>
      <c r="M126" s="18">
        <v>20.905000000000001</v>
      </c>
      <c r="N126" s="18">
        <v>3.9380000000000002</v>
      </c>
      <c r="O126" s="18">
        <v>2.206</v>
      </c>
      <c r="P126" s="10">
        <f>Table1[[#This Row],[OBP]]*Table1[[#This Row],[PA]]</f>
        <v>6.4146931502917814</v>
      </c>
      <c r="Q126" s="10">
        <f>(8*P$185+Table1[[#This Row],[OB]])/(8*M$185+Table1[[#This Row],[PA]])</f>
        <v>0.32602955339617129</v>
      </c>
      <c r="R126" s="11" t="str">
        <f>IF(Table1[[#This Row],[Included?]],Table1[[#This Row],[g]],"")</f>
        <v/>
      </c>
      <c r="S126" s="11" t="str">
        <f>IF(Table1[[#This Row],[Included?]],Table1[[#This Row],[R]],"")</f>
        <v/>
      </c>
      <c r="T126" s="11" t="str">
        <f>IF(Table1[[#This Row],[Included?]],Table1[[#This Row],[HR]],"")</f>
        <v/>
      </c>
      <c r="U126" s="11" t="str">
        <f>IF(Table1[[#This Row],[Included?]],Table1[[#This Row],[RBI]],"")</f>
        <v/>
      </c>
      <c r="V126" s="11" t="str">
        <f>IF(Table1[[#This Row],[Included?]],Table1[[#This Row],[SB]],"")</f>
        <v/>
      </c>
      <c r="W126" s="11" t="str">
        <f>IF(Table1[[#This Row],[Included?]],Table1[[#This Row],[OBP]],"")</f>
        <v/>
      </c>
      <c r="X126" s="11" t="str">
        <f>IF(Table1[[#This Row],[Included?]],Table1[[#This Row],[PA]],"")</f>
        <v/>
      </c>
      <c r="Y126" s="11" t="str">
        <f>IF(Table1[[#This Row],[Included?]],Table1[[#This Row],[H]],"")</f>
        <v/>
      </c>
      <c r="Z126" s="11" t="str">
        <f>IF(Table1[[#This Row],[Included?]],Table1[[#This Row],[BB]],"")</f>
        <v/>
      </c>
      <c r="AA126" s="11" t="str">
        <f>IF(Table1[[#This Row],[Included?]],Table1[[#This Row],[OB]],"")</f>
        <v/>
      </c>
      <c r="AB126" s="14" t="str">
        <f>IF(Table1[[#This Row],[Included?]], (8*AA$185+Table1[[#This Row],[I OB]])/(8*X$185+Table1[[#This Row],[I PA]]), "")</f>
        <v/>
      </c>
    </row>
    <row r="127" spans="1:28" hidden="1" x14ac:dyDescent="0.25">
      <c r="A127" s="24" t="b">
        <f>IF('Sim Data'!A127&gt;0, TRUE, FALSE)</f>
        <v>0</v>
      </c>
      <c r="B127">
        <v>126</v>
      </c>
      <c r="C127" s="18" t="s">
        <v>285</v>
      </c>
      <c r="D127" s="18" t="s">
        <v>143</v>
      </c>
      <c r="E127" s="18" t="s">
        <v>21</v>
      </c>
      <c r="F127" s="43" t="s">
        <v>21</v>
      </c>
      <c r="G127" s="19">
        <v>6</v>
      </c>
      <c r="H127" s="18">
        <v>2.2829999999999999</v>
      </c>
      <c r="I127" s="18">
        <v>0.505</v>
      </c>
      <c r="J127" s="18">
        <v>2.415</v>
      </c>
      <c r="K127" s="18">
        <v>0.46100000000000002</v>
      </c>
      <c r="L127" s="18">
        <v>0.31234947263516322</v>
      </c>
      <c r="M127" s="18">
        <v>24.081999999999997</v>
      </c>
      <c r="N127" s="18">
        <v>5.3140000000000001</v>
      </c>
      <c r="O127" s="18">
        <v>1.944</v>
      </c>
      <c r="P127" s="10">
        <f>Table1[[#This Row],[OBP]]*Table1[[#This Row],[PA]]</f>
        <v>7.5219999999999994</v>
      </c>
      <c r="Q127" s="10">
        <f>(8*P$185+Table1[[#This Row],[OB]])/(8*M$185+Table1[[#This Row],[PA]])</f>
        <v>0.32635599896648443</v>
      </c>
      <c r="R127" s="11" t="str">
        <f>IF(Table1[[#This Row],[Included?]],Table1[[#This Row],[g]],"")</f>
        <v/>
      </c>
      <c r="S127" s="11" t="str">
        <f>IF(Table1[[#This Row],[Included?]],Table1[[#This Row],[R]],"")</f>
        <v/>
      </c>
      <c r="T127" s="11" t="str">
        <f>IF(Table1[[#This Row],[Included?]],Table1[[#This Row],[HR]],"")</f>
        <v/>
      </c>
      <c r="U127" s="11" t="str">
        <f>IF(Table1[[#This Row],[Included?]],Table1[[#This Row],[RBI]],"")</f>
        <v/>
      </c>
      <c r="V127" s="11" t="str">
        <f>IF(Table1[[#This Row],[Included?]],Table1[[#This Row],[SB]],"")</f>
        <v/>
      </c>
      <c r="W127" s="11" t="str">
        <f>IF(Table1[[#This Row],[Included?]],Table1[[#This Row],[OBP]],"")</f>
        <v/>
      </c>
      <c r="X127" s="11" t="str">
        <f>IF(Table1[[#This Row],[Included?]],Table1[[#This Row],[PA]],"")</f>
        <v/>
      </c>
      <c r="Y127" s="11" t="str">
        <f>IF(Table1[[#This Row],[Included?]],Table1[[#This Row],[H]],"")</f>
        <v/>
      </c>
      <c r="Z127" s="11" t="str">
        <f>IF(Table1[[#This Row],[Included?]],Table1[[#This Row],[BB]],"")</f>
        <v/>
      </c>
      <c r="AA127" s="11" t="str">
        <f>IF(Table1[[#This Row],[Included?]],Table1[[#This Row],[OB]],"")</f>
        <v/>
      </c>
      <c r="AB127" s="14" t="str">
        <f>IF(Table1[[#This Row],[Included?]], (8*AA$185+Table1[[#This Row],[I OB]])/(8*X$185+Table1[[#This Row],[I PA]]), "")</f>
        <v/>
      </c>
    </row>
    <row r="128" spans="1:28" hidden="1" x14ac:dyDescent="0.25">
      <c r="A128" s="23" t="b">
        <f>IF('Sim Data'!A128&gt;0, TRUE, FALSE)</f>
        <v>0</v>
      </c>
      <c r="B128">
        <v>127</v>
      </c>
      <c r="C128" s="18" t="s">
        <v>159</v>
      </c>
      <c r="D128" s="18" t="s">
        <v>83</v>
      </c>
      <c r="E128" s="18" t="s">
        <v>286</v>
      </c>
      <c r="F128" s="43" t="s">
        <v>37</v>
      </c>
      <c r="G128" s="19">
        <v>5</v>
      </c>
      <c r="H128" s="18">
        <v>2.3879999999999999</v>
      </c>
      <c r="I128" s="18">
        <v>1.1339999999999999</v>
      </c>
      <c r="J128" s="18">
        <v>2.6980000000000004</v>
      </c>
      <c r="K128" s="18">
        <v>0</v>
      </c>
      <c r="L128" s="18">
        <v>0.29156987998451406</v>
      </c>
      <c r="M128" s="18">
        <v>20.664999999999999</v>
      </c>
      <c r="N128" s="18">
        <v>4.8549999999999995</v>
      </c>
      <c r="O128" s="18">
        <v>0.92199999999999993</v>
      </c>
      <c r="P128" s="10">
        <f>Table1[[#This Row],[OBP]]*Table1[[#This Row],[PA]]</f>
        <v>6.0252915698799825</v>
      </c>
      <c r="Q128" s="10">
        <f>(8*P$185+Table1[[#This Row],[OB]])/(8*M$185+Table1[[#This Row],[PA]])</f>
        <v>0.32458663427865092</v>
      </c>
      <c r="R128" s="11" t="str">
        <f>IF(Table1[[#This Row],[Included?]],Table1[[#This Row],[g]],"")</f>
        <v/>
      </c>
      <c r="S128" s="11" t="str">
        <f>IF(Table1[[#This Row],[Included?]],Table1[[#This Row],[R]],"")</f>
        <v/>
      </c>
      <c r="T128" s="11" t="str">
        <f>IF(Table1[[#This Row],[Included?]],Table1[[#This Row],[HR]],"")</f>
        <v/>
      </c>
      <c r="U128" s="11" t="str">
        <f>IF(Table1[[#This Row],[Included?]],Table1[[#This Row],[RBI]],"")</f>
        <v/>
      </c>
      <c r="V128" s="11" t="str">
        <f>IF(Table1[[#This Row],[Included?]],Table1[[#This Row],[SB]],"")</f>
        <v/>
      </c>
      <c r="W128" s="11" t="str">
        <f>IF(Table1[[#This Row],[Included?]],Table1[[#This Row],[OBP]],"")</f>
        <v/>
      </c>
      <c r="X128" s="11" t="str">
        <f>IF(Table1[[#This Row],[Included?]],Table1[[#This Row],[PA]],"")</f>
        <v/>
      </c>
      <c r="Y128" s="11" t="str">
        <f>IF(Table1[[#This Row],[Included?]],Table1[[#This Row],[H]],"")</f>
        <v/>
      </c>
      <c r="Z128" s="11" t="str">
        <f>IF(Table1[[#This Row],[Included?]],Table1[[#This Row],[BB]],"")</f>
        <v/>
      </c>
      <c r="AA128" s="11" t="str">
        <f>IF(Table1[[#This Row],[Included?]],Table1[[#This Row],[OB]],"")</f>
        <v/>
      </c>
      <c r="AB128" s="14" t="str">
        <f>IF(Table1[[#This Row],[Included?]], (8*AA$185+Table1[[#This Row],[I OB]])/(8*X$185+Table1[[#This Row],[I PA]]), "")</f>
        <v/>
      </c>
    </row>
    <row r="129" spans="1:28" hidden="1" x14ac:dyDescent="0.25">
      <c r="A129" s="24" t="b">
        <f>IF('Sim Data'!A129&gt;0, TRUE, FALSE)</f>
        <v>1</v>
      </c>
      <c r="B129">
        <v>128</v>
      </c>
      <c r="C129" s="18" t="s">
        <v>78</v>
      </c>
      <c r="D129" s="18" t="s">
        <v>34</v>
      </c>
      <c r="E129" s="18" t="s">
        <v>43</v>
      </c>
      <c r="F129" s="43" t="s">
        <v>37</v>
      </c>
      <c r="G129" s="19">
        <v>5</v>
      </c>
      <c r="H129" s="18">
        <v>2.7480000000000002</v>
      </c>
      <c r="I129" s="18">
        <v>0.47099999999999997</v>
      </c>
      <c r="J129" s="18">
        <v>1.9649999999999999</v>
      </c>
      <c r="K129" s="18">
        <v>6.8000000000000005E-2</v>
      </c>
      <c r="L129" s="18">
        <v>0.35232922113791204</v>
      </c>
      <c r="M129" s="18">
        <v>21.725000000000001</v>
      </c>
      <c r="N129" s="18">
        <v>5.4560000000000004</v>
      </c>
      <c r="O129" s="18">
        <v>2.0880000000000001</v>
      </c>
      <c r="P129" s="10">
        <f>Table1[[#This Row],[OBP]]*Table1[[#This Row],[PA]]</f>
        <v>7.6543523292211395</v>
      </c>
      <c r="Q129" s="10">
        <f>(8*P$185+Table1[[#This Row],[OB]])/(8*M$185+Table1[[#This Row],[PA]])</f>
        <v>0.33051642162091516</v>
      </c>
      <c r="R129" s="11">
        <f>IF(Table1[[#This Row],[Included?]],Table1[[#This Row],[g]],"")</f>
        <v>5</v>
      </c>
      <c r="S129" s="11">
        <f>IF(Table1[[#This Row],[Included?]],Table1[[#This Row],[R]],"")</f>
        <v>2.7480000000000002</v>
      </c>
      <c r="T129" s="11">
        <f>IF(Table1[[#This Row],[Included?]],Table1[[#This Row],[HR]],"")</f>
        <v>0.47099999999999997</v>
      </c>
      <c r="U129" s="11">
        <f>IF(Table1[[#This Row],[Included?]],Table1[[#This Row],[RBI]],"")</f>
        <v>1.9649999999999999</v>
      </c>
      <c r="V129" s="11">
        <f>IF(Table1[[#This Row],[Included?]],Table1[[#This Row],[SB]],"")</f>
        <v>6.8000000000000005E-2</v>
      </c>
      <c r="W129" s="11">
        <f>IF(Table1[[#This Row],[Included?]],Table1[[#This Row],[OBP]],"")</f>
        <v>0.35232922113791204</v>
      </c>
      <c r="X129" s="11">
        <f>IF(Table1[[#This Row],[Included?]],Table1[[#This Row],[PA]],"")</f>
        <v>21.725000000000001</v>
      </c>
      <c r="Y129" s="11">
        <f>IF(Table1[[#This Row],[Included?]],Table1[[#This Row],[H]],"")</f>
        <v>5.4560000000000004</v>
      </c>
      <c r="Z129" s="11">
        <f>IF(Table1[[#This Row],[Included?]],Table1[[#This Row],[BB]],"")</f>
        <v>2.0880000000000001</v>
      </c>
      <c r="AA129" s="11">
        <f>IF(Table1[[#This Row],[Included?]],Table1[[#This Row],[OB]],"")</f>
        <v>7.6543523292211395</v>
      </c>
      <c r="AB129" s="14">
        <f>IF(Table1[[#This Row],[Included?]], (8*AA$185+Table1[[#This Row],[I OB]])/(8*X$185+Table1[[#This Row],[I PA]]), "")</f>
        <v>0.34628522312605309</v>
      </c>
    </row>
    <row r="130" spans="1:28" x14ac:dyDescent="0.25">
      <c r="A130" s="23" t="b">
        <f>IF('Sim Data'!A130&gt;0, TRUE, FALSE)</f>
        <v>0</v>
      </c>
      <c r="B130">
        <v>129</v>
      </c>
      <c r="C130" s="18" t="s">
        <v>287</v>
      </c>
      <c r="D130" s="18" t="s">
        <v>45</v>
      </c>
      <c r="E130" s="18" t="s">
        <v>111</v>
      </c>
      <c r="F130" s="43" t="s">
        <v>30</v>
      </c>
      <c r="G130" s="19">
        <v>5</v>
      </c>
      <c r="H130" s="18">
        <v>2.1589999999999998</v>
      </c>
      <c r="I130" s="18">
        <v>0.88700000000000001</v>
      </c>
      <c r="J130" s="18">
        <v>2.46</v>
      </c>
      <c r="K130" s="18">
        <v>0.26200000000000001</v>
      </c>
      <c r="L130" s="18">
        <v>0.31595135569961669</v>
      </c>
      <c r="M130" s="18">
        <v>21.134999999999998</v>
      </c>
      <c r="N130" s="18">
        <v>4.5609999999999999</v>
      </c>
      <c r="O130" s="18">
        <v>1.8409999999999997</v>
      </c>
      <c r="P130" s="10">
        <f>Table1[[#This Row],[OBP]]*Table1[[#This Row],[PA]]</f>
        <v>6.6776319027113979</v>
      </c>
      <c r="Q130" s="10">
        <f>(8*P$185+Table1[[#This Row],[OB]])/(8*M$185+Table1[[#This Row],[PA]])</f>
        <v>0.32689924892327948</v>
      </c>
      <c r="R130" s="11" t="str">
        <f>IF(Table1[[#This Row],[Included?]],Table1[[#This Row],[g]],"")</f>
        <v/>
      </c>
      <c r="S130" s="11" t="str">
        <f>IF(Table1[[#This Row],[Included?]],Table1[[#This Row],[R]],"")</f>
        <v/>
      </c>
      <c r="T130" s="11" t="str">
        <f>IF(Table1[[#This Row],[Included?]],Table1[[#This Row],[HR]],"")</f>
        <v/>
      </c>
      <c r="U130" s="11" t="str">
        <f>IF(Table1[[#This Row],[Included?]],Table1[[#This Row],[RBI]],"")</f>
        <v/>
      </c>
      <c r="V130" s="11" t="str">
        <f>IF(Table1[[#This Row],[Included?]],Table1[[#This Row],[SB]],"")</f>
        <v/>
      </c>
      <c r="W130" s="11" t="str">
        <f>IF(Table1[[#This Row],[Included?]],Table1[[#This Row],[OBP]],"")</f>
        <v/>
      </c>
      <c r="X130" s="11" t="str">
        <f>IF(Table1[[#This Row],[Included?]],Table1[[#This Row],[PA]],"")</f>
        <v/>
      </c>
      <c r="Y130" s="11" t="str">
        <f>IF(Table1[[#This Row],[Included?]],Table1[[#This Row],[H]],"")</f>
        <v/>
      </c>
      <c r="Z130" s="11" t="str">
        <f>IF(Table1[[#This Row],[Included?]],Table1[[#This Row],[BB]],"")</f>
        <v/>
      </c>
      <c r="AA130" s="11" t="str">
        <f>IF(Table1[[#This Row],[Included?]],Table1[[#This Row],[OB]],"")</f>
        <v/>
      </c>
      <c r="AB130" s="14" t="str">
        <f>IF(Table1[[#This Row],[Included?]], (8*AA$185+Table1[[#This Row],[I OB]])/(8*X$185+Table1[[#This Row],[I PA]]), "")</f>
        <v/>
      </c>
    </row>
    <row r="131" spans="1:28" hidden="1" x14ac:dyDescent="0.25">
      <c r="A131" s="24" t="b">
        <f>IF('Sim Data'!A131&gt;0, TRUE, FALSE)</f>
        <v>0</v>
      </c>
      <c r="B131">
        <v>130</v>
      </c>
      <c r="C131" s="18" t="s">
        <v>288</v>
      </c>
      <c r="D131" s="18" t="s">
        <v>94</v>
      </c>
      <c r="E131" s="18" t="s">
        <v>16</v>
      </c>
      <c r="F131" s="43" t="s">
        <v>16</v>
      </c>
      <c r="G131" s="19">
        <v>6</v>
      </c>
      <c r="H131" s="18">
        <v>2.2970000000000002</v>
      </c>
      <c r="I131" s="18">
        <v>0.53300000000000003</v>
      </c>
      <c r="J131" s="18">
        <v>2.2999999999999998</v>
      </c>
      <c r="K131" s="18">
        <v>0.08</v>
      </c>
      <c r="L131" s="18">
        <v>0.32105892540513792</v>
      </c>
      <c r="M131" s="18">
        <v>24.248999999999999</v>
      </c>
      <c r="N131" s="18">
        <v>5.6339999999999995</v>
      </c>
      <c r="O131" s="18">
        <v>1.764</v>
      </c>
      <c r="P131" s="10">
        <f>Table1[[#This Row],[OBP]]*Table1[[#This Row],[PA]]</f>
        <v>7.7853578821491887</v>
      </c>
      <c r="Q131" s="10">
        <f>(8*P$185+Table1[[#This Row],[OB]])/(8*M$185+Table1[[#This Row],[PA]])</f>
        <v>0.32730869657004436</v>
      </c>
      <c r="R131" s="11" t="str">
        <f>IF(Table1[[#This Row],[Included?]],Table1[[#This Row],[g]],"")</f>
        <v/>
      </c>
      <c r="S131" s="11" t="str">
        <f>IF(Table1[[#This Row],[Included?]],Table1[[#This Row],[R]],"")</f>
        <v/>
      </c>
      <c r="T131" s="11" t="str">
        <f>IF(Table1[[#This Row],[Included?]],Table1[[#This Row],[HR]],"")</f>
        <v/>
      </c>
      <c r="U131" s="11" t="str">
        <f>IF(Table1[[#This Row],[Included?]],Table1[[#This Row],[RBI]],"")</f>
        <v/>
      </c>
      <c r="V131" s="11" t="str">
        <f>IF(Table1[[#This Row],[Included?]],Table1[[#This Row],[SB]],"")</f>
        <v/>
      </c>
      <c r="W131" s="11" t="str">
        <f>IF(Table1[[#This Row],[Included?]],Table1[[#This Row],[OBP]],"")</f>
        <v/>
      </c>
      <c r="X131" s="11" t="str">
        <f>IF(Table1[[#This Row],[Included?]],Table1[[#This Row],[PA]],"")</f>
        <v/>
      </c>
      <c r="Y131" s="11" t="str">
        <f>IF(Table1[[#This Row],[Included?]],Table1[[#This Row],[H]],"")</f>
        <v/>
      </c>
      <c r="Z131" s="11" t="str">
        <f>IF(Table1[[#This Row],[Included?]],Table1[[#This Row],[BB]],"")</f>
        <v/>
      </c>
      <c r="AA131" s="11" t="str">
        <f>IF(Table1[[#This Row],[Included?]],Table1[[#This Row],[OB]],"")</f>
        <v/>
      </c>
      <c r="AB131" s="14" t="str">
        <f>IF(Table1[[#This Row],[Included?]], (8*AA$185+Table1[[#This Row],[I OB]])/(8*X$185+Table1[[#This Row],[I PA]]), "")</f>
        <v/>
      </c>
    </row>
    <row r="132" spans="1:28" hidden="1" x14ac:dyDescent="0.25">
      <c r="A132" s="23" t="b">
        <f>IF('Sim Data'!A132&gt;0, TRUE, FALSE)</f>
        <v>0</v>
      </c>
      <c r="B132">
        <v>131</v>
      </c>
      <c r="C132" s="18" t="s">
        <v>144</v>
      </c>
      <c r="D132" s="18" t="s">
        <v>58</v>
      </c>
      <c r="E132" s="18" t="s">
        <v>19</v>
      </c>
      <c r="F132" s="43" t="s">
        <v>14</v>
      </c>
      <c r="G132" s="19">
        <v>5</v>
      </c>
      <c r="H132" s="18">
        <v>2.2280000000000002</v>
      </c>
      <c r="I132" s="18">
        <v>1.097</v>
      </c>
      <c r="J132" s="18">
        <v>2.1800000000000002</v>
      </c>
      <c r="K132" s="18">
        <v>0</v>
      </c>
      <c r="L132" s="18">
        <v>0.3242002512805644</v>
      </c>
      <c r="M132" s="18">
        <v>20.693000000000001</v>
      </c>
      <c r="N132" s="18">
        <v>4.3079999999999998</v>
      </c>
      <c r="O132" s="18">
        <v>2.1309999999999998</v>
      </c>
      <c r="P132" s="10">
        <f>Table1[[#This Row],[OBP]]*Table1[[#This Row],[PA]]</f>
        <v>6.7086757997487192</v>
      </c>
      <c r="Q132" s="10">
        <f>(8*P$185+Table1[[#This Row],[OB]])/(8*M$185+Table1[[#This Row],[PA]])</f>
        <v>0.32771314547779379</v>
      </c>
      <c r="R132" s="11" t="str">
        <f>IF(Table1[[#This Row],[Included?]],Table1[[#This Row],[g]],"")</f>
        <v/>
      </c>
      <c r="S132" s="11" t="str">
        <f>IF(Table1[[#This Row],[Included?]],Table1[[#This Row],[R]],"")</f>
        <v/>
      </c>
      <c r="T132" s="11" t="str">
        <f>IF(Table1[[#This Row],[Included?]],Table1[[#This Row],[HR]],"")</f>
        <v/>
      </c>
      <c r="U132" s="11" t="str">
        <f>IF(Table1[[#This Row],[Included?]],Table1[[#This Row],[RBI]],"")</f>
        <v/>
      </c>
      <c r="V132" s="11" t="str">
        <f>IF(Table1[[#This Row],[Included?]],Table1[[#This Row],[SB]],"")</f>
        <v/>
      </c>
      <c r="W132" s="11" t="str">
        <f>IF(Table1[[#This Row],[Included?]],Table1[[#This Row],[OBP]],"")</f>
        <v/>
      </c>
      <c r="X132" s="11" t="str">
        <f>IF(Table1[[#This Row],[Included?]],Table1[[#This Row],[PA]],"")</f>
        <v/>
      </c>
      <c r="Y132" s="11" t="str">
        <f>IF(Table1[[#This Row],[Included?]],Table1[[#This Row],[H]],"")</f>
        <v/>
      </c>
      <c r="Z132" s="11" t="str">
        <f>IF(Table1[[#This Row],[Included?]],Table1[[#This Row],[BB]],"")</f>
        <v/>
      </c>
      <c r="AA132" s="11" t="str">
        <f>IF(Table1[[#This Row],[Included?]],Table1[[#This Row],[OB]],"")</f>
        <v/>
      </c>
      <c r="AB132" s="14" t="str">
        <f>IF(Table1[[#This Row],[Included?]], (8*AA$185+Table1[[#This Row],[I OB]])/(8*X$185+Table1[[#This Row],[I PA]]), "")</f>
        <v/>
      </c>
    </row>
    <row r="133" spans="1:28" hidden="1" x14ac:dyDescent="0.25">
      <c r="A133" s="24" t="b">
        <f>IF('Sim Data'!A133&gt;0, TRUE, FALSE)</f>
        <v>0</v>
      </c>
      <c r="B133">
        <v>132</v>
      </c>
      <c r="C133" s="18" t="s">
        <v>169</v>
      </c>
      <c r="D133" s="18" t="s">
        <v>70</v>
      </c>
      <c r="E133" s="18" t="s">
        <v>21</v>
      </c>
      <c r="F133" s="43" t="s">
        <v>21</v>
      </c>
      <c r="G133" s="19">
        <v>6</v>
      </c>
      <c r="H133" s="18">
        <v>2.274</v>
      </c>
      <c r="I133" s="18">
        <v>0.65100000000000002</v>
      </c>
      <c r="J133" s="18">
        <v>2.423</v>
      </c>
      <c r="K133" s="18">
        <v>0.29899999999999999</v>
      </c>
      <c r="L133" s="18">
        <v>0.29912728192588223</v>
      </c>
      <c r="M133" s="18">
        <v>23.718</v>
      </c>
      <c r="N133" s="18">
        <v>5.3239999999999998</v>
      </c>
      <c r="O133" s="18">
        <v>1.6989999999999998</v>
      </c>
      <c r="P133" s="10">
        <f>Table1[[#This Row],[OBP]]*Table1[[#This Row],[PA]]</f>
        <v>7.0947008727180743</v>
      </c>
      <c r="Q133" s="10">
        <f>(8*P$185+Table1[[#This Row],[OB]])/(8*M$185+Table1[[#This Row],[PA]])</f>
        <v>0.32494533556723493</v>
      </c>
      <c r="R133" s="11" t="str">
        <f>IF(Table1[[#This Row],[Included?]],Table1[[#This Row],[g]],"")</f>
        <v/>
      </c>
      <c r="S133" s="11" t="str">
        <f>IF(Table1[[#This Row],[Included?]],Table1[[#This Row],[R]],"")</f>
        <v/>
      </c>
      <c r="T133" s="11" t="str">
        <f>IF(Table1[[#This Row],[Included?]],Table1[[#This Row],[HR]],"")</f>
        <v/>
      </c>
      <c r="U133" s="11" t="str">
        <f>IF(Table1[[#This Row],[Included?]],Table1[[#This Row],[RBI]],"")</f>
        <v/>
      </c>
      <c r="V133" s="11" t="str">
        <f>IF(Table1[[#This Row],[Included?]],Table1[[#This Row],[SB]],"")</f>
        <v/>
      </c>
      <c r="W133" s="11" t="str">
        <f>IF(Table1[[#This Row],[Included?]],Table1[[#This Row],[OBP]],"")</f>
        <v/>
      </c>
      <c r="X133" s="11" t="str">
        <f>IF(Table1[[#This Row],[Included?]],Table1[[#This Row],[PA]],"")</f>
        <v/>
      </c>
      <c r="Y133" s="11" t="str">
        <f>IF(Table1[[#This Row],[Included?]],Table1[[#This Row],[H]],"")</f>
        <v/>
      </c>
      <c r="Z133" s="11" t="str">
        <f>IF(Table1[[#This Row],[Included?]],Table1[[#This Row],[BB]],"")</f>
        <v/>
      </c>
      <c r="AA133" s="11" t="str">
        <f>IF(Table1[[#This Row],[Included?]],Table1[[#This Row],[OB]],"")</f>
        <v/>
      </c>
      <c r="AB133" s="14" t="str">
        <f>IF(Table1[[#This Row],[Included?]], (8*AA$185+Table1[[#This Row],[I OB]])/(8*X$185+Table1[[#This Row],[I PA]]), "")</f>
        <v/>
      </c>
    </row>
    <row r="134" spans="1:28" x14ac:dyDescent="0.25">
      <c r="A134" s="23" t="b">
        <v>0</v>
      </c>
      <c r="B134">
        <v>133</v>
      </c>
      <c r="C134" s="18" t="s">
        <v>289</v>
      </c>
      <c r="D134" s="18" t="s">
        <v>152</v>
      </c>
      <c r="E134" s="18" t="s">
        <v>290</v>
      </c>
      <c r="F134" s="43" t="s">
        <v>30</v>
      </c>
      <c r="G134" s="19">
        <v>5</v>
      </c>
      <c r="H134" s="18">
        <v>2.3109999999999999</v>
      </c>
      <c r="I134" s="18">
        <v>0.35000000000000003</v>
      </c>
      <c r="J134" s="18">
        <v>2.601</v>
      </c>
      <c r="K134" s="18">
        <v>0.16400000000000001</v>
      </c>
      <c r="L134" s="18">
        <v>0.35379297458893871</v>
      </c>
      <c r="M134" s="18">
        <v>21.411000000000001</v>
      </c>
      <c r="N134" s="18">
        <v>5.1499999999999995</v>
      </c>
      <c r="O134" s="18">
        <v>2.319</v>
      </c>
      <c r="P134" s="10">
        <f>Table1[[#This Row],[OBP]]*Table1[[#This Row],[PA]]</f>
        <v>7.5750613789237669</v>
      </c>
      <c r="Q134" s="10">
        <f>(8*P$185+Table1[[#This Row],[OB]])/(8*M$185+Table1[[#This Row],[PA]])</f>
        <v>0.33062960333638769</v>
      </c>
      <c r="R134" s="11" t="str">
        <f>IF(Table1[[#This Row],[Included?]],Table1[[#This Row],[g]],"")</f>
        <v/>
      </c>
      <c r="S134" s="11" t="str">
        <f>IF(Table1[[#This Row],[Included?]],Table1[[#This Row],[R]],"")</f>
        <v/>
      </c>
      <c r="T134" s="11" t="str">
        <f>IF(Table1[[#This Row],[Included?]],Table1[[#This Row],[HR]],"")</f>
        <v/>
      </c>
      <c r="U134" s="11" t="str">
        <f>IF(Table1[[#This Row],[Included?]],Table1[[#This Row],[RBI]],"")</f>
        <v/>
      </c>
      <c r="V134" s="11" t="str">
        <f>IF(Table1[[#This Row],[Included?]],Table1[[#This Row],[SB]],"")</f>
        <v/>
      </c>
      <c r="W134" s="11" t="str">
        <f>IF(Table1[[#This Row],[Included?]],Table1[[#This Row],[OBP]],"")</f>
        <v/>
      </c>
      <c r="X134" s="11" t="str">
        <f>IF(Table1[[#This Row],[Included?]],Table1[[#This Row],[PA]],"")</f>
        <v/>
      </c>
      <c r="Y134" s="11" t="str">
        <f>IF(Table1[[#This Row],[Included?]],Table1[[#This Row],[H]],"")</f>
        <v/>
      </c>
      <c r="Z134" s="11" t="str">
        <f>IF(Table1[[#This Row],[Included?]],Table1[[#This Row],[BB]],"")</f>
        <v/>
      </c>
      <c r="AA134" s="11" t="str">
        <f>IF(Table1[[#This Row],[Included?]],Table1[[#This Row],[OB]],"")</f>
        <v/>
      </c>
      <c r="AB134" s="14" t="str">
        <f>IF(Table1[[#This Row],[Included?]], (8*AA$185+Table1[[#This Row],[I OB]])/(8*X$185+Table1[[#This Row],[I PA]]), "")</f>
        <v/>
      </c>
    </row>
    <row r="135" spans="1:28" hidden="1" x14ac:dyDescent="0.25">
      <c r="A135" s="24" t="b">
        <v>0</v>
      </c>
      <c r="B135">
        <v>134</v>
      </c>
      <c r="C135" s="18" t="s">
        <v>40</v>
      </c>
      <c r="D135" s="18" t="s">
        <v>29</v>
      </c>
      <c r="E135" s="18" t="s">
        <v>16</v>
      </c>
      <c r="F135" s="43" t="s">
        <v>16</v>
      </c>
      <c r="G135" s="19">
        <v>5</v>
      </c>
      <c r="H135" s="18">
        <v>2.6799999999999997</v>
      </c>
      <c r="I135" s="18">
        <v>0.33800000000000002</v>
      </c>
      <c r="J135" s="18">
        <v>1.6389999999999998</v>
      </c>
      <c r="K135" s="18">
        <v>0.13999999999999999</v>
      </c>
      <c r="L135" s="18">
        <v>0.36891813258135259</v>
      </c>
      <c r="M135" s="18">
        <v>22.344000000000001</v>
      </c>
      <c r="N135" s="18">
        <v>5.0750000000000002</v>
      </c>
      <c r="O135" s="18">
        <v>2.9220000000000002</v>
      </c>
      <c r="P135" s="10">
        <f>Table1[[#This Row],[OBP]]*Table1[[#This Row],[PA]]</f>
        <v>8.2431067543977434</v>
      </c>
      <c r="Q135" s="10">
        <f>(8*P$185+Table1[[#This Row],[OB]])/(8*M$185+Table1[[#This Row],[PA]])</f>
        <v>0.33228414825179542</v>
      </c>
      <c r="R135" s="11" t="str">
        <f>IF(Table1[[#This Row],[Included?]],Table1[[#This Row],[g]],"")</f>
        <v/>
      </c>
      <c r="S135" s="11" t="str">
        <f>IF(Table1[[#This Row],[Included?]],Table1[[#This Row],[R]],"")</f>
        <v/>
      </c>
      <c r="T135" s="11" t="str">
        <f>IF(Table1[[#This Row],[Included?]],Table1[[#This Row],[HR]],"")</f>
        <v/>
      </c>
      <c r="U135" s="11" t="str">
        <f>IF(Table1[[#This Row],[Included?]],Table1[[#This Row],[RBI]],"")</f>
        <v/>
      </c>
      <c r="V135" s="11" t="str">
        <f>IF(Table1[[#This Row],[Included?]],Table1[[#This Row],[SB]],"")</f>
        <v/>
      </c>
      <c r="W135" s="11" t="str">
        <f>IF(Table1[[#This Row],[Included?]],Table1[[#This Row],[OBP]],"")</f>
        <v/>
      </c>
      <c r="X135" s="11" t="str">
        <f>IF(Table1[[#This Row],[Included?]],Table1[[#This Row],[PA]],"")</f>
        <v/>
      </c>
      <c r="Y135" s="11" t="str">
        <f>IF(Table1[[#This Row],[Included?]],Table1[[#This Row],[H]],"")</f>
        <v/>
      </c>
      <c r="Z135" s="11" t="str">
        <f>IF(Table1[[#This Row],[Included?]],Table1[[#This Row],[BB]],"")</f>
        <v/>
      </c>
      <c r="AA135" s="11" t="str">
        <f>IF(Table1[[#This Row],[Included?]],Table1[[#This Row],[OB]],"")</f>
        <v/>
      </c>
      <c r="AB135" s="14" t="str">
        <f>IF(Table1[[#This Row],[Included?]], (8*AA$185+Table1[[#This Row],[I OB]])/(8*X$185+Table1[[#This Row],[I PA]]), "")</f>
        <v/>
      </c>
    </row>
    <row r="136" spans="1:28" x14ac:dyDescent="0.25">
      <c r="A136" s="23" t="b">
        <f>IF('Sim Data'!A136&gt;0, TRUE, FALSE)</f>
        <v>0</v>
      </c>
      <c r="B136">
        <v>135</v>
      </c>
      <c r="C136" s="18" t="s">
        <v>291</v>
      </c>
      <c r="D136" s="18" t="s">
        <v>94</v>
      </c>
      <c r="E136" s="18" t="s">
        <v>30</v>
      </c>
      <c r="F136" s="43" t="s">
        <v>30</v>
      </c>
      <c r="G136" s="19">
        <v>6</v>
      </c>
      <c r="H136" s="18">
        <v>2.2410000000000001</v>
      </c>
      <c r="I136" s="18">
        <v>0.23</v>
      </c>
      <c r="J136" s="18">
        <v>2.4139999999999997</v>
      </c>
      <c r="K136" s="18">
        <v>0.41600000000000004</v>
      </c>
      <c r="L136" s="18">
        <v>0.32123589995095631</v>
      </c>
      <c r="M136" s="18">
        <v>24.471</v>
      </c>
      <c r="N136" s="18">
        <v>6.4639999999999995</v>
      </c>
      <c r="O136" s="18">
        <v>1.25</v>
      </c>
      <c r="P136" s="10">
        <f>Table1[[#This Row],[OBP]]*Table1[[#This Row],[PA]]</f>
        <v>7.8609637076998515</v>
      </c>
      <c r="Q136" s="10">
        <f>(8*P$185+Table1[[#This Row],[OB]])/(8*M$185+Table1[[#This Row],[PA]])</f>
        <v>0.32732210881371182</v>
      </c>
      <c r="R136" s="11" t="str">
        <f>IF(Table1[[#This Row],[Included?]],Table1[[#This Row],[g]],"")</f>
        <v/>
      </c>
      <c r="S136" s="11" t="str">
        <f>IF(Table1[[#This Row],[Included?]],Table1[[#This Row],[R]],"")</f>
        <v/>
      </c>
      <c r="T136" s="11" t="str">
        <f>IF(Table1[[#This Row],[Included?]],Table1[[#This Row],[HR]],"")</f>
        <v/>
      </c>
      <c r="U136" s="11" t="str">
        <f>IF(Table1[[#This Row],[Included?]],Table1[[#This Row],[RBI]],"")</f>
        <v/>
      </c>
      <c r="V136" s="11" t="str">
        <f>IF(Table1[[#This Row],[Included?]],Table1[[#This Row],[SB]],"")</f>
        <v/>
      </c>
      <c r="W136" s="11" t="str">
        <f>IF(Table1[[#This Row],[Included?]],Table1[[#This Row],[OBP]],"")</f>
        <v/>
      </c>
      <c r="X136" s="11" t="str">
        <f>IF(Table1[[#This Row],[Included?]],Table1[[#This Row],[PA]],"")</f>
        <v/>
      </c>
      <c r="Y136" s="11" t="str">
        <f>IF(Table1[[#This Row],[Included?]],Table1[[#This Row],[H]],"")</f>
        <v/>
      </c>
      <c r="Z136" s="11" t="str">
        <f>IF(Table1[[#This Row],[Included?]],Table1[[#This Row],[BB]],"")</f>
        <v/>
      </c>
      <c r="AA136" s="11" t="str">
        <f>IF(Table1[[#This Row],[Included?]],Table1[[#This Row],[OB]],"")</f>
        <v/>
      </c>
      <c r="AB136" s="14" t="str">
        <f>IF(Table1[[#This Row],[Included?]], (8*AA$185+Table1[[#This Row],[I OB]])/(8*X$185+Table1[[#This Row],[I PA]]), "")</f>
        <v/>
      </c>
    </row>
    <row r="137" spans="1:28" hidden="1" x14ac:dyDescent="0.25">
      <c r="A137" s="24" t="b">
        <f>IF('Sim Data'!A137&gt;0, TRUE, FALSE)</f>
        <v>0</v>
      </c>
      <c r="B137">
        <v>136</v>
      </c>
      <c r="C137" s="18" t="s">
        <v>292</v>
      </c>
      <c r="D137" s="18" t="s">
        <v>61</v>
      </c>
      <c r="E137" s="18" t="s">
        <v>37</v>
      </c>
      <c r="F137" s="43" t="s">
        <v>37</v>
      </c>
      <c r="G137" s="19">
        <v>6</v>
      </c>
      <c r="H137" s="18">
        <v>2.2850000000000001</v>
      </c>
      <c r="I137" s="18">
        <v>0.59599999999999997</v>
      </c>
      <c r="J137" s="18">
        <v>2.38</v>
      </c>
      <c r="K137" s="18">
        <v>0.23100000000000001</v>
      </c>
      <c r="L137" s="18">
        <v>0.29119763013118904</v>
      </c>
      <c r="M137" s="18">
        <v>23.627000000000002</v>
      </c>
      <c r="N137" s="18">
        <v>5.4019999999999992</v>
      </c>
      <c r="O137" s="18">
        <v>1.2890000000000001</v>
      </c>
      <c r="P137" s="9">
        <f>Table1[[#This Row],[OBP]]*Table1[[#This Row],[PA]]</f>
        <v>6.8801264071096044</v>
      </c>
      <c r="Q137" s="9">
        <f>(8*P$185+Table1[[#This Row],[OB]])/(8*M$185+Table1[[#This Row],[PA]])</f>
        <v>0.32409903754353647</v>
      </c>
      <c r="R137" s="11" t="str">
        <f>IF(Table1[[#This Row],[Included?]],Table1[[#This Row],[g]],"")</f>
        <v/>
      </c>
      <c r="S137" s="11" t="str">
        <f>IF(Table1[[#This Row],[Included?]],Table1[[#This Row],[R]],"")</f>
        <v/>
      </c>
      <c r="T137" s="11" t="str">
        <f>IF(Table1[[#This Row],[Included?]],Table1[[#This Row],[HR]],"")</f>
        <v/>
      </c>
      <c r="U137" s="11" t="str">
        <f>IF(Table1[[#This Row],[Included?]],Table1[[#This Row],[RBI]],"")</f>
        <v/>
      </c>
      <c r="V137" s="11" t="str">
        <f>IF(Table1[[#This Row],[Included?]],Table1[[#This Row],[SB]],"")</f>
        <v/>
      </c>
      <c r="W137" s="11" t="str">
        <f>IF(Table1[[#This Row],[Included?]],Table1[[#This Row],[OBP]],"")</f>
        <v/>
      </c>
      <c r="X137" s="11" t="str">
        <f>IF(Table1[[#This Row],[Included?]],Table1[[#This Row],[PA]],"")</f>
        <v/>
      </c>
      <c r="Y137" s="11" t="str">
        <f>IF(Table1[[#This Row],[Included?]],Table1[[#This Row],[H]],"")</f>
        <v/>
      </c>
      <c r="Z137" s="11" t="str">
        <f>IF(Table1[[#This Row],[Included?]],Table1[[#This Row],[BB]],"")</f>
        <v/>
      </c>
      <c r="AA137" s="11" t="str">
        <f>IF(Table1[[#This Row],[Included?]],Table1[[#This Row],[OB]],"")</f>
        <v/>
      </c>
      <c r="AB137" s="14" t="str">
        <f>IF(Table1[[#This Row],[Included?]], (8*AA$185+Table1[[#This Row],[I OB]])/(8*X$185+Table1[[#This Row],[I PA]]), "")</f>
        <v/>
      </c>
    </row>
    <row r="138" spans="1:28" hidden="1" x14ac:dyDescent="0.25">
      <c r="A138" s="23" t="b">
        <v>0</v>
      </c>
      <c r="B138">
        <v>137</v>
      </c>
      <c r="C138" s="18" t="s">
        <v>173</v>
      </c>
      <c r="D138" s="18" t="s">
        <v>25</v>
      </c>
      <c r="E138" s="18" t="s">
        <v>43</v>
      </c>
      <c r="F138" s="43" t="s">
        <v>37</v>
      </c>
      <c r="G138" s="19">
        <v>6</v>
      </c>
      <c r="H138" s="18">
        <v>1.8939999999999999</v>
      </c>
      <c r="I138" s="18">
        <v>0.312</v>
      </c>
      <c r="J138" s="18">
        <v>2.1479999999999997</v>
      </c>
      <c r="K138" s="18">
        <v>0.13100000000000001</v>
      </c>
      <c r="L138" s="18">
        <v>0.3476911618669315</v>
      </c>
      <c r="M138" s="18">
        <v>24.169999999999998</v>
      </c>
      <c r="N138" s="18">
        <v>5.8890000000000002</v>
      </c>
      <c r="O138" s="18">
        <v>2.0549999999999997</v>
      </c>
      <c r="P138" s="9">
        <f>Table1[[#This Row],[OBP]]*Table1[[#This Row],[PA]]</f>
        <v>8.4036953823237344</v>
      </c>
      <c r="Q138" s="9">
        <f>(8*P$185+Table1[[#This Row],[OB]])/(8*M$185+Table1[[#This Row],[PA]])</f>
        <v>0.33024824774442735</v>
      </c>
      <c r="R138" s="11" t="str">
        <f>IF(Table1[[#This Row],[Included?]],Table1[[#This Row],[g]],"")</f>
        <v/>
      </c>
      <c r="S138" s="11" t="str">
        <f>IF(Table1[[#This Row],[Included?]],Table1[[#This Row],[R]],"")</f>
        <v/>
      </c>
      <c r="T138" s="11" t="str">
        <f>IF(Table1[[#This Row],[Included?]],Table1[[#This Row],[HR]],"")</f>
        <v/>
      </c>
      <c r="U138" s="11" t="str">
        <f>IF(Table1[[#This Row],[Included?]],Table1[[#This Row],[RBI]],"")</f>
        <v/>
      </c>
      <c r="V138" s="11" t="str">
        <f>IF(Table1[[#This Row],[Included?]],Table1[[#This Row],[SB]],"")</f>
        <v/>
      </c>
      <c r="W138" s="11" t="str">
        <f>IF(Table1[[#This Row],[Included?]],Table1[[#This Row],[OBP]],"")</f>
        <v/>
      </c>
      <c r="X138" s="11" t="str">
        <f>IF(Table1[[#This Row],[Included?]],Table1[[#This Row],[PA]],"")</f>
        <v/>
      </c>
      <c r="Y138" s="11" t="str">
        <f>IF(Table1[[#This Row],[Included?]],Table1[[#This Row],[H]],"")</f>
        <v/>
      </c>
      <c r="Z138" s="11" t="str">
        <f>IF(Table1[[#This Row],[Included?]],Table1[[#This Row],[BB]],"")</f>
        <v/>
      </c>
      <c r="AA138" s="11" t="str">
        <f>IF(Table1[[#This Row],[Included?]],Table1[[#This Row],[OB]],"")</f>
        <v/>
      </c>
      <c r="AB138" s="14" t="str">
        <f>IF(Table1[[#This Row],[Included?]], (8*AA$185+Table1[[#This Row],[I OB]])/(8*X$185+Table1[[#This Row],[I PA]]), "")</f>
        <v/>
      </c>
    </row>
    <row r="139" spans="1:28" hidden="1" x14ac:dyDescent="0.25">
      <c r="A139" s="24" t="b">
        <f>IF('Sim Data'!A139&gt;0, TRUE, FALSE)</f>
        <v>0</v>
      </c>
      <c r="B139">
        <v>138</v>
      </c>
      <c r="C139" s="18" t="s">
        <v>171</v>
      </c>
      <c r="D139" s="18" t="s">
        <v>58</v>
      </c>
      <c r="E139" s="18" t="s">
        <v>37</v>
      </c>
      <c r="F139" s="43" t="s">
        <v>37</v>
      </c>
      <c r="G139" s="19">
        <v>5</v>
      </c>
      <c r="H139" s="18">
        <v>2.2370000000000001</v>
      </c>
      <c r="I139" s="18">
        <v>0.81900000000000006</v>
      </c>
      <c r="J139" s="18">
        <v>2.4380000000000002</v>
      </c>
      <c r="K139" s="18">
        <v>0</v>
      </c>
      <c r="L139" s="18">
        <v>0.30131312655904358</v>
      </c>
      <c r="M139" s="18">
        <v>21.247999999999998</v>
      </c>
      <c r="N139" s="18">
        <v>5.2249999999999996</v>
      </c>
      <c r="O139" s="18">
        <v>0.90199999999999991</v>
      </c>
      <c r="P139" s="9">
        <f>Table1[[#This Row],[OBP]]*Table1[[#This Row],[PA]]</f>
        <v>6.4023013131265571</v>
      </c>
      <c r="Q139" s="9">
        <f>(8*P$185+Table1[[#This Row],[OB]])/(8*M$185+Table1[[#This Row],[PA]])</f>
        <v>0.32545506031883309</v>
      </c>
      <c r="R139" s="11" t="str">
        <f>IF(Table1[[#This Row],[Included?]],Table1[[#This Row],[g]],"")</f>
        <v/>
      </c>
      <c r="S139" s="11" t="str">
        <f>IF(Table1[[#This Row],[Included?]],Table1[[#This Row],[R]],"")</f>
        <v/>
      </c>
      <c r="T139" s="11" t="str">
        <f>IF(Table1[[#This Row],[Included?]],Table1[[#This Row],[HR]],"")</f>
        <v/>
      </c>
      <c r="U139" s="11" t="str">
        <f>IF(Table1[[#This Row],[Included?]],Table1[[#This Row],[RBI]],"")</f>
        <v/>
      </c>
      <c r="V139" s="11" t="str">
        <f>IF(Table1[[#This Row],[Included?]],Table1[[#This Row],[SB]],"")</f>
        <v/>
      </c>
      <c r="W139" s="11" t="str">
        <f>IF(Table1[[#This Row],[Included?]],Table1[[#This Row],[OBP]],"")</f>
        <v/>
      </c>
      <c r="X139" s="11" t="str">
        <f>IF(Table1[[#This Row],[Included?]],Table1[[#This Row],[PA]],"")</f>
        <v/>
      </c>
      <c r="Y139" s="11" t="str">
        <f>IF(Table1[[#This Row],[Included?]],Table1[[#This Row],[H]],"")</f>
        <v/>
      </c>
      <c r="Z139" s="11" t="str">
        <f>IF(Table1[[#This Row],[Included?]],Table1[[#This Row],[BB]],"")</f>
        <v/>
      </c>
      <c r="AA139" s="11" t="str">
        <f>IF(Table1[[#This Row],[Included?]],Table1[[#This Row],[OB]],"")</f>
        <v/>
      </c>
      <c r="AB139" s="14" t="str">
        <f>IF(Table1[[#This Row],[Included?]], (8*AA$185+Table1[[#This Row],[I OB]])/(8*X$185+Table1[[#This Row],[I PA]]), "")</f>
        <v/>
      </c>
    </row>
    <row r="140" spans="1:28" hidden="1" x14ac:dyDescent="0.25">
      <c r="A140" s="23" t="b">
        <f>IF('Sim Data'!A140&gt;0, TRUE, FALSE)</f>
        <v>1</v>
      </c>
      <c r="B140">
        <v>139</v>
      </c>
      <c r="C140" s="18" t="s">
        <v>87</v>
      </c>
      <c r="D140" s="18" t="s">
        <v>58</v>
      </c>
      <c r="E140" s="18" t="s">
        <v>88</v>
      </c>
      <c r="F140" s="43" t="s">
        <v>37</v>
      </c>
      <c r="G140" s="19">
        <v>5</v>
      </c>
      <c r="H140" s="18">
        <v>1.9250000000000003</v>
      </c>
      <c r="I140" s="18">
        <v>0.745</v>
      </c>
      <c r="J140" s="18">
        <v>1.806</v>
      </c>
      <c r="K140" s="18">
        <v>0.26300000000000001</v>
      </c>
      <c r="L140" s="18">
        <v>0.36197050206088288</v>
      </c>
      <c r="M140" s="18">
        <v>20.137</v>
      </c>
      <c r="N140" s="18">
        <v>3.8000000000000003</v>
      </c>
      <c r="O140" s="18">
        <v>3.3899999999999997</v>
      </c>
      <c r="P140" s="9">
        <f>Table1[[#This Row],[OBP]]*Table1[[#This Row],[PA]]</f>
        <v>7.2889999999999988</v>
      </c>
      <c r="Q140" s="9">
        <f>(8*P$185+Table1[[#This Row],[OB]])/(8*M$185+Table1[[#This Row],[PA]])</f>
        <v>0.33125792370546803</v>
      </c>
      <c r="R140" s="11">
        <f>IF(Table1[[#This Row],[Included?]],Table1[[#This Row],[g]],"")</f>
        <v>5</v>
      </c>
      <c r="S140" s="11">
        <f>IF(Table1[[#This Row],[Included?]],Table1[[#This Row],[R]],"")</f>
        <v>1.9250000000000003</v>
      </c>
      <c r="T140" s="11">
        <f>IF(Table1[[#This Row],[Included?]],Table1[[#This Row],[HR]],"")</f>
        <v>0.745</v>
      </c>
      <c r="U140" s="11">
        <f>IF(Table1[[#This Row],[Included?]],Table1[[#This Row],[RBI]],"")</f>
        <v>1.806</v>
      </c>
      <c r="V140" s="11">
        <f>IF(Table1[[#This Row],[Included?]],Table1[[#This Row],[SB]],"")</f>
        <v>0.26300000000000001</v>
      </c>
      <c r="W140" s="11">
        <f>IF(Table1[[#This Row],[Included?]],Table1[[#This Row],[OBP]],"")</f>
        <v>0.36197050206088288</v>
      </c>
      <c r="X140" s="11">
        <f>IF(Table1[[#This Row],[Included?]],Table1[[#This Row],[PA]],"")</f>
        <v>20.137</v>
      </c>
      <c r="Y140" s="11">
        <f>IF(Table1[[#This Row],[Included?]],Table1[[#This Row],[H]],"")</f>
        <v>3.8000000000000003</v>
      </c>
      <c r="Z140" s="11">
        <f>IF(Table1[[#This Row],[Included?]],Table1[[#This Row],[BB]],"")</f>
        <v>3.3899999999999997</v>
      </c>
      <c r="AA140" s="11">
        <f>IF(Table1[[#This Row],[Included?]],Table1[[#This Row],[OB]],"")</f>
        <v>7.2889999999999988</v>
      </c>
      <c r="AB140" s="14">
        <f>IF(Table1[[#This Row],[Included?]], (8*AA$185+Table1[[#This Row],[I OB]])/(8*X$185+Table1[[#This Row],[I PA]]), "")</f>
        <v>0.34710106598925522</v>
      </c>
    </row>
    <row r="141" spans="1:28" hidden="1" x14ac:dyDescent="0.25">
      <c r="A141" s="24" t="b">
        <f>IF('Sim Data'!A141&gt;0, TRUE, FALSE)</f>
        <v>1</v>
      </c>
      <c r="B141">
        <v>140</v>
      </c>
      <c r="C141" s="18" t="s">
        <v>103</v>
      </c>
      <c r="D141" s="18" t="s">
        <v>18</v>
      </c>
      <c r="E141" s="18" t="s">
        <v>37</v>
      </c>
      <c r="F141" s="43" t="s">
        <v>37</v>
      </c>
      <c r="G141" s="19">
        <v>5</v>
      </c>
      <c r="H141" s="18">
        <v>1.9259999999999999</v>
      </c>
      <c r="I141" s="18">
        <v>0.67800000000000005</v>
      </c>
      <c r="J141" s="18">
        <v>1.895</v>
      </c>
      <c r="K141" s="18">
        <v>0.185</v>
      </c>
      <c r="L141" s="18">
        <v>0.34651025236593058</v>
      </c>
      <c r="M141" s="18">
        <v>20.289000000000001</v>
      </c>
      <c r="N141" s="18">
        <v>4.2960000000000003</v>
      </c>
      <c r="O141" s="18">
        <v>2.3069999999999999</v>
      </c>
      <c r="P141" s="9">
        <f>Table1[[#This Row],[OBP]]*Table1[[#This Row],[PA]]</f>
        <v>7.0303465102523663</v>
      </c>
      <c r="Q141" s="9">
        <f>(8*P$185+Table1[[#This Row],[OB]])/(8*M$185+Table1[[#This Row],[PA]])</f>
        <v>0.32982247094654621</v>
      </c>
      <c r="R141" s="11">
        <f>IF(Table1[[#This Row],[Included?]],Table1[[#This Row],[g]],"")</f>
        <v>5</v>
      </c>
      <c r="S141" s="11">
        <f>IF(Table1[[#This Row],[Included?]],Table1[[#This Row],[R]],"")</f>
        <v>1.9259999999999999</v>
      </c>
      <c r="T141" s="11">
        <f>IF(Table1[[#This Row],[Included?]],Table1[[#This Row],[HR]],"")</f>
        <v>0.67800000000000005</v>
      </c>
      <c r="U141" s="11">
        <f>IF(Table1[[#This Row],[Included?]],Table1[[#This Row],[RBI]],"")</f>
        <v>1.895</v>
      </c>
      <c r="V141" s="11">
        <f>IF(Table1[[#This Row],[Included?]],Table1[[#This Row],[SB]],"")</f>
        <v>0.185</v>
      </c>
      <c r="W141" s="11">
        <f>IF(Table1[[#This Row],[Included?]],Table1[[#This Row],[OBP]],"")</f>
        <v>0.34651025236593058</v>
      </c>
      <c r="X141" s="11">
        <f>IF(Table1[[#This Row],[Included?]],Table1[[#This Row],[PA]],"")</f>
        <v>20.289000000000001</v>
      </c>
      <c r="Y141" s="11">
        <f>IF(Table1[[#This Row],[Included?]],Table1[[#This Row],[H]],"")</f>
        <v>4.2960000000000003</v>
      </c>
      <c r="Z141" s="11">
        <f>IF(Table1[[#This Row],[Included?]],Table1[[#This Row],[BB]],"")</f>
        <v>2.3069999999999999</v>
      </c>
      <c r="AA141" s="11">
        <f>IF(Table1[[#This Row],[Included?]],Table1[[#This Row],[OB]],"")</f>
        <v>7.0303465102523663</v>
      </c>
      <c r="AB141" s="14">
        <f>IF(Table1[[#This Row],[Included?]], (8*AA$185+Table1[[#This Row],[I OB]])/(8*X$185+Table1[[#This Row],[I PA]]), "")</f>
        <v>0.34572531271320089</v>
      </c>
    </row>
    <row r="142" spans="1:28" hidden="1" x14ac:dyDescent="0.25">
      <c r="A142" s="23" t="b">
        <f>IF('Sim Data'!A142&gt;0, TRUE, FALSE)</f>
        <v>0</v>
      </c>
      <c r="B142">
        <v>141</v>
      </c>
      <c r="C142" s="18" t="s">
        <v>293</v>
      </c>
      <c r="D142" s="18" t="s">
        <v>72</v>
      </c>
      <c r="E142" s="18" t="s">
        <v>43</v>
      </c>
      <c r="F142" s="43" t="s">
        <v>37</v>
      </c>
      <c r="G142" s="19">
        <v>7</v>
      </c>
      <c r="H142" s="18">
        <v>2.1040000000000001</v>
      </c>
      <c r="I142" s="18">
        <v>0.27</v>
      </c>
      <c r="J142" s="18">
        <v>2.2289999999999996</v>
      </c>
      <c r="K142" s="18">
        <v>1.9E-2</v>
      </c>
      <c r="L142" s="18">
        <v>0.3027864030070273</v>
      </c>
      <c r="M142" s="18">
        <v>24.476999999999997</v>
      </c>
      <c r="N142" s="18">
        <v>5.9329999999999998</v>
      </c>
      <c r="O142" s="18">
        <v>1.355</v>
      </c>
      <c r="P142" s="9">
        <f>Table1[[#This Row],[OBP]]*Table1[[#This Row],[PA]]</f>
        <v>7.4113027864030068</v>
      </c>
      <c r="Q142" s="9">
        <f>(8*P$185+Table1[[#This Row],[OB]])/(8*M$185+Table1[[#This Row],[PA]])</f>
        <v>0.32526416451712925</v>
      </c>
      <c r="R142" s="16" t="str">
        <f>IF(Table1[[#This Row],[Included?]],Table1[[#This Row],[g]],"")</f>
        <v/>
      </c>
      <c r="S142" s="16" t="str">
        <f>IF(Table1[[#This Row],[Included?]],Table1[[#This Row],[R]],"")</f>
        <v/>
      </c>
      <c r="T142" s="16" t="str">
        <f>IF(Table1[[#This Row],[Included?]],Table1[[#This Row],[HR]],"")</f>
        <v/>
      </c>
      <c r="U142" s="16" t="str">
        <f>IF(Table1[[#This Row],[Included?]],Table1[[#This Row],[RBI]],"")</f>
        <v/>
      </c>
      <c r="V142" s="16" t="str">
        <f>IF(Table1[[#This Row],[Included?]],Table1[[#This Row],[SB]],"")</f>
        <v/>
      </c>
      <c r="W142" s="16" t="str">
        <f>IF(Table1[[#This Row],[Included?]],Table1[[#This Row],[OBP]],"")</f>
        <v/>
      </c>
      <c r="X142" s="16" t="str">
        <f>IF(Table1[[#This Row],[Included?]],Table1[[#This Row],[PA]],"")</f>
        <v/>
      </c>
      <c r="Y142" s="16" t="str">
        <f>IF(Table1[[#This Row],[Included?]],Table1[[#This Row],[H]],"")</f>
        <v/>
      </c>
      <c r="Z142" s="16" t="str">
        <f>IF(Table1[[#This Row],[Included?]],Table1[[#This Row],[BB]],"")</f>
        <v/>
      </c>
      <c r="AA142" s="16" t="str">
        <f>IF(Table1[[#This Row],[Included?]],Table1[[#This Row],[OB]],"")</f>
        <v/>
      </c>
      <c r="AB142" s="14" t="str">
        <f>IF(Table1[[#This Row],[Included?]], (8*AA$185+Table1[[#This Row],[I OB]])/(8*X$185+Table1[[#This Row],[I PA]]), "")</f>
        <v/>
      </c>
    </row>
    <row r="143" spans="1:28" hidden="1" x14ac:dyDescent="0.25">
      <c r="A143" s="24" t="b">
        <f>IF('Sim Data'!A143&gt;0, TRUE, FALSE)</f>
        <v>0</v>
      </c>
      <c r="B143">
        <v>142</v>
      </c>
      <c r="C143" s="18" t="s">
        <v>294</v>
      </c>
      <c r="D143" s="18" t="s">
        <v>23</v>
      </c>
      <c r="E143" s="18" t="s">
        <v>37</v>
      </c>
      <c r="F143" s="43" t="s">
        <v>37</v>
      </c>
      <c r="G143" s="19">
        <v>6</v>
      </c>
      <c r="H143" s="18">
        <v>2.0789999999999997</v>
      </c>
      <c r="I143" s="18">
        <v>0.58599999999999997</v>
      </c>
      <c r="J143" s="18">
        <v>2.1589999999999998</v>
      </c>
      <c r="K143" s="18">
        <v>0</v>
      </c>
      <c r="L143" s="18">
        <v>0.32166174977027617</v>
      </c>
      <c r="M143" s="18">
        <v>20.68</v>
      </c>
      <c r="N143" s="18">
        <v>4.7300000000000004</v>
      </c>
      <c r="O143" s="18">
        <v>1.5489999999999999</v>
      </c>
      <c r="P143" s="9">
        <f>Table1[[#This Row],[OBP]]*Table1[[#This Row],[PA]]</f>
        <v>6.651964985249311</v>
      </c>
      <c r="Q143" s="9">
        <f>(8*P$185+Table1[[#This Row],[OB]])/(8*M$185+Table1[[#This Row],[PA]])</f>
        <v>0.32746993308306377</v>
      </c>
      <c r="R143" s="16" t="str">
        <f>IF(Table1[[#This Row],[Included?]],Table1[[#This Row],[g]],"")</f>
        <v/>
      </c>
      <c r="S143" s="16" t="str">
        <f>IF(Table1[[#This Row],[Included?]],Table1[[#This Row],[R]],"")</f>
        <v/>
      </c>
      <c r="T143" s="16" t="str">
        <f>IF(Table1[[#This Row],[Included?]],Table1[[#This Row],[HR]],"")</f>
        <v/>
      </c>
      <c r="U143" s="16" t="str">
        <f>IF(Table1[[#This Row],[Included?]],Table1[[#This Row],[RBI]],"")</f>
        <v/>
      </c>
      <c r="V143" s="16" t="str">
        <f>IF(Table1[[#This Row],[Included?]],Table1[[#This Row],[SB]],"")</f>
        <v/>
      </c>
      <c r="W143" s="16" t="str">
        <f>IF(Table1[[#This Row],[Included?]],Table1[[#This Row],[OBP]],"")</f>
        <v/>
      </c>
      <c r="X143" s="16" t="str">
        <f>IF(Table1[[#This Row],[Included?]],Table1[[#This Row],[PA]],"")</f>
        <v/>
      </c>
      <c r="Y143" s="16" t="str">
        <f>IF(Table1[[#This Row],[Included?]],Table1[[#This Row],[H]],"")</f>
        <v/>
      </c>
      <c r="Z143" s="16" t="str">
        <f>IF(Table1[[#This Row],[Included?]],Table1[[#This Row],[BB]],"")</f>
        <v/>
      </c>
      <c r="AA143" s="16" t="str">
        <f>IF(Table1[[#This Row],[Included?]],Table1[[#This Row],[OB]],"")</f>
        <v/>
      </c>
      <c r="AB143" s="14" t="str">
        <f>IF(Table1[[#This Row],[Included?]], (8*AA$185+Table1[[#This Row],[I OB]])/(8*X$185+Table1[[#This Row],[I PA]]), "")</f>
        <v/>
      </c>
    </row>
    <row r="144" spans="1:28" hidden="1" x14ac:dyDescent="0.25">
      <c r="A144" s="23" t="b">
        <f>IF('Sim Data'!A144&gt;0, TRUE, FALSE)</f>
        <v>0</v>
      </c>
      <c r="B144">
        <v>143</v>
      </c>
      <c r="C144" s="18" t="s">
        <v>295</v>
      </c>
      <c r="D144" s="18" t="s">
        <v>81</v>
      </c>
      <c r="E144" s="18" t="s">
        <v>37</v>
      </c>
      <c r="F144" s="43" t="s">
        <v>37</v>
      </c>
      <c r="G144" s="19">
        <v>6</v>
      </c>
      <c r="H144" s="18">
        <v>1.782</v>
      </c>
      <c r="I144" s="18">
        <v>0.35199999999999998</v>
      </c>
      <c r="J144" s="18">
        <v>1.885</v>
      </c>
      <c r="K144" s="18">
        <v>2.4E-2</v>
      </c>
      <c r="L144" s="18">
        <v>0.31458324441978569</v>
      </c>
      <c r="M144" s="18">
        <v>23.43</v>
      </c>
      <c r="N144" s="18">
        <v>5.2959999999999994</v>
      </c>
      <c r="O144" s="18">
        <v>1.3499999999999999</v>
      </c>
      <c r="P144" s="9">
        <f>Table1[[#This Row],[OBP]]*Table1[[#This Row],[PA]]</f>
        <v>7.3706854167555784</v>
      </c>
      <c r="Q144" s="9">
        <f>(8*P$185+Table1[[#This Row],[OB]])/(8*M$185+Table1[[#This Row],[PA]])</f>
        <v>0.32663744336167078</v>
      </c>
      <c r="R144" s="16" t="str">
        <f>IF(Table1[[#This Row],[Included?]],Table1[[#This Row],[g]],"")</f>
        <v/>
      </c>
      <c r="S144" s="16" t="str">
        <f>IF(Table1[[#This Row],[Included?]],Table1[[#This Row],[R]],"")</f>
        <v/>
      </c>
      <c r="T144" s="16" t="str">
        <f>IF(Table1[[#This Row],[Included?]],Table1[[#This Row],[HR]],"")</f>
        <v/>
      </c>
      <c r="U144" s="16" t="str">
        <f>IF(Table1[[#This Row],[Included?]],Table1[[#This Row],[RBI]],"")</f>
        <v/>
      </c>
      <c r="V144" s="16" t="str">
        <f>IF(Table1[[#This Row],[Included?]],Table1[[#This Row],[SB]],"")</f>
        <v/>
      </c>
      <c r="W144" s="16" t="str">
        <f>IF(Table1[[#This Row],[Included?]],Table1[[#This Row],[OBP]],"")</f>
        <v/>
      </c>
      <c r="X144" s="16" t="str">
        <f>IF(Table1[[#This Row],[Included?]],Table1[[#This Row],[PA]],"")</f>
        <v/>
      </c>
      <c r="Y144" s="16" t="str">
        <f>IF(Table1[[#This Row],[Included?]],Table1[[#This Row],[H]],"")</f>
        <v/>
      </c>
      <c r="Z144" s="16" t="str">
        <f>IF(Table1[[#This Row],[Included?]],Table1[[#This Row],[BB]],"")</f>
        <v/>
      </c>
      <c r="AA144" s="16" t="str">
        <f>IF(Table1[[#This Row],[Included?]],Table1[[#This Row],[OB]],"")</f>
        <v/>
      </c>
      <c r="AB144" s="14" t="str">
        <f>IF(Table1[[#This Row],[Included?]], (8*AA$185+Table1[[#This Row],[I OB]])/(8*X$185+Table1[[#This Row],[I PA]]), "")</f>
        <v/>
      </c>
    </row>
    <row r="145" spans="1:28" hidden="1" x14ac:dyDescent="0.25">
      <c r="A145" s="24" t="b">
        <f>IF('Sim Data'!A145&gt;0, TRUE, FALSE)</f>
        <v>0</v>
      </c>
      <c r="B145">
        <v>144</v>
      </c>
      <c r="C145" s="18" t="s">
        <v>296</v>
      </c>
      <c r="D145" s="18" t="s">
        <v>70</v>
      </c>
      <c r="E145" s="18" t="s">
        <v>37</v>
      </c>
      <c r="F145" s="43" t="s">
        <v>37</v>
      </c>
      <c r="G145" s="19">
        <v>6</v>
      </c>
      <c r="H145" s="18">
        <v>1.5980000000000001</v>
      </c>
      <c r="I145" s="18">
        <v>0.312</v>
      </c>
      <c r="J145" s="18">
        <v>1.788</v>
      </c>
      <c r="K145" s="18">
        <v>8.5999999999999993E-2</v>
      </c>
      <c r="L145" s="18">
        <v>0.33576055394237209</v>
      </c>
      <c r="M145" s="18">
        <v>22.384999999999998</v>
      </c>
      <c r="N145" s="18">
        <v>4.9429999999999996</v>
      </c>
      <c r="O145" s="18">
        <v>2.0140000000000002</v>
      </c>
      <c r="P145" s="9">
        <f>Table1[[#This Row],[OBP]]*Table1[[#This Row],[PA]]</f>
        <v>7.5159999999999982</v>
      </c>
      <c r="Q145" s="9">
        <f>(8*P$185+Table1[[#This Row],[OB]])/(8*M$185+Table1[[#This Row],[PA]])</f>
        <v>0.32887633470262145</v>
      </c>
      <c r="R145" s="16" t="str">
        <f>IF(Table1[[#This Row],[Included?]],Table1[[#This Row],[g]],"")</f>
        <v/>
      </c>
      <c r="S145" s="16" t="str">
        <f>IF(Table1[[#This Row],[Included?]],Table1[[#This Row],[R]],"")</f>
        <v/>
      </c>
      <c r="T145" s="16" t="str">
        <f>IF(Table1[[#This Row],[Included?]],Table1[[#This Row],[HR]],"")</f>
        <v/>
      </c>
      <c r="U145" s="16" t="str">
        <f>IF(Table1[[#This Row],[Included?]],Table1[[#This Row],[RBI]],"")</f>
        <v/>
      </c>
      <c r="V145" s="16" t="str">
        <f>IF(Table1[[#This Row],[Included?]],Table1[[#This Row],[SB]],"")</f>
        <v/>
      </c>
      <c r="W145" s="16" t="str">
        <f>IF(Table1[[#This Row],[Included?]],Table1[[#This Row],[OBP]],"")</f>
        <v/>
      </c>
      <c r="X145" s="16" t="str">
        <f>IF(Table1[[#This Row],[Included?]],Table1[[#This Row],[PA]],"")</f>
        <v/>
      </c>
      <c r="Y145" s="16" t="str">
        <f>IF(Table1[[#This Row],[Included?]],Table1[[#This Row],[H]],"")</f>
        <v/>
      </c>
      <c r="Z145" s="16" t="str">
        <f>IF(Table1[[#This Row],[Included?]],Table1[[#This Row],[BB]],"")</f>
        <v/>
      </c>
      <c r="AA145" s="16" t="str">
        <f>IF(Table1[[#This Row],[Included?]],Table1[[#This Row],[OB]],"")</f>
        <v/>
      </c>
      <c r="AB145" s="14" t="str">
        <f>IF(Table1[[#This Row],[Included?]], (8*AA$185+Table1[[#This Row],[I OB]])/(8*X$185+Table1[[#This Row],[I PA]]), "")</f>
        <v/>
      </c>
    </row>
    <row r="146" spans="1:28" hidden="1" x14ac:dyDescent="0.25">
      <c r="A146" s="23" t="b">
        <f>IF('Sim Data'!A146&gt;0, TRUE, FALSE)</f>
        <v>0</v>
      </c>
      <c r="B146">
        <v>145</v>
      </c>
      <c r="C146" s="18" t="s">
        <v>297</v>
      </c>
      <c r="D146" s="18" t="s">
        <v>67</v>
      </c>
      <c r="E146" s="18" t="s">
        <v>37</v>
      </c>
      <c r="F146" s="43" t="s">
        <v>37</v>
      </c>
      <c r="G146" s="19">
        <v>6</v>
      </c>
      <c r="H146" s="18">
        <v>2.0720000000000001</v>
      </c>
      <c r="I146" s="18">
        <v>0.95400000000000007</v>
      </c>
      <c r="J146" s="18">
        <v>1.4969999999999999</v>
      </c>
      <c r="K146" s="18">
        <v>0.05</v>
      </c>
      <c r="L146" s="18">
        <v>0.25683549977588527</v>
      </c>
      <c r="M146" s="18">
        <v>22.311</v>
      </c>
      <c r="N146" s="18">
        <v>3.952</v>
      </c>
      <c r="O146" s="18">
        <v>1.2200000000000002</v>
      </c>
      <c r="P146" s="9">
        <f>Table1[[#This Row],[OBP]]*Table1[[#This Row],[PA]]</f>
        <v>5.7302568354997758</v>
      </c>
      <c r="Q146" s="9">
        <f>(8*P$185+Table1[[#This Row],[OB]])/(8*M$185+Table1[[#This Row],[PA]])</f>
        <v>0.32077002705524926</v>
      </c>
      <c r="R146" s="16" t="str">
        <f>IF(Table1[[#This Row],[Included?]],Table1[[#This Row],[g]],"")</f>
        <v/>
      </c>
      <c r="S146" s="16" t="str">
        <f>IF(Table1[[#This Row],[Included?]],Table1[[#This Row],[R]],"")</f>
        <v/>
      </c>
      <c r="T146" s="16" t="str">
        <f>IF(Table1[[#This Row],[Included?]],Table1[[#This Row],[HR]],"")</f>
        <v/>
      </c>
      <c r="U146" s="16" t="str">
        <f>IF(Table1[[#This Row],[Included?]],Table1[[#This Row],[RBI]],"")</f>
        <v/>
      </c>
      <c r="V146" s="16" t="str">
        <f>IF(Table1[[#This Row],[Included?]],Table1[[#This Row],[SB]],"")</f>
        <v/>
      </c>
      <c r="W146" s="16" t="str">
        <f>IF(Table1[[#This Row],[Included?]],Table1[[#This Row],[OBP]],"")</f>
        <v/>
      </c>
      <c r="X146" s="16" t="str">
        <f>IF(Table1[[#This Row],[Included?]],Table1[[#This Row],[PA]],"")</f>
        <v/>
      </c>
      <c r="Y146" s="16" t="str">
        <f>IF(Table1[[#This Row],[Included?]],Table1[[#This Row],[H]],"")</f>
        <v/>
      </c>
      <c r="Z146" s="16" t="str">
        <f>IF(Table1[[#This Row],[Included?]],Table1[[#This Row],[BB]],"")</f>
        <v/>
      </c>
      <c r="AA146" s="16" t="str">
        <f>IF(Table1[[#This Row],[Included?]],Table1[[#This Row],[OB]],"")</f>
        <v/>
      </c>
      <c r="AB146" s="14" t="str">
        <f>IF(Table1[[#This Row],[Included?]], (8*AA$185+Table1[[#This Row],[I OB]])/(8*X$185+Table1[[#This Row],[I PA]]), "")</f>
        <v/>
      </c>
    </row>
    <row r="147" spans="1:28" hidden="1" x14ac:dyDescent="0.25">
      <c r="A147" s="24" t="b">
        <f>IF('Sim Data'!A147&gt;0, TRUE, FALSE)</f>
        <v>0</v>
      </c>
      <c r="B147">
        <v>146</v>
      </c>
      <c r="C147" s="18" t="s">
        <v>298</v>
      </c>
      <c r="D147" s="18" t="s">
        <v>107</v>
      </c>
      <c r="E147" s="18" t="s">
        <v>37</v>
      </c>
      <c r="F147" s="43" t="s">
        <v>37</v>
      </c>
      <c r="G147" s="19">
        <v>6</v>
      </c>
      <c r="H147" s="18">
        <v>1.7989999999999999</v>
      </c>
      <c r="I147" s="18">
        <v>0.75700000000000001</v>
      </c>
      <c r="J147" s="18">
        <v>1.5329999999999999</v>
      </c>
      <c r="K147" s="18">
        <v>2.6000000000000002E-2</v>
      </c>
      <c r="L147" s="18">
        <v>0.28007889546351089</v>
      </c>
      <c r="M147" s="18">
        <v>21.800999999999998</v>
      </c>
      <c r="N147" s="18">
        <v>4.4950000000000001</v>
      </c>
      <c r="O147" s="18">
        <v>1.1970000000000001</v>
      </c>
      <c r="P147" s="9">
        <f>Table1[[#This Row],[OBP]]*Table1[[#This Row],[PA]]</f>
        <v>6.1060000000000008</v>
      </c>
      <c r="Q147" s="9">
        <f>(8*P$185+Table1[[#This Row],[OB]])/(8*M$185+Table1[[#This Row],[PA]])</f>
        <v>0.32325798697770991</v>
      </c>
      <c r="R147" s="16" t="str">
        <f>IF(Table1[[#This Row],[Included?]],Table1[[#This Row],[g]],"")</f>
        <v/>
      </c>
      <c r="S147" s="16" t="str">
        <f>IF(Table1[[#This Row],[Included?]],Table1[[#This Row],[R]],"")</f>
        <v/>
      </c>
      <c r="T147" s="16" t="str">
        <f>IF(Table1[[#This Row],[Included?]],Table1[[#This Row],[HR]],"")</f>
        <v/>
      </c>
      <c r="U147" s="16" t="str">
        <f>IF(Table1[[#This Row],[Included?]],Table1[[#This Row],[RBI]],"")</f>
        <v/>
      </c>
      <c r="V147" s="16" t="str">
        <f>IF(Table1[[#This Row],[Included?]],Table1[[#This Row],[SB]],"")</f>
        <v/>
      </c>
      <c r="W147" s="16" t="str">
        <f>IF(Table1[[#This Row],[Included?]],Table1[[#This Row],[OBP]],"")</f>
        <v/>
      </c>
      <c r="X147" s="16" t="str">
        <f>IF(Table1[[#This Row],[Included?]],Table1[[#This Row],[PA]],"")</f>
        <v/>
      </c>
      <c r="Y147" s="16" t="str">
        <f>IF(Table1[[#This Row],[Included?]],Table1[[#This Row],[H]],"")</f>
        <v/>
      </c>
      <c r="Z147" s="16" t="str">
        <f>IF(Table1[[#This Row],[Included?]],Table1[[#This Row],[BB]],"")</f>
        <v/>
      </c>
      <c r="AA147" s="16" t="str">
        <f>IF(Table1[[#This Row],[Included?]],Table1[[#This Row],[OB]],"")</f>
        <v/>
      </c>
      <c r="AB147" s="14" t="str">
        <f>IF(Table1[[#This Row],[Included?]], (8*AA$185+Table1[[#This Row],[I OB]])/(8*X$185+Table1[[#This Row],[I PA]]), "")</f>
        <v/>
      </c>
    </row>
    <row r="148" spans="1:28" hidden="1" x14ac:dyDescent="0.25">
      <c r="A148" s="23" t="b">
        <f>IF('Sim Data'!A148&gt;0, TRUE, FALSE)</f>
        <v>0</v>
      </c>
      <c r="B148">
        <v>147</v>
      </c>
      <c r="C148" s="18" t="s">
        <v>132</v>
      </c>
      <c r="D148" s="18" t="s">
        <v>29</v>
      </c>
      <c r="E148" s="18" t="s">
        <v>37</v>
      </c>
      <c r="F148" s="43" t="s">
        <v>37</v>
      </c>
      <c r="G148" s="19">
        <v>5</v>
      </c>
      <c r="H148" s="18">
        <v>1.7930000000000001</v>
      </c>
      <c r="I148" s="18">
        <v>0.27600000000000002</v>
      </c>
      <c r="J148" s="18">
        <v>1.9810000000000001</v>
      </c>
      <c r="K148" s="18">
        <v>6.0999999999999999E-2</v>
      </c>
      <c r="L148" s="18">
        <v>0.32208895552223882</v>
      </c>
      <c r="M148" s="18">
        <v>20.010000000000002</v>
      </c>
      <c r="N148" s="18">
        <v>5.1429999999999989</v>
      </c>
      <c r="O148" s="18">
        <v>1.1419999999999999</v>
      </c>
      <c r="P148" s="9">
        <f>Table1[[#This Row],[OBP]]*Table1[[#This Row],[PA]]</f>
        <v>6.4449999999999994</v>
      </c>
      <c r="Q148" s="9">
        <f>(8*P$185+Table1[[#This Row],[OB]])/(8*M$185+Table1[[#This Row],[PA]])</f>
        <v>0.3275277963442515</v>
      </c>
      <c r="R148" s="16" t="str">
        <f>IF(Table1[[#This Row],[Included?]],Table1[[#This Row],[g]],"")</f>
        <v/>
      </c>
      <c r="S148" s="16" t="str">
        <f>IF(Table1[[#This Row],[Included?]],Table1[[#This Row],[R]],"")</f>
        <v/>
      </c>
      <c r="T148" s="16" t="str">
        <f>IF(Table1[[#This Row],[Included?]],Table1[[#This Row],[HR]],"")</f>
        <v/>
      </c>
      <c r="U148" s="16" t="str">
        <f>IF(Table1[[#This Row],[Included?]],Table1[[#This Row],[RBI]],"")</f>
        <v/>
      </c>
      <c r="V148" s="16" t="str">
        <f>IF(Table1[[#This Row],[Included?]],Table1[[#This Row],[SB]],"")</f>
        <v/>
      </c>
      <c r="W148" s="16" t="str">
        <f>IF(Table1[[#This Row],[Included?]],Table1[[#This Row],[OBP]],"")</f>
        <v/>
      </c>
      <c r="X148" s="16" t="str">
        <f>IF(Table1[[#This Row],[Included?]],Table1[[#This Row],[PA]],"")</f>
        <v/>
      </c>
      <c r="Y148" s="16" t="str">
        <f>IF(Table1[[#This Row],[Included?]],Table1[[#This Row],[H]],"")</f>
        <v/>
      </c>
      <c r="Z148" s="16" t="str">
        <f>IF(Table1[[#This Row],[Included?]],Table1[[#This Row],[BB]],"")</f>
        <v/>
      </c>
      <c r="AA148" s="16" t="str">
        <f>IF(Table1[[#This Row],[Included?]],Table1[[#This Row],[OB]],"")</f>
        <v/>
      </c>
      <c r="AB148" s="14" t="str">
        <f>IF(Table1[[#This Row],[Included?]], (8*AA$185+Table1[[#This Row],[I OB]])/(8*X$185+Table1[[#This Row],[I PA]]), "")</f>
        <v/>
      </c>
    </row>
    <row r="149" spans="1:28" hidden="1" x14ac:dyDescent="0.25">
      <c r="A149" s="24" t="b">
        <f>IF('Sim Data'!A149&gt;0, TRUE, FALSE)</f>
        <v>0</v>
      </c>
      <c r="B149">
        <v>148</v>
      </c>
      <c r="C149" s="18" t="s">
        <v>175</v>
      </c>
      <c r="D149" s="18" t="s">
        <v>109</v>
      </c>
      <c r="E149" s="18" t="s">
        <v>37</v>
      </c>
      <c r="F149" s="43" t="s">
        <v>37</v>
      </c>
      <c r="G149" s="19">
        <v>6</v>
      </c>
      <c r="H149" s="18">
        <v>1.6549999999999998</v>
      </c>
      <c r="I149" s="18">
        <v>0.499</v>
      </c>
      <c r="J149" s="18">
        <v>1.7809999999999999</v>
      </c>
      <c r="K149" s="18">
        <v>3.6999999999999998E-2</v>
      </c>
      <c r="L149" s="18">
        <v>0.29084300154359405</v>
      </c>
      <c r="M149" s="18">
        <v>20.086000000000002</v>
      </c>
      <c r="N149" s="18">
        <v>4.8860000000000001</v>
      </c>
      <c r="O149" s="18">
        <v>0.61399999999999999</v>
      </c>
      <c r="P149" s="9">
        <f>Table1[[#This Row],[OBP]]*Table1[[#This Row],[PA]]</f>
        <v>5.8418725290046307</v>
      </c>
      <c r="Q149" s="9">
        <f>(8*P$185+Table1[[#This Row],[OB]])/(8*M$185+Table1[[#This Row],[PA]])</f>
        <v>0.32460763562595896</v>
      </c>
      <c r="R149" s="16" t="str">
        <f>IF(Table1[[#This Row],[Included?]],Table1[[#This Row],[g]],"")</f>
        <v/>
      </c>
      <c r="S149" s="16" t="str">
        <f>IF(Table1[[#This Row],[Included?]],Table1[[#This Row],[R]],"")</f>
        <v/>
      </c>
      <c r="T149" s="16" t="str">
        <f>IF(Table1[[#This Row],[Included?]],Table1[[#This Row],[HR]],"")</f>
        <v/>
      </c>
      <c r="U149" s="16" t="str">
        <f>IF(Table1[[#This Row],[Included?]],Table1[[#This Row],[RBI]],"")</f>
        <v/>
      </c>
      <c r="V149" s="16" t="str">
        <f>IF(Table1[[#This Row],[Included?]],Table1[[#This Row],[SB]],"")</f>
        <v/>
      </c>
      <c r="W149" s="16" t="str">
        <f>IF(Table1[[#This Row],[Included?]],Table1[[#This Row],[OBP]],"")</f>
        <v/>
      </c>
      <c r="X149" s="16" t="str">
        <f>IF(Table1[[#This Row],[Included?]],Table1[[#This Row],[PA]],"")</f>
        <v/>
      </c>
      <c r="Y149" s="16" t="str">
        <f>IF(Table1[[#This Row],[Included?]],Table1[[#This Row],[H]],"")</f>
        <v/>
      </c>
      <c r="Z149" s="16" t="str">
        <f>IF(Table1[[#This Row],[Included?]],Table1[[#This Row],[BB]],"")</f>
        <v/>
      </c>
      <c r="AA149" s="16" t="str">
        <f>IF(Table1[[#This Row],[Included?]],Table1[[#This Row],[OB]],"")</f>
        <v/>
      </c>
      <c r="AB149" s="14" t="str">
        <f>IF(Table1[[#This Row],[Included?]], (8*AA$185+Table1[[#This Row],[I OB]])/(8*X$185+Table1[[#This Row],[I PA]]), "")</f>
        <v/>
      </c>
    </row>
    <row r="150" spans="1:28" hidden="1" x14ac:dyDescent="0.25">
      <c r="A150" s="23" t="b">
        <f>IF('Sim Data'!A150&gt;0, TRUE, FALSE)</f>
        <v>0</v>
      </c>
      <c r="B150">
        <v>149</v>
      </c>
      <c r="C150" s="18" t="s">
        <v>174</v>
      </c>
      <c r="D150" s="18" t="s">
        <v>49</v>
      </c>
      <c r="E150" s="18" t="s">
        <v>37</v>
      </c>
      <c r="F150" s="43" t="s">
        <v>37</v>
      </c>
      <c r="G150" s="19">
        <v>5</v>
      </c>
      <c r="H150" s="18">
        <v>1.7110000000000001</v>
      </c>
      <c r="I150" s="18">
        <v>0.65100000000000002</v>
      </c>
      <c r="J150" s="18">
        <v>1.806</v>
      </c>
      <c r="K150" s="18">
        <v>5.5999999999999994E-2</v>
      </c>
      <c r="L150" s="18">
        <v>0.29759287119546352</v>
      </c>
      <c r="M150" s="18">
        <v>17.283999999999999</v>
      </c>
      <c r="N150" s="18">
        <v>3.8780000000000001</v>
      </c>
      <c r="O150" s="18">
        <v>1.214</v>
      </c>
      <c r="P150" s="9">
        <f>Table1[[#This Row],[OBP]]*Table1[[#This Row],[PA]]</f>
        <v>5.1435951857423907</v>
      </c>
      <c r="Q150" s="9">
        <f>(8*P$185+Table1[[#This Row],[OB]])/(8*M$185+Table1[[#This Row],[PA]])</f>
        <v>0.32560298046468328</v>
      </c>
      <c r="R150" s="16" t="str">
        <f>IF(Table1[[#This Row],[Included?]],Table1[[#This Row],[g]],"")</f>
        <v/>
      </c>
      <c r="S150" s="16" t="str">
        <f>IF(Table1[[#This Row],[Included?]],Table1[[#This Row],[R]],"")</f>
        <v/>
      </c>
      <c r="T150" s="16" t="str">
        <f>IF(Table1[[#This Row],[Included?]],Table1[[#This Row],[HR]],"")</f>
        <v/>
      </c>
      <c r="U150" s="16" t="str">
        <f>IF(Table1[[#This Row],[Included?]],Table1[[#This Row],[RBI]],"")</f>
        <v/>
      </c>
      <c r="V150" s="16" t="str">
        <f>IF(Table1[[#This Row],[Included?]],Table1[[#This Row],[SB]],"")</f>
        <v/>
      </c>
      <c r="W150" s="16" t="str">
        <f>IF(Table1[[#This Row],[Included?]],Table1[[#This Row],[OBP]],"")</f>
        <v/>
      </c>
      <c r="X150" s="16" t="str">
        <f>IF(Table1[[#This Row],[Included?]],Table1[[#This Row],[PA]],"")</f>
        <v/>
      </c>
      <c r="Y150" s="16" t="str">
        <f>IF(Table1[[#This Row],[Included?]],Table1[[#This Row],[H]],"")</f>
        <v/>
      </c>
      <c r="Z150" s="16" t="str">
        <f>IF(Table1[[#This Row],[Included?]],Table1[[#This Row],[BB]],"")</f>
        <v/>
      </c>
      <c r="AA150" s="16" t="str">
        <f>IF(Table1[[#This Row],[Included?]],Table1[[#This Row],[OB]],"")</f>
        <v/>
      </c>
      <c r="AB150" s="14" t="str">
        <f>IF(Table1[[#This Row],[Included?]], (8*AA$185+Table1[[#This Row],[I OB]])/(8*X$185+Table1[[#This Row],[I PA]]), "")</f>
        <v/>
      </c>
    </row>
    <row r="151" spans="1:28" hidden="1" x14ac:dyDescent="0.25">
      <c r="A151" s="24" t="b">
        <f>IF('Sim Data'!A151&gt;0, TRUE, FALSE)</f>
        <v>0</v>
      </c>
      <c r="B151">
        <v>150</v>
      </c>
      <c r="C151" s="18" t="s">
        <v>299</v>
      </c>
      <c r="D151" s="18" t="s">
        <v>85</v>
      </c>
      <c r="E151" s="18" t="s">
        <v>37</v>
      </c>
      <c r="F151" s="43" t="s">
        <v>37</v>
      </c>
      <c r="G151" s="19">
        <v>6</v>
      </c>
      <c r="H151" s="18">
        <v>1.7999999999999998</v>
      </c>
      <c r="I151" s="18">
        <v>0.52600000000000002</v>
      </c>
      <c r="J151" s="18">
        <v>1.4140000000000001</v>
      </c>
      <c r="K151" s="18">
        <v>0</v>
      </c>
      <c r="L151" s="18">
        <v>0.26618960842704115</v>
      </c>
      <c r="M151" s="18">
        <v>22.497</v>
      </c>
      <c r="N151" s="18">
        <v>4.6440000000000001</v>
      </c>
      <c r="O151" s="18">
        <v>1.1640000000000001</v>
      </c>
      <c r="P151" s="9">
        <f>Table1[[#This Row],[OBP]]*Table1[[#This Row],[PA]]</f>
        <v>5.9884676207831449</v>
      </c>
      <c r="Q151" s="9">
        <f>(8*P$185+Table1[[#This Row],[OB]])/(8*M$185+Table1[[#This Row],[PA]])</f>
        <v>0.3216829970156771</v>
      </c>
      <c r="R151" s="16" t="str">
        <f>IF(Table1[[#This Row],[Included?]],Table1[[#This Row],[g]],"")</f>
        <v/>
      </c>
      <c r="S151" s="16" t="str">
        <f>IF(Table1[[#This Row],[Included?]],Table1[[#This Row],[R]],"")</f>
        <v/>
      </c>
      <c r="T151" s="16" t="str">
        <f>IF(Table1[[#This Row],[Included?]],Table1[[#This Row],[HR]],"")</f>
        <v/>
      </c>
      <c r="U151" s="16" t="str">
        <f>IF(Table1[[#This Row],[Included?]],Table1[[#This Row],[RBI]],"")</f>
        <v/>
      </c>
      <c r="V151" s="16" t="str">
        <f>IF(Table1[[#This Row],[Included?]],Table1[[#This Row],[SB]],"")</f>
        <v/>
      </c>
      <c r="W151" s="16" t="str">
        <f>IF(Table1[[#This Row],[Included?]],Table1[[#This Row],[OBP]],"")</f>
        <v/>
      </c>
      <c r="X151" s="16" t="str">
        <f>IF(Table1[[#This Row],[Included?]],Table1[[#This Row],[PA]],"")</f>
        <v/>
      </c>
      <c r="Y151" s="16" t="str">
        <f>IF(Table1[[#This Row],[Included?]],Table1[[#This Row],[H]],"")</f>
        <v/>
      </c>
      <c r="Z151" s="16" t="str">
        <f>IF(Table1[[#This Row],[Included?]],Table1[[#This Row],[BB]],"")</f>
        <v/>
      </c>
      <c r="AA151" s="16" t="str">
        <f>IF(Table1[[#This Row],[Included?]],Table1[[#This Row],[OB]],"")</f>
        <v/>
      </c>
      <c r="AB151" s="14" t="str">
        <f>IF(Table1[[#This Row],[Included?]], (8*AA$185+Table1[[#This Row],[I OB]])/(8*X$185+Table1[[#This Row],[I PA]]), "")</f>
        <v/>
      </c>
    </row>
    <row r="152" spans="1:28" hidden="1" x14ac:dyDescent="0.25">
      <c r="A152" s="23" t="b">
        <f>IF('Sim Data'!A152&gt;0, TRUE, FALSE)</f>
        <v>0</v>
      </c>
      <c r="B152">
        <v>151</v>
      </c>
      <c r="C152" s="18" t="s">
        <v>300</v>
      </c>
      <c r="D152" s="18" t="s">
        <v>128</v>
      </c>
      <c r="E152" s="18" t="s">
        <v>37</v>
      </c>
      <c r="F152" s="43" t="s">
        <v>37</v>
      </c>
      <c r="G152" s="19">
        <v>6</v>
      </c>
      <c r="H152" s="18">
        <v>1.663</v>
      </c>
      <c r="I152" s="18">
        <v>0.67600000000000005</v>
      </c>
      <c r="J152" s="18">
        <v>1.393</v>
      </c>
      <c r="K152" s="18">
        <v>1.9000000000000003E-2</v>
      </c>
      <c r="L152" s="18">
        <v>0.30006858710562412</v>
      </c>
      <c r="M152" s="18">
        <v>17.497</v>
      </c>
      <c r="N152" s="18">
        <v>3.6909999999999998</v>
      </c>
      <c r="O152" s="18">
        <v>1.262</v>
      </c>
      <c r="P152" s="9">
        <f>Table1[[#This Row],[OBP]]*Table1[[#This Row],[PA]]</f>
        <v>5.2503000685871051</v>
      </c>
      <c r="Q152" s="9">
        <f>(8*P$185+Table1[[#This Row],[OB]])/(8*M$185+Table1[[#This Row],[PA]])</f>
        <v>0.32577877319347243</v>
      </c>
      <c r="R152" s="16" t="str">
        <f>IF(Table1[[#This Row],[Included?]],Table1[[#This Row],[g]],"")</f>
        <v/>
      </c>
      <c r="S152" s="16" t="str">
        <f>IF(Table1[[#This Row],[Included?]],Table1[[#This Row],[R]],"")</f>
        <v/>
      </c>
      <c r="T152" s="16" t="str">
        <f>IF(Table1[[#This Row],[Included?]],Table1[[#This Row],[HR]],"")</f>
        <v/>
      </c>
      <c r="U152" s="16" t="str">
        <f>IF(Table1[[#This Row],[Included?]],Table1[[#This Row],[RBI]],"")</f>
        <v/>
      </c>
      <c r="V152" s="16" t="str">
        <f>IF(Table1[[#This Row],[Included?]],Table1[[#This Row],[SB]],"")</f>
        <v/>
      </c>
      <c r="W152" s="16" t="str">
        <f>IF(Table1[[#This Row],[Included?]],Table1[[#This Row],[OBP]],"")</f>
        <v/>
      </c>
      <c r="X152" s="16" t="str">
        <f>IF(Table1[[#This Row],[Included?]],Table1[[#This Row],[PA]],"")</f>
        <v/>
      </c>
      <c r="Y152" s="16" t="str">
        <f>IF(Table1[[#This Row],[Included?]],Table1[[#This Row],[H]],"")</f>
        <v/>
      </c>
      <c r="Z152" s="16" t="str">
        <f>IF(Table1[[#This Row],[Included?]],Table1[[#This Row],[BB]],"")</f>
        <v/>
      </c>
      <c r="AA152" s="16" t="str">
        <f>IF(Table1[[#This Row],[Included?]],Table1[[#This Row],[OB]],"")</f>
        <v/>
      </c>
      <c r="AB152" s="14" t="str">
        <f>IF(Table1[[#This Row],[Included?]], (8*AA$185+Table1[[#This Row],[I OB]])/(8*X$185+Table1[[#This Row],[I PA]]), "")</f>
        <v/>
      </c>
    </row>
    <row r="153" spans="1:28" hidden="1" x14ac:dyDescent="0.25">
      <c r="A153" s="24" t="b">
        <f>IF('Sim Data'!A153&gt;0, TRUE, FALSE)</f>
        <v>0</v>
      </c>
      <c r="B153">
        <v>152</v>
      </c>
      <c r="C153" s="18" t="s">
        <v>301</v>
      </c>
      <c r="D153" s="18" t="s">
        <v>90</v>
      </c>
      <c r="E153" s="18" t="s">
        <v>37</v>
      </c>
      <c r="F153" s="43" t="s">
        <v>37</v>
      </c>
      <c r="G153" s="19">
        <v>6</v>
      </c>
      <c r="H153" s="18">
        <v>1.506</v>
      </c>
      <c r="I153" s="18">
        <v>0.19900000000000001</v>
      </c>
      <c r="J153" s="18">
        <v>1.1399999999999999</v>
      </c>
      <c r="K153" s="18">
        <v>2.6000000000000002E-2</v>
      </c>
      <c r="L153" s="18">
        <v>0.33528002395926931</v>
      </c>
      <c r="M153" s="18">
        <v>20.035</v>
      </c>
      <c r="N153" s="18">
        <v>4.0660000000000007</v>
      </c>
      <c r="O153" s="18">
        <v>2.39</v>
      </c>
      <c r="P153" s="9">
        <f>Table1[[#This Row],[OBP]]*Table1[[#This Row],[PA]]</f>
        <v>6.7173352800239607</v>
      </c>
      <c r="Q153" s="9">
        <f>(8*P$185+Table1[[#This Row],[OB]])/(8*M$185+Table1[[#This Row],[PA]])</f>
        <v>0.32875631679710038</v>
      </c>
      <c r="R153" s="16" t="str">
        <f>IF(Table1[[#This Row],[Included?]],Table1[[#This Row],[g]],"")</f>
        <v/>
      </c>
      <c r="S153" s="16" t="str">
        <f>IF(Table1[[#This Row],[Included?]],Table1[[#This Row],[R]],"")</f>
        <v/>
      </c>
      <c r="T153" s="16" t="str">
        <f>IF(Table1[[#This Row],[Included?]],Table1[[#This Row],[HR]],"")</f>
        <v/>
      </c>
      <c r="U153" s="16" t="str">
        <f>IF(Table1[[#This Row],[Included?]],Table1[[#This Row],[RBI]],"")</f>
        <v/>
      </c>
      <c r="V153" s="16" t="str">
        <f>IF(Table1[[#This Row],[Included?]],Table1[[#This Row],[SB]],"")</f>
        <v/>
      </c>
      <c r="W153" s="16" t="str">
        <f>IF(Table1[[#This Row],[Included?]],Table1[[#This Row],[OBP]],"")</f>
        <v/>
      </c>
      <c r="X153" s="16" t="str">
        <f>IF(Table1[[#This Row],[Included?]],Table1[[#This Row],[PA]],"")</f>
        <v/>
      </c>
      <c r="Y153" s="16" t="str">
        <f>IF(Table1[[#This Row],[Included?]],Table1[[#This Row],[H]],"")</f>
        <v/>
      </c>
      <c r="Z153" s="16" t="str">
        <f>IF(Table1[[#This Row],[Included?]],Table1[[#This Row],[BB]],"")</f>
        <v/>
      </c>
      <c r="AA153" s="16" t="str">
        <f>IF(Table1[[#This Row],[Included?]],Table1[[#This Row],[OB]],"")</f>
        <v/>
      </c>
      <c r="AB153" s="14" t="str">
        <f>IF(Table1[[#This Row],[Included?]], (8*AA$185+Table1[[#This Row],[I OB]])/(8*X$185+Table1[[#This Row],[I PA]]), "")</f>
        <v/>
      </c>
    </row>
    <row r="154" spans="1:28" hidden="1" x14ac:dyDescent="0.25">
      <c r="A154" s="23" t="b">
        <f>IF('Sim Data'!A154&gt;0, TRUE, FALSE)</f>
        <v>0</v>
      </c>
      <c r="B154">
        <v>153</v>
      </c>
      <c r="C154" s="18" t="s">
        <v>302</v>
      </c>
      <c r="D154" s="18" t="s">
        <v>94</v>
      </c>
      <c r="E154" s="18" t="s">
        <v>37</v>
      </c>
      <c r="F154" s="43" t="s">
        <v>37</v>
      </c>
      <c r="G154" s="19">
        <v>6</v>
      </c>
      <c r="H154" s="18">
        <v>1.484</v>
      </c>
      <c r="I154" s="18">
        <v>0.32</v>
      </c>
      <c r="J154" s="18">
        <v>1.294</v>
      </c>
      <c r="K154" s="18">
        <v>2.1000000000000001E-2</v>
      </c>
      <c r="L154" s="18">
        <v>0.27983852094547157</v>
      </c>
      <c r="M154" s="18">
        <v>17.091000000000001</v>
      </c>
      <c r="N154" s="18">
        <v>4.032</v>
      </c>
      <c r="O154" s="18">
        <v>0.495</v>
      </c>
      <c r="P154" s="9">
        <f>Table1[[#This Row],[OBP]]*Table1[[#This Row],[PA]]</f>
        <v>4.7827201614790553</v>
      </c>
      <c r="Q154" s="9">
        <f>(8*P$185+Table1[[#This Row],[OB]])/(8*M$185+Table1[[#This Row],[PA]])</f>
        <v>0.32419761454716883</v>
      </c>
      <c r="R154" s="16" t="str">
        <f>IF(Table1[[#This Row],[Included?]],Table1[[#This Row],[g]],"")</f>
        <v/>
      </c>
      <c r="S154" s="16" t="str">
        <f>IF(Table1[[#This Row],[Included?]],Table1[[#This Row],[R]],"")</f>
        <v/>
      </c>
      <c r="T154" s="16" t="str">
        <f>IF(Table1[[#This Row],[Included?]],Table1[[#This Row],[HR]],"")</f>
        <v/>
      </c>
      <c r="U154" s="16" t="str">
        <f>IF(Table1[[#This Row],[Included?]],Table1[[#This Row],[RBI]],"")</f>
        <v/>
      </c>
      <c r="V154" s="16" t="str">
        <f>IF(Table1[[#This Row],[Included?]],Table1[[#This Row],[SB]],"")</f>
        <v/>
      </c>
      <c r="W154" s="16" t="str">
        <f>IF(Table1[[#This Row],[Included?]],Table1[[#This Row],[OBP]],"")</f>
        <v/>
      </c>
      <c r="X154" s="16" t="str">
        <f>IF(Table1[[#This Row],[Included?]],Table1[[#This Row],[PA]],"")</f>
        <v/>
      </c>
      <c r="Y154" s="16" t="str">
        <f>IF(Table1[[#This Row],[Included?]],Table1[[#This Row],[H]],"")</f>
        <v/>
      </c>
      <c r="Z154" s="16" t="str">
        <f>IF(Table1[[#This Row],[Included?]],Table1[[#This Row],[BB]],"")</f>
        <v/>
      </c>
      <c r="AA154" s="16" t="str">
        <f>IF(Table1[[#This Row],[Included?]],Table1[[#This Row],[OB]],"")</f>
        <v/>
      </c>
      <c r="AB154" s="14" t="str">
        <f>IF(Table1[[#This Row],[Included?]], (8*AA$185+Table1[[#This Row],[I OB]])/(8*X$185+Table1[[#This Row],[I PA]]), "")</f>
        <v/>
      </c>
    </row>
    <row r="155" spans="1:28" hidden="1" x14ac:dyDescent="0.25">
      <c r="A155" s="24" t="b">
        <f>IF('Sim Data'!A155&gt;0, TRUE, FALSE)</f>
        <v>0</v>
      </c>
      <c r="B155">
        <v>154</v>
      </c>
      <c r="C155" s="18" t="s">
        <v>303</v>
      </c>
      <c r="D155" s="18" t="s">
        <v>45</v>
      </c>
      <c r="E155" s="18" t="s">
        <v>37</v>
      </c>
      <c r="F155" s="43" t="s">
        <v>37</v>
      </c>
      <c r="G155" s="19">
        <v>5</v>
      </c>
      <c r="H155" s="18">
        <v>1.21</v>
      </c>
      <c r="I155" s="18">
        <v>0.184</v>
      </c>
      <c r="J155" s="18">
        <v>1.0739999999999998</v>
      </c>
      <c r="K155" s="18">
        <v>1.6E-2</v>
      </c>
      <c r="L155" s="18">
        <v>0.30021545090797164</v>
      </c>
      <c r="M155" s="18">
        <v>16.244</v>
      </c>
      <c r="N155" s="18">
        <v>3.6429999999999998</v>
      </c>
      <c r="O155" s="18">
        <v>1.006</v>
      </c>
      <c r="P155" s="9">
        <f>Table1[[#This Row],[OBP]]*Table1[[#This Row],[PA]]</f>
        <v>4.8766997845490909</v>
      </c>
      <c r="Q155" s="9">
        <f>(8*P$185+Table1[[#This Row],[OB]])/(8*M$185+Table1[[#This Row],[PA]])</f>
        <v>0.32594258483800193</v>
      </c>
      <c r="R155" s="16" t="str">
        <f>IF(Table1[[#This Row],[Included?]],Table1[[#This Row],[g]],"")</f>
        <v/>
      </c>
      <c r="S155" s="16" t="str">
        <f>IF(Table1[[#This Row],[Included?]],Table1[[#This Row],[R]],"")</f>
        <v/>
      </c>
      <c r="T155" s="16" t="str">
        <f>IF(Table1[[#This Row],[Included?]],Table1[[#This Row],[HR]],"")</f>
        <v/>
      </c>
      <c r="U155" s="16" t="str">
        <f>IF(Table1[[#This Row],[Included?]],Table1[[#This Row],[RBI]],"")</f>
        <v/>
      </c>
      <c r="V155" s="16" t="str">
        <f>IF(Table1[[#This Row],[Included?]],Table1[[#This Row],[SB]],"")</f>
        <v/>
      </c>
      <c r="W155" s="16" t="str">
        <f>IF(Table1[[#This Row],[Included?]],Table1[[#This Row],[OBP]],"")</f>
        <v/>
      </c>
      <c r="X155" s="16" t="str">
        <f>IF(Table1[[#This Row],[Included?]],Table1[[#This Row],[PA]],"")</f>
        <v/>
      </c>
      <c r="Y155" s="16" t="str">
        <f>IF(Table1[[#This Row],[Included?]],Table1[[#This Row],[H]],"")</f>
        <v/>
      </c>
      <c r="Z155" s="16" t="str">
        <f>IF(Table1[[#This Row],[Included?]],Table1[[#This Row],[BB]],"")</f>
        <v/>
      </c>
      <c r="AA155" s="16" t="str">
        <f>IF(Table1[[#This Row],[Included?]],Table1[[#This Row],[OB]],"")</f>
        <v/>
      </c>
      <c r="AB155" s="14" t="str">
        <f>IF(Table1[[#This Row],[Included?]], (8*AA$185+Table1[[#This Row],[I OB]])/(8*X$185+Table1[[#This Row],[I PA]]), "")</f>
        <v/>
      </c>
    </row>
    <row r="156" spans="1:28" hidden="1" x14ac:dyDescent="0.25">
      <c r="A156" s="23" t="b">
        <f>IF('Sim Data'!A156&gt;0, TRUE, FALSE)</f>
        <v>0</v>
      </c>
      <c r="B156">
        <v>155</v>
      </c>
      <c r="C156" s="18" t="s">
        <v>304</v>
      </c>
      <c r="D156" s="18" t="s">
        <v>143</v>
      </c>
      <c r="E156" s="18" t="s">
        <v>37</v>
      </c>
      <c r="F156" s="43" t="s">
        <v>37</v>
      </c>
      <c r="G156" s="19">
        <v>6</v>
      </c>
      <c r="H156" s="18">
        <v>1.24</v>
      </c>
      <c r="I156" s="18">
        <v>0.253</v>
      </c>
      <c r="J156" s="18">
        <v>1.3499999999999999</v>
      </c>
      <c r="K156" s="18">
        <v>0.11899999999999999</v>
      </c>
      <c r="L156" s="18">
        <v>0.28122876172352856</v>
      </c>
      <c r="M156" s="18">
        <v>14.713000000000001</v>
      </c>
      <c r="N156" s="18">
        <v>3.3919999999999999</v>
      </c>
      <c r="O156" s="18">
        <v>0.59900000000000009</v>
      </c>
      <c r="P156" s="9">
        <f>Table1[[#This Row],[OBP]]*Table1[[#This Row],[PA]]</f>
        <v>4.1377187712382764</v>
      </c>
      <c r="Q156" s="9">
        <f>(8*P$185+Table1[[#This Row],[OB]])/(8*M$185+Table1[[#This Row],[PA]])</f>
        <v>0.32479821695716221</v>
      </c>
      <c r="R156" s="16" t="str">
        <f>IF(Table1[[#This Row],[Included?]],Table1[[#This Row],[g]],"")</f>
        <v/>
      </c>
      <c r="S156" s="16" t="str">
        <f>IF(Table1[[#This Row],[Included?]],Table1[[#This Row],[R]],"")</f>
        <v/>
      </c>
      <c r="T156" s="16" t="str">
        <f>IF(Table1[[#This Row],[Included?]],Table1[[#This Row],[HR]],"")</f>
        <v/>
      </c>
      <c r="U156" s="16" t="str">
        <f>IF(Table1[[#This Row],[Included?]],Table1[[#This Row],[RBI]],"")</f>
        <v/>
      </c>
      <c r="V156" s="16" t="str">
        <f>IF(Table1[[#This Row],[Included?]],Table1[[#This Row],[SB]],"")</f>
        <v/>
      </c>
      <c r="W156" s="16" t="str">
        <f>IF(Table1[[#This Row],[Included?]],Table1[[#This Row],[OBP]],"")</f>
        <v/>
      </c>
      <c r="X156" s="16" t="str">
        <f>IF(Table1[[#This Row],[Included?]],Table1[[#This Row],[PA]],"")</f>
        <v/>
      </c>
      <c r="Y156" s="16" t="str">
        <f>IF(Table1[[#This Row],[Included?]],Table1[[#This Row],[H]],"")</f>
        <v/>
      </c>
      <c r="Z156" s="16" t="str">
        <f>IF(Table1[[#This Row],[Included?]],Table1[[#This Row],[BB]],"")</f>
        <v/>
      </c>
      <c r="AA156" s="16" t="str">
        <f>IF(Table1[[#This Row],[Included?]],Table1[[#This Row],[OB]],"")</f>
        <v/>
      </c>
      <c r="AB156" s="14" t="str">
        <f>IF(Table1[[#This Row],[Included?]], (8*AA$185+Table1[[#This Row],[I OB]])/(8*X$185+Table1[[#This Row],[I PA]]), "")</f>
        <v/>
      </c>
    </row>
    <row r="157" spans="1:28" hidden="1" x14ac:dyDescent="0.25">
      <c r="A157" s="24" t="b">
        <f>IF('Sim Data'!A157&gt;0, TRUE, FALSE)</f>
        <v>0</v>
      </c>
      <c r="B157">
        <v>156</v>
      </c>
      <c r="C157" s="18" t="s">
        <v>305</v>
      </c>
      <c r="D157" s="18" t="s">
        <v>269</v>
      </c>
      <c r="E157" s="18" t="s">
        <v>43</v>
      </c>
      <c r="F157" s="43" t="s">
        <v>37</v>
      </c>
      <c r="G157" s="19">
        <v>5</v>
      </c>
      <c r="H157" s="18">
        <v>1.1740000000000002</v>
      </c>
      <c r="I157" s="18">
        <v>0.57200000000000006</v>
      </c>
      <c r="J157" s="18">
        <v>1.214</v>
      </c>
      <c r="K157" s="18">
        <v>1.3000000000000001E-2</v>
      </c>
      <c r="L157" s="18">
        <v>0.30762347888332142</v>
      </c>
      <c r="M157" s="18">
        <v>11.179</v>
      </c>
      <c r="N157" s="18">
        <v>2.5410000000000004</v>
      </c>
      <c r="O157" s="18">
        <v>0.752</v>
      </c>
      <c r="P157" s="9">
        <f>Table1[[#This Row],[OBP]]*Table1[[#This Row],[PA]]</f>
        <v>3.4389228704366501</v>
      </c>
      <c r="Q157" s="9">
        <f>(8*P$185+Table1[[#This Row],[OB]])/(8*M$185+Table1[[#This Row],[PA]])</f>
        <v>0.32697637431393939</v>
      </c>
      <c r="R157" s="16" t="str">
        <f>IF(Table1[[#This Row],[Included?]],Table1[[#This Row],[g]],"")</f>
        <v/>
      </c>
      <c r="S157" s="16" t="str">
        <f>IF(Table1[[#This Row],[Included?]],Table1[[#This Row],[R]],"")</f>
        <v/>
      </c>
      <c r="T157" s="16" t="str">
        <f>IF(Table1[[#This Row],[Included?]],Table1[[#This Row],[HR]],"")</f>
        <v/>
      </c>
      <c r="U157" s="16" t="str">
        <f>IF(Table1[[#This Row],[Included?]],Table1[[#This Row],[RBI]],"")</f>
        <v/>
      </c>
      <c r="V157" s="16" t="str">
        <f>IF(Table1[[#This Row],[Included?]],Table1[[#This Row],[SB]],"")</f>
        <v/>
      </c>
      <c r="W157" s="16" t="str">
        <f>IF(Table1[[#This Row],[Included?]],Table1[[#This Row],[OBP]],"")</f>
        <v/>
      </c>
      <c r="X157" s="16" t="str">
        <f>IF(Table1[[#This Row],[Included?]],Table1[[#This Row],[PA]],"")</f>
        <v/>
      </c>
      <c r="Y157" s="16" t="str">
        <f>IF(Table1[[#This Row],[Included?]],Table1[[#This Row],[H]],"")</f>
        <v/>
      </c>
      <c r="Z157" s="16" t="str">
        <f>IF(Table1[[#This Row],[Included?]],Table1[[#This Row],[BB]],"")</f>
        <v/>
      </c>
      <c r="AA157" s="16" t="str">
        <f>IF(Table1[[#This Row],[Included?]],Table1[[#This Row],[OB]],"")</f>
        <v/>
      </c>
      <c r="AB157" s="14" t="str">
        <f>IF(Table1[[#This Row],[Included?]], (8*AA$185+Table1[[#This Row],[I OB]])/(8*X$185+Table1[[#This Row],[I PA]]), "")</f>
        <v/>
      </c>
    </row>
    <row r="158" spans="1:28" hidden="1" x14ac:dyDescent="0.25">
      <c r="A158" s="23" t="b">
        <f>IF('Sim Data'!A158&gt;0, TRUE, FALSE)</f>
        <v>0</v>
      </c>
      <c r="B158">
        <v>157</v>
      </c>
      <c r="C158" s="18" t="s">
        <v>306</v>
      </c>
      <c r="D158" s="18" t="s">
        <v>83</v>
      </c>
      <c r="E158" s="18" t="s">
        <v>37</v>
      </c>
      <c r="F158" s="43" t="s">
        <v>37</v>
      </c>
      <c r="G158" s="19">
        <v>5</v>
      </c>
      <c r="H158" s="18">
        <v>1.1200000000000001</v>
      </c>
      <c r="I158" s="18">
        <v>0.39900000000000002</v>
      </c>
      <c r="J158" s="18">
        <v>0.96499999999999997</v>
      </c>
      <c r="K158" s="18">
        <v>2.5000000000000001E-2</v>
      </c>
      <c r="L158" s="18">
        <v>0.30527470804922008</v>
      </c>
      <c r="M158" s="18">
        <v>12.759</v>
      </c>
      <c r="N158" s="18">
        <v>2.718</v>
      </c>
      <c r="O158" s="18">
        <v>1.0629999999999999</v>
      </c>
      <c r="P158" s="9">
        <f>Table1[[#This Row],[OBP]]*Table1[[#This Row],[PA]]</f>
        <v>3.8949999999999991</v>
      </c>
      <c r="Q158" s="9">
        <f>(8*P$185+Table1[[#This Row],[OB]])/(8*M$185+Table1[[#This Row],[PA]])</f>
        <v>0.32668492056417686</v>
      </c>
      <c r="R158" s="16" t="str">
        <f>IF(Table1[[#This Row],[Included?]],Table1[[#This Row],[g]],"")</f>
        <v/>
      </c>
      <c r="S158" s="16" t="str">
        <f>IF(Table1[[#This Row],[Included?]],Table1[[#This Row],[R]],"")</f>
        <v/>
      </c>
      <c r="T158" s="16" t="str">
        <f>IF(Table1[[#This Row],[Included?]],Table1[[#This Row],[HR]],"")</f>
        <v/>
      </c>
      <c r="U158" s="16" t="str">
        <f>IF(Table1[[#This Row],[Included?]],Table1[[#This Row],[RBI]],"")</f>
        <v/>
      </c>
      <c r="V158" s="16" t="str">
        <f>IF(Table1[[#This Row],[Included?]],Table1[[#This Row],[SB]],"")</f>
        <v/>
      </c>
      <c r="W158" s="16" t="str">
        <f>IF(Table1[[#This Row],[Included?]],Table1[[#This Row],[OBP]],"")</f>
        <v/>
      </c>
      <c r="X158" s="16" t="str">
        <f>IF(Table1[[#This Row],[Included?]],Table1[[#This Row],[PA]],"")</f>
        <v/>
      </c>
      <c r="Y158" s="16" t="str">
        <f>IF(Table1[[#This Row],[Included?]],Table1[[#This Row],[H]],"")</f>
        <v/>
      </c>
      <c r="Z158" s="16" t="str">
        <f>IF(Table1[[#This Row],[Included?]],Table1[[#This Row],[BB]],"")</f>
        <v/>
      </c>
      <c r="AA158" s="16" t="str">
        <f>IF(Table1[[#This Row],[Included?]],Table1[[#This Row],[OB]],"")</f>
        <v/>
      </c>
      <c r="AB158" s="14" t="str">
        <f>IF(Table1[[#This Row],[Included?]], (8*AA$185+Table1[[#This Row],[I OB]])/(8*X$185+Table1[[#This Row],[I PA]]), "")</f>
        <v/>
      </c>
    </row>
    <row r="159" spans="1:28" hidden="1" x14ac:dyDescent="0.25">
      <c r="A159" s="24" t="b">
        <v>0</v>
      </c>
      <c r="B159">
        <v>158</v>
      </c>
      <c r="C159" s="18" t="s">
        <v>307</v>
      </c>
      <c r="D159" s="18" t="s">
        <v>94</v>
      </c>
      <c r="E159" s="18" t="s">
        <v>37</v>
      </c>
      <c r="F159" s="43" t="s">
        <v>37</v>
      </c>
      <c r="G159" s="19">
        <v>6</v>
      </c>
      <c r="H159" s="18">
        <v>1.093</v>
      </c>
      <c r="I159" s="18">
        <v>0.28300000000000003</v>
      </c>
      <c r="J159" s="18">
        <v>0.94299999999999995</v>
      </c>
      <c r="K159" s="18">
        <v>1.5000000000000003E-2</v>
      </c>
      <c r="L159" s="18">
        <v>0.35283978281478923</v>
      </c>
      <c r="M159" s="18">
        <v>11.603</v>
      </c>
      <c r="N159" s="18">
        <v>2.2029999999999998</v>
      </c>
      <c r="O159" s="18">
        <v>1.7749999999999999</v>
      </c>
      <c r="P159" s="9">
        <f>Table1[[#This Row],[OBP]]*Table1[[#This Row],[PA]]</f>
        <v>4.0939999999999994</v>
      </c>
      <c r="Q159" s="9">
        <f>(8*P$185+Table1[[#This Row],[OB]])/(8*M$185+Table1[[#This Row],[PA]])</f>
        <v>0.32947631738820338</v>
      </c>
      <c r="R159" s="16" t="str">
        <f>IF(Table1[[#This Row],[Included?]],Table1[[#This Row],[g]],"")</f>
        <v/>
      </c>
      <c r="S159" s="16" t="str">
        <f>IF(Table1[[#This Row],[Included?]],Table1[[#This Row],[R]],"")</f>
        <v/>
      </c>
      <c r="T159" s="16" t="str">
        <f>IF(Table1[[#This Row],[Included?]],Table1[[#This Row],[HR]],"")</f>
        <v/>
      </c>
      <c r="U159" s="16" t="str">
        <f>IF(Table1[[#This Row],[Included?]],Table1[[#This Row],[RBI]],"")</f>
        <v/>
      </c>
      <c r="V159" s="16" t="str">
        <f>IF(Table1[[#This Row],[Included?]],Table1[[#This Row],[SB]],"")</f>
        <v/>
      </c>
      <c r="W159" s="16" t="str">
        <f>IF(Table1[[#This Row],[Included?]],Table1[[#This Row],[OBP]],"")</f>
        <v/>
      </c>
      <c r="X159" s="16" t="str">
        <f>IF(Table1[[#This Row],[Included?]],Table1[[#This Row],[PA]],"")</f>
        <v/>
      </c>
      <c r="Y159" s="16" t="str">
        <f>IF(Table1[[#This Row],[Included?]],Table1[[#This Row],[H]],"")</f>
        <v/>
      </c>
      <c r="Z159" s="16" t="str">
        <f>IF(Table1[[#This Row],[Included?]],Table1[[#This Row],[BB]],"")</f>
        <v/>
      </c>
      <c r="AA159" s="16" t="str">
        <f>IF(Table1[[#This Row],[Included?]],Table1[[#This Row],[OB]],"")</f>
        <v/>
      </c>
      <c r="AB159" s="14" t="str">
        <f>IF(Table1[[#This Row],[Included?]], (8*AA$185+Table1[[#This Row],[I OB]])/(8*X$185+Table1[[#This Row],[I PA]]), "")</f>
        <v/>
      </c>
    </row>
    <row r="160" spans="1:28" x14ac:dyDescent="0.25">
      <c r="A160" s="23" t="b">
        <f>IF('Sim Data'!A160&gt;0, TRUE, FALSE)</f>
        <v>0</v>
      </c>
      <c r="B160">
        <v>159</v>
      </c>
      <c r="C160" s="17" t="s">
        <v>308</v>
      </c>
      <c r="D160" s="17" t="s">
        <v>76</v>
      </c>
      <c r="E160" s="17" t="s">
        <v>30</v>
      </c>
      <c r="F160" s="42" t="s">
        <v>30</v>
      </c>
      <c r="G160" s="17">
        <v>6</v>
      </c>
      <c r="H160" s="17">
        <v>2.1339999999999999</v>
      </c>
      <c r="I160" s="17">
        <v>0.41600000000000004</v>
      </c>
      <c r="J160" s="17">
        <v>1.9740000000000002</v>
      </c>
      <c r="K160" s="17">
        <v>0.8600000000000001</v>
      </c>
      <c r="L160" s="17">
        <v>0.30520939734422881</v>
      </c>
      <c r="M160" s="17">
        <v>24.474</v>
      </c>
      <c r="N160" s="17">
        <v>5.3910000000000009</v>
      </c>
      <c r="O160" s="17">
        <v>2.0549999999999997</v>
      </c>
      <c r="P160" s="9">
        <f>Table1[[#This Row],[OBP]]*Table1[[#This Row],[PA]]</f>
        <v>7.4696947906026558</v>
      </c>
      <c r="Q160" s="9">
        <f>(8*P$185+Table1[[#This Row],[OB]])/(8*M$185+Table1[[#This Row],[PA]])</f>
        <v>0.32553469278352837</v>
      </c>
      <c r="R160" s="16" t="str">
        <f>IF(Table1[[#This Row],[Included?]],Table1[[#This Row],[g]],"")</f>
        <v/>
      </c>
      <c r="S160" s="16" t="str">
        <f>IF(Table1[[#This Row],[Included?]],Table1[[#This Row],[R]],"")</f>
        <v/>
      </c>
      <c r="T160" s="16" t="str">
        <f>IF(Table1[[#This Row],[Included?]],Table1[[#This Row],[HR]],"")</f>
        <v/>
      </c>
      <c r="U160" s="16" t="str">
        <f>IF(Table1[[#This Row],[Included?]],Table1[[#This Row],[RBI]],"")</f>
        <v/>
      </c>
      <c r="V160" s="16" t="str">
        <f>IF(Table1[[#This Row],[Included?]],Table1[[#This Row],[SB]],"")</f>
        <v/>
      </c>
      <c r="W160" s="16" t="str">
        <f>IF(Table1[[#This Row],[Included?]],Table1[[#This Row],[OBP]],"")</f>
        <v/>
      </c>
      <c r="X160" s="16" t="str">
        <f>IF(Table1[[#This Row],[Included?]],Table1[[#This Row],[PA]],"")</f>
        <v/>
      </c>
      <c r="Y160" s="16" t="str">
        <f>IF(Table1[[#This Row],[Included?]],Table1[[#This Row],[H]],"")</f>
        <v/>
      </c>
      <c r="Z160" s="16" t="str">
        <f>IF(Table1[[#This Row],[Included?]],Table1[[#This Row],[BB]],"")</f>
        <v/>
      </c>
      <c r="AA160" s="16" t="str">
        <f>IF(Table1[[#This Row],[Included?]],Table1[[#This Row],[OB]],"")</f>
        <v/>
      </c>
      <c r="AB160" s="14" t="str">
        <f>IF(Table1[[#This Row],[Included?]], (8*AA$185+Table1[[#This Row],[I OB]])/(8*X$185+Table1[[#This Row],[I PA]]), "")</f>
        <v/>
      </c>
    </row>
    <row r="161" spans="1:28" x14ac:dyDescent="0.25">
      <c r="A161" s="24" t="b">
        <f>IF('Sim Data'!A161&gt;0, TRUE, FALSE)</f>
        <v>0</v>
      </c>
      <c r="B161">
        <v>160</v>
      </c>
      <c r="C161" s="17" t="s">
        <v>118</v>
      </c>
      <c r="D161" s="17" t="s">
        <v>32</v>
      </c>
      <c r="E161" s="17" t="s">
        <v>119</v>
      </c>
      <c r="F161" s="44" t="s">
        <v>30</v>
      </c>
      <c r="G161" s="17">
        <v>6</v>
      </c>
      <c r="H161" s="17">
        <v>2.496</v>
      </c>
      <c r="I161" s="17">
        <v>0.59599999999999997</v>
      </c>
      <c r="J161" s="17">
        <v>2.177</v>
      </c>
      <c r="K161" s="17">
        <v>0.32399999999999995</v>
      </c>
      <c r="L161" s="17">
        <v>0.29148856704154047</v>
      </c>
      <c r="M161" s="17">
        <v>24.098999999999997</v>
      </c>
      <c r="N161" s="17">
        <v>5.0269999999999992</v>
      </c>
      <c r="O161" s="17">
        <v>1.4670000000000001</v>
      </c>
      <c r="P161" s="9">
        <f>Table1[[#This Row],[OBP]]*Table1[[#This Row],[PA]]</f>
        <v>7.0245829771340826</v>
      </c>
      <c r="Q161" s="9">
        <f>(8*P$185+Table1[[#This Row],[OB]])/(8*M$185+Table1[[#This Row],[PA]])</f>
        <v>0.32406015532186039</v>
      </c>
      <c r="R161" s="16" t="str">
        <f>IF(Table1[[#This Row],[Included?]],Table1[[#This Row],[g]],"")</f>
        <v/>
      </c>
      <c r="S161" s="16" t="str">
        <f>IF(Table1[[#This Row],[Included?]],Table1[[#This Row],[R]],"")</f>
        <v/>
      </c>
      <c r="T161" s="16" t="str">
        <f>IF(Table1[[#This Row],[Included?]],Table1[[#This Row],[HR]],"")</f>
        <v/>
      </c>
      <c r="U161" s="16" t="str">
        <f>IF(Table1[[#This Row],[Included?]],Table1[[#This Row],[RBI]],"")</f>
        <v/>
      </c>
      <c r="V161" s="16" t="str">
        <f>IF(Table1[[#This Row],[Included?]],Table1[[#This Row],[SB]],"")</f>
        <v/>
      </c>
      <c r="W161" s="16" t="str">
        <f>IF(Table1[[#This Row],[Included?]],Table1[[#This Row],[OBP]],"")</f>
        <v/>
      </c>
      <c r="X161" s="16" t="str">
        <f>IF(Table1[[#This Row],[Included?]],Table1[[#This Row],[PA]],"")</f>
        <v/>
      </c>
      <c r="Y161" s="16" t="str">
        <f>IF(Table1[[#This Row],[Included?]],Table1[[#This Row],[H]],"")</f>
        <v/>
      </c>
      <c r="Z161" s="16" t="str">
        <f>IF(Table1[[#This Row],[Included?]],Table1[[#This Row],[BB]],"")</f>
        <v/>
      </c>
      <c r="AA161" s="16" t="str">
        <f>IF(Table1[[#This Row],[Included?]],Table1[[#This Row],[OB]],"")</f>
        <v/>
      </c>
      <c r="AB161" s="14" t="str">
        <f>IF(Table1[[#This Row],[Included?]], (8*AA$185+Table1[[#This Row],[I OB]])/(8*X$185+Table1[[#This Row],[I PA]]), "")</f>
        <v/>
      </c>
    </row>
    <row r="162" spans="1:28" x14ac:dyDescent="0.25">
      <c r="A162" s="23" t="b">
        <f>IF('Sim Data'!A162&gt;0, TRUE, FALSE)</f>
        <v>0</v>
      </c>
      <c r="B162">
        <v>161</v>
      </c>
      <c r="C162" s="17" t="s">
        <v>309</v>
      </c>
      <c r="D162" s="17" t="s">
        <v>107</v>
      </c>
      <c r="E162" s="17" t="s">
        <v>30</v>
      </c>
      <c r="F162" s="42" t="s">
        <v>30</v>
      </c>
      <c r="G162" s="17">
        <v>6</v>
      </c>
      <c r="H162" s="17">
        <v>2.4609999999999999</v>
      </c>
      <c r="I162" s="17">
        <v>0.32699999999999996</v>
      </c>
      <c r="J162" s="17">
        <v>2.0460000000000003</v>
      </c>
      <c r="K162" s="17">
        <v>0.73</v>
      </c>
      <c r="L162" s="17">
        <v>0.28135352579271178</v>
      </c>
      <c r="M162" s="17">
        <v>25.357999999999997</v>
      </c>
      <c r="N162" s="17">
        <v>6.101</v>
      </c>
      <c r="O162" s="17">
        <v>0.90700000000000003</v>
      </c>
      <c r="P162" s="9">
        <f>Table1[[#This Row],[OBP]]*Table1[[#This Row],[PA]]</f>
        <v>7.1345627070515842</v>
      </c>
      <c r="Q162" s="9">
        <f>(8*P$185+Table1[[#This Row],[OB]])/(8*M$185+Table1[[#This Row],[PA]])</f>
        <v>0.32270761707259527</v>
      </c>
      <c r="R162" s="16" t="str">
        <f>IF(Table1[[#This Row],[Included?]],Table1[[#This Row],[g]],"")</f>
        <v/>
      </c>
      <c r="S162" s="16" t="str">
        <f>IF(Table1[[#This Row],[Included?]],Table1[[#This Row],[R]],"")</f>
        <v/>
      </c>
      <c r="T162" s="16" t="str">
        <f>IF(Table1[[#This Row],[Included?]],Table1[[#This Row],[HR]],"")</f>
        <v/>
      </c>
      <c r="U162" s="16" t="str">
        <f>IF(Table1[[#This Row],[Included?]],Table1[[#This Row],[RBI]],"")</f>
        <v/>
      </c>
      <c r="V162" s="16" t="str">
        <f>IF(Table1[[#This Row],[Included?]],Table1[[#This Row],[SB]],"")</f>
        <v/>
      </c>
      <c r="W162" s="16" t="str">
        <f>IF(Table1[[#This Row],[Included?]],Table1[[#This Row],[OBP]],"")</f>
        <v/>
      </c>
      <c r="X162" s="16" t="str">
        <f>IF(Table1[[#This Row],[Included?]],Table1[[#This Row],[PA]],"")</f>
        <v/>
      </c>
      <c r="Y162" s="16" t="str">
        <f>IF(Table1[[#This Row],[Included?]],Table1[[#This Row],[H]],"")</f>
        <v/>
      </c>
      <c r="Z162" s="16" t="str">
        <f>IF(Table1[[#This Row],[Included?]],Table1[[#This Row],[BB]],"")</f>
        <v/>
      </c>
      <c r="AA162" s="16" t="str">
        <f>IF(Table1[[#This Row],[Included?]],Table1[[#This Row],[OB]],"")</f>
        <v/>
      </c>
      <c r="AB162" s="14" t="str">
        <f>IF(Table1[[#This Row],[Included?]], (8*AA$185+Table1[[#This Row],[I OB]])/(8*X$185+Table1[[#This Row],[I PA]]), "")</f>
        <v/>
      </c>
    </row>
    <row r="163" spans="1:28" hidden="1" x14ac:dyDescent="0.25">
      <c r="A163" s="24" t="b">
        <f>IF('Sim Data'!A163&gt;0, TRUE, FALSE)</f>
        <v>0</v>
      </c>
      <c r="B163">
        <v>162</v>
      </c>
      <c r="C163" s="17" t="s">
        <v>54</v>
      </c>
      <c r="D163" s="17" t="s">
        <v>29</v>
      </c>
      <c r="E163" s="17" t="s">
        <v>46</v>
      </c>
      <c r="F163" s="42" t="s">
        <v>46</v>
      </c>
      <c r="G163" s="17">
        <v>5</v>
      </c>
      <c r="H163" s="17">
        <v>2.6539999999999999</v>
      </c>
      <c r="I163" s="17">
        <v>0.52199999999999991</v>
      </c>
      <c r="J163" s="17">
        <v>1.7170000000000001</v>
      </c>
      <c r="K163" s="17">
        <v>0.61199999999999999</v>
      </c>
      <c r="L163" s="17">
        <v>0.30292567690350725</v>
      </c>
      <c r="M163" s="17">
        <v>22.010999999999999</v>
      </c>
      <c r="N163" s="17">
        <v>5.08</v>
      </c>
      <c r="O163" s="17">
        <v>1.258</v>
      </c>
      <c r="P163" s="9">
        <f>Table1[[#This Row],[OBP]]*Table1[[#This Row],[PA]]</f>
        <v>6.6676970743230974</v>
      </c>
      <c r="Q163" s="9">
        <f>(8*P$185+Table1[[#This Row],[OB]])/(8*M$185+Table1[[#This Row],[PA]])</f>
        <v>0.32553374449325495</v>
      </c>
      <c r="R163" s="16" t="str">
        <f>IF(Table1[[#This Row],[Included?]],Table1[[#This Row],[g]],"")</f>
        <v/>
      </c>
      <c r="S163" s="16" t="str">
        <f>IF(Table1[[#This Row],[Included?]],Table1[[#This Row],[R]],"")</f>
        <v/>
      </c>
      <c r="T163" s="16" t="str">
        <f>IF(Table1[[#This Row],[Included?]],Table1[[#This Row],[HR]],"")</f>
        <v/>
      </c>
      <c r="U163" s="16" t="str">
        <f>IF(Table1[[#This Row],[Included?]],Table1[[#This Row],[RBI]],"")</f>
        <v/>
      </c>
      <c r="V163" s="16" t="str">
        <f>IF(Table1[[#This Row],[Included?]],Table1[[#This Row],[SB]],"")</f>
        <v/>
      </c>
      <c r="W163" s="16" t="str">
        <f>IF(Table1[[#This Row],[Included?]],Table1[[#This Row],[OBP]],"")</f>
        <v/>
      </c>
      <c r="X163" s="16" t="str">
        <f>IF(Table1[[#This Row],[Included?]],Table1[[#This Row],[PA]],"")</f>
        <v/>
      </c>
      <c r="Y163" s="16" t="str">
        <f>IF(Table1[[#This Row],[Included?]],Table1[[#This Row],[H]],"")</f>
        <v/>
      </c>
      <c r="Z163" s="16" t="str">
        <f>IF(Table1[[#This Row],[Included?]],Table1[[#This Row],[BB]],"")</f>
        <v/>
      </c>
      <c r="AA163" s="16" t="str">
        <f>IF(Table1[[#This Row],[Included?]],Table1[[#This Row],[OB]],"")</f>
        <v/>
      </c>
      <c r="AB163" s="14" t="str">
        <f>IF(Table1[[#This Row],[Included?]], (8*AA$185+Table1[[#This Row],[I OB]])/(8*X$185+Table1[[#This Row],[I PA]]), "")</f>
        <v/>
      </c>
    </row>
    <row r="164" spans="1:28" hidden="1" x14ac:dyDescent="0.25">
      <c r="A164" s="23" t="b">
        <f>IF('Sim Data'!A164&gt;0, TRUE, FALSE)</f>
        <v>0</v>
      </c>
      <c r="B164">
        <v>163</v>
      </c>
      <c r="C164" s="17" t="s">
        <v>310</v>
      </c>
      <c r="D164" s="17" t="s">
        <v>128</v>
      </c>
      <c r="E164" s="17" t="s">
        <v>46</v>
      </c>
      <c r="F164" s="42" t="s">
        <v>46</v>
      </c>
      <c r="G164" s="17">
        <v>6</v>
      </c>
      <c r="H164" s="17">
        <v>2.0510000000000002</v>
      </c>
      <c r="I164" s="17">
        <v>0.53200000000000003</v>
      </c>
      <c r="J164" s="17">
        <v>1.91</v>
      </c>
      <c r="K164" s="17">
        <v>0.56499999999999995</v>
      </c>
      <c r="L164" s="17">
        <v>0.30878258668691466</v>
      </c>
      <c r="M164" s="17">
        <v>23.707000000000001</v>
      </c>
      <c r="N164" s="17">
        <v>5.6429999999999998</v>
      </c>
      <c r="O164" s="17">
        <v>1.18</v>
      </c>
      <c r="P164" s="9">
        <f>Table1[[#This Row],[OBP]]*Table1[[#This Row],[PA]]</f>
        <v>7.3203087825866859</v>
      </c>
      <c r="Q164" s="9">
        <f>(8*P$185+Table1[[#This Row],[OB]])/(8*M$185+Table1[[#This Row],[PA]])</f>
        <v>0.32599334058138357</v>
      </c>
      <c r="R164" s="16" t="str">
        <f>IF(Table1[[#This Row],[Included?]],Table1[[#This Row],[g]],"")</f>
        <v/>
      </c>
      <c r="S164" s="16" t="str">
        <f>IF(Table1[[#This Row],[Included?]],Table1[[#This Row],[R]],"")</f>
        <v/>
      </c>
      <c r="T164" s="16" t="str">
        <f>IF(Table1[[#This Row],[Included?]],Table1[[#This Row],[HR]],"")</f>
        <v/>
      </c>
      <c r="U164" s="16" t="str">
        <f>IF(Table1[[#This Row],[Included?]],Table1[[#This Row],[RBI]],"")</f>
        <v/>
      </c>
      <c r="V164" s="16" t="str">
        <f>IF(Table1[[#This Row],[Included?]],Table1[[#This Row],[SB]],"")</f>
        <v/>
      </c>
      <c r="W164" s="16" t="str">
        <f>IF(Table1[[#This Row],[Included?]],Table1[[#This Row],[OBP]],"")</f>
        <v/>
      </c>
      <c r="X164" s="16" t="str">
        <f>IF(Table1[[#This Row],[Included?]],Table1[[#This Row],[PA]],"")</f>
        <v/>
      </c>
      <c r="Y164" s="16" t="str">
        <f>IF(Table1[[#This Row],[Included?]],Table1[[#This Row],[H]],"")</f>
        <v/>
      </c>
      <c r="Z164" s="16" t="str">
        <f>IF(Table1[[#This Row],[Included?]],Table1[[#This Row],[BB]],"")</f>
        <v/>
      </c>
      <c r="AA164" s="16" t="str">
        <f>IF(Table1[[#This Row],[Included?]],Table1[[#This Row],[OB]],"")</f>
        <v/>
      </c>
      <c r="AB164" s="14" t="str">
        <f>IF(Table1[[#This Row],[Included?]], (8*AA$185+Table1[[#This Row],[I OB]])/(8*X$185+Table1[[#This Row],[I PA]]), "")</f>
        <v/>
      </c>
    </row>
    <row r="165" spans="1:28" x14ac:dyDescent="0.25">
      <c r="A165" s="24" t="b">
        <f>IF('Sim Data'!A165&gt;0, TRUE, FALSE)</f>
        <v>0</v>
      </c>
      <c r="B165">
        <v>164</v>
      </c>
      <c r="C165" s="17" t="s">
        <v>145</v>
      </c>
      <c r="D165" s="17" t="s">
        <v>58</v>
      </c>
      <c r="E165" s="17" t="s">
        <v>30</v>
      </c>
      <c r="F165" s="42" t="s">
        <v>30</v>
      </c>
      <c r="G165" s="17">
        <v>5</v>
      </c>
      <c r="H165" s="17">
        <v>2.645</v>
      </c>
      <c r="I165" s="17">
        <v>0.39400000000000002</v>
      </c>
      <c r="J165" s="17">
        <v>2.0190000000000001</v>
      </c>
      <c r="K165" s="17">
        <v>0.65400000000000003</v>
      </c>
      <c r="L165" s="17">
        <v>0.28539012043986739</v>
      </c>
      <c r="M165" s="17">
        <v>22.916</v>
      </c>
      <c r="N165" s="17">
        <v>5.0839999999999996</v>
      </c>
      <c r="O165" s="17">
        <v>1.25</v>
      </c>
      <c r="P165" s="9">
        <f>Table1[[#This Row],[OBP]]*Table1[[#This Row],[PA]]</f>
        <v>6.5400000000000009</v>
      </c>
      <c r="Q165" s="9">
        <f>(8*P$185+Table1[[#This Row],[OB]])/(8*M$185+Table1[[#This Row],[PA]])</f>
        <v>0.32359561701668593</v>
      </c>
      <c r="R165" s="16" t="str">
        <f>IF(Table1[[#This Row],[Included?]],Table1[[#This Row],[g]],"")</f>
        <v/>
      </c>
      <c r="S165" s="16" t="str">
        <f>IF(Table1[[#This Row],[Included?]],Table1[[#This Row],[R]],"")</f>
        <v/>
      </c>
      <c r="T165" s="16" t="str">
        <f>IF(Table1[[#This Row],[Included?]],Table1[[#This Row],[HR]],"")</f>
        <v/>
      </c>
      <c r="U165" s="16" t="str">
        <f>IF(Table1[[#This Row],[Included?]],Table1[[#This Row],[RBI]],"")</f>
        <v/>
      </c>
      <c r="V165" s="16" t="str">
        <f>IF(Table1[[#This Row],[Included?]],Table1[[#This Row],[SB]],"")</f>
        <v/>
      </c>
      <c r="W165" s="16" t="str">
        <f>IF(Table1[[#This Row],[Included?]],Table1[[#This Row],[OBP]],"")</f>
        <v/>
      </c>
      <c r="X165" s="16" t="str">
        <f>IF(Table1[[#This Row],[Included?]],Table1[[#This Row],[PA]],"")</f>
        <v/>
      </c>
      <c r="Y165" s="16" t="str">
        <f>IF(Table1[[#This Row],[Included?]],Table1[[#This Row],[H]],"")</f>
        <v/>
      </c>
      <c r="Z165" s="16" t="str">
        <f>IF(Table1[[#This Row],[Included?]],Table1[[#This Row],[BB]],"")</f>
        <v/>
      </c>
      <c r="AA165" s="16" t="str">
        <f>IF(Table1[[#This Row],[Included?]],Table1[[#This Row],[OB]],"")</f>
        <v/>
      </c>
      <c r="AB165" s="14" t="str">
        <f>IF(Table1[[#This Row],[Included?]], (8*AA$185+Table1[[#This Row],[I OB]])/(8*X$185+Table1[[#This Row],[I PA]]), "")</f>
        <v/>
      </c>
    </row>
    <row r="166" spans="1:28" x14ac:dyDescent="0.25">
      <c r="A166" s="23" t="b">
        <f>IF('Sim Data'!A166&gt;0, TRUE, FALSE)</f>
        <v>0</v>
      </c>
      <c r="B166">
        <v>165</v>
      </c>
      <c r="C166" s="17" t="s">
        <v>311</v>
      </c>
      <c r="D166" s="17" t="s">
        <v>128</v>
      </c>
      <c r="E166" s="17" t="s">
        <v>30</v>
      </c>
      <c r="F166" s="42" t="s">
        <v>30</v>
      </c>
      <c r="G166" s="17">
        <v>6</v>
      </c>
      <c r="H166" s="17">
        <v>2.0270000000000001</v>
      </c>
      <c r="I166" s="17">
        <v>0.161</v>
      </c>
      <c r="J166" s="17">
        <v>1.94</v>
      </c>
      <c r="K166" s="17">
        <v>0.61799999999999999</v>
      </c>
      <c r="L166" s="17">
        <v>0.31655349083072409</v>
      </c>
      <c r="M166" s="17">
        <v>24.595999999999997</v>
      </c>
      <c r="N166" s="17">
        <v>5.8299999999999992</v>
      </c>
      <c r="O166" s="17">
        <v>1.8560000000000001</v>
      </c>
      <c r="P166" s="9">
        <f>Table1[[#This Row],[OBP]]*Table1[[#This Row],[PA]]</f>
        <v>7.7859496604724887</v>
      </c>
      <c r="Q166" s="9">
        <f>(8*P$185+Table1[[#This Row],[OB]])/(8*M$185+Table1[[#This Row],[PA]])</f>
        <v>0.3267941335190922</v>
      </c>
      <c r="R166" s="16" t="str">
        <f>IF(Table1[[#This Row],[Included?]],Table1[[#This Row],[g]],"")</f>
        <v/>
      </c>
      <c r="S166" s="16" t="str">
        <f>IF(Table1[[#This Row],[Included?]],Table1[[#This Row],[R]],"")</f>
        <v/>
      </c>
      <c r="T166" s="16" t="str">
        <f>IF(Table1[[#This Row],[Included?]],Table1[[#This Row],[HR]],"")</f>
        <v/>
      </c>
      <c r="U166" s="16" t="str">
        <f>IF(Table1[[#This Row],[Included?]],Table1[[#This Row],[RBI]],"")</f>
        <v/>
      </c>
      <c r="V166" s="16" t="str">
        <f>IF(Table1[[#This Row],[Included?]],Table1[[#This Row],[SB]],"")</f>
        <v/>
      </c>
      <c r="W166" s="16" t="str">
        <f>IF(Table1[[#This Row],[Included?]],Table1[[#This Row],[OBP]],"")</f>
        <v/>
      </c>
      <c r="X166" s="16" t="str">
        <f>IF(Table1[[#This Row],[Included?]],Table1[[#This Row],[PA]],"")</f>
        <v/>
      </c>
      <c r="Y166" s="16" t="str">
        <f>IF(Table1[[#This Row],[Included?]],Table1[[#This Row],[H]],"")</f>
        <v/>
      </c>
      <c r="Z166" s="16" t="str">
        <f>IF(Table1[[#This Row],[Included?]],Table1[[#This Row],[BB]],"")</f>
        <v/>
      </c>
      <c r="AA166" s="16" t="str">
        <f>IF(Table1[[#This Row],[Included?]],Table1[[#This Row],[OB]],"")</f>
        <v/>
      </c>
      <c r="AB166" s="14" t="str">
        <f>IF(Table1[[#This Row],[Included?]], (8*AA$185+Table1[[#This Row],[I OB]])/(8*X$185+Table1[[#This Row],[I PA]]), "")</f>
        <v/>
      </c>
    </row>
    <row r="167" spans="1:28" x14ac:dyDescent="0.25">
      <c r="A167" s="24" t="b">
        <f>IF('Sim Data'!A167&gt;0, TRUE, FALSE)</f>
        <v>0</v>
      </c>
      <c r="B167">
        <v>166</v>
      </c>
      <c r="C167" s="17" t="s">
        <v>312</v>
      </c>
      <c r="D167" s="17" t="s">
        <v>67</v>
      </c>
      <c r="E167" s="17" t="s">
        <v>290</v>
      </c>
      <c r="F167" s="44" t="s">
        <v>30</v>
      </c>
      <c r="G167" s="17">
        <v>6</v>
      </c>
      <c r="H167" s="17">
        <v>1.93</v>
      </c>
      <c r="I167" s="17">
        <v>0.62099999999999989</v>
      </c>
      <c r="J167" s="17">
        <v>1.78</v>
      </c>
      <c r="K167" s="17">
        <v>0.5089999999999999</v>
      </c>
      <c r="L167" s="17">
        <v>0.31076152392670386</v>
      </c>
      <c r="M167" s="17">
        <v>22.754999999999999</v>
      </c>
      <c r="N167" s="17">
        <v>5.0649999999999995</v>
      </c>
      <c r="O167" s="17">
        <v>1.9160000000000001</v>
      </c>
      <c r="P167" s="9">
        <f>Table1[[#This Row],[OBP]]*Table1[[#This Row],[PA]]</f>
        <v>7.0713784769521464</v>
      </c>
      <c r="Q167" s="9">
        <f>(8*P$185+Table1[[#This Row],[OB]])/(8*M$185+Table1[[#This Row],[PA]])</f>
        <v>0.32627540868488009</v>
      </c>
      <c r="R167" s="16" t="str">
        <f>IF(Table1[[#This Row],[Included?]],Table1[[#This Row],[g]],"")</f>
        <v/>
      </c>
      <c r="S167" s="16" t="str">
        <f>IF(Table1[[#This Row],[Included?]],Table1[[#This Row],[R]],"")</f>
        <v/>
      </c>
      <c r="T167" s="16" t="str">
        <f>IF(Table1[[#This Row],[Included?]],Table1[[#This Row],[HR]],"")</f>
        <v/>
      </c>
      <c r="U167" s="16" t="str">
        <f>IF(Table1[[#This Row],[Included?]],Table1[[#This Row],[RBI]],"")</f>
        <v/>
      </c>
      <c r="V167" s="16" t="str">
        <f>IF(Table1[[#This Row],[Included?]],Table1[[#This Row],[SB]],"")</f>
        <v/>
      </c>
      <c r="W167" s="16" t="str">
        <f>IF(Table1[[#This Row],[Included?]],Table1[[#This Row],[OBP]],"")</f>
        <v/>
      </c>
      <c r="X167" s="16" t="str">
        <f>IF(Table1[[#This Row],[Included?]],Table1[[#This Row],[PA]],"")</f>
        <v/>
      </c>
      <c r="Y167" s="16" t="str">
        <f>IF(Table1[[#This Row],[Included?]],Table1[[#This Row],[H]],"")</f>
        <v/>
      </c>
      <c r="Z167" s="16" t="str">
        <f>IF(Table1[[#This Row],[Included?]],Table1[[#This Row],[BB]],"")</f>
        <v/>
      </c>
      <c r="AA167" s="16" t="str">
        <f>IF(Table1[[#This Row],[Included?]],Table1[[#This Row],[OB]],"")</f>
        <v/>
      </c>
      <c r="AB167" s="14" t="str">
        <f>IF(Table1[[#This Row],[Included?]], (8*AA$185+Table1[[#This Row],[I OB]])/(8*X$185+Table1[[#This Row],[I PA]]), "")</f>
        <v/>
      </c>
    </row>
    <row r="168" spans="1:28" x14ac:dyDescent="0.25">
      <c r="A168" s="23" t="b">
        <f>IF('Sim Data'!A168&gt;0, TRUE, FALSE)</f>
        <v>0</v>
      </c>
      <c r="B168">
        <v>167</v>
      </c>
      <c r="C168" s="17" t="s">
        <v>157</v>
      </c>
      <c r="D168" s="17" t="s">
        <v>32</v>
      </c>
      <c r="E168" s="17" t="s">
        <v>30</v>
      </c>
      <c r="F168" s="42" t="s">
        <v>30</v>
      </c>
      <c r="G168" s="17">
        <v>6</v>
      </c>
      <c r="H168" s="17">
        <v>1.9390000000000001</v>
      </c>
      <c r="I168" s="17">
        <v>0.58900000000000008</v>
      </c>
      <c r="J168" s="17">
        <v>2.0430000000000001</v>
      </c>
      <c r="K168" s="17">
        <v>0.60199999999999998</v>
      </c>
      <c r="L168" s="17">
        <v>0.28701954755106523</v>
      </c>
      <c r="M168" s="17">
        <v>22.765000000000001</v>
      </c>
      <c r="N168" s="17">
        <v>5.0380000000000003</v>
      </c>
      <c r="O168" s="17">
        <v>1.2909999999999999</v>
      </c>
      <c r="P168" s="9">
        <f>Table1[[#This Row],[OBP]]*Table1[[#This Row],[PA]]</f>
        <v>6.5339999999999998</v>
      </c>
      <c r="Q168" s="9">
        <f>(8*P$185+Table1[[#This Row],[OB]])/(8*M$185+Table1[[#This Row],[PA]])</f>
        <v>0.32379246864284789</v>
      </c>
      <c r="R168" s="16" t="str">
        <f>IF(Table1[[#This Row],[Included?]],Table1[[#This Row],[g]],"")</f>
        <v/>
      </c>
      <c r="S168" s="16" t="str">
        <f>IF(Table1[[#This Row],[Included?]],Table1[[#This Row],[R]],"")</f>
        <v/>
      </c>
      <c r="T168" s="16" t="str">
        <f>IF(Table1[[#This Row],[Included?]],Table1[[#This Row],[HR]],"")</f>
        <v/>
      </c>
      <c r="U168" s="16" t="str">
        <f>IF(Table1[[#This Row],[Included?]],Table1[[#This Row],[RBI]],"")</f>
        <v/>
      </c>
      <c r="V168" s="16" t="str">
        <f>IF(Table1[[#This Row],[Included?]],Table1[[#This Row],[SB]],"")</f>
        <v/>
      </c>
      <c r="W168" s="16" t="str">
        <f>IF(Table1[[#This Row],[Included?]],Table1[[#This Row],[OBP]],"")</f>
        <v/>
      </c>
      <c r="X168" s="16" t="str">
        <f>IF(Table1[[#This Row],[Included?]],Table1[[#This Row],[PA]],"")</f>
        <v/>
      </c>
      <c r="Y168" s="16" t="str">
        <f>IF(Table1[[#This Row],[Included?]],Table1[[#This Row],[H]],"")</f>
        <v/>
      </c>
      <c r="Z168" s="16" t="str">
        <f>IF(Table1[[#This Row],[Included?]],Table1[[#This Row],[BB]],"")</f>
        <v/>
      </c>
      <c r="AA168" s="16" t="str">
        <f>IF(Table1[[#This Row],[Included?]],Table1[[#This Row],[OB]],"")</f>
        <v/>
      </c>
      <c r="AB168" s="14" t="str">
        <f>IF(Table1[[#This Row],[Included?]], (8*AA$185+Table1[[#This Row],[I OB]])/(8*X$185+Table1[[#This Row],[I PA]]), "")</f>
        <v/>
      </c>
    </row>
    <row r="169" spans="1:28" x14ac:dyDescent="0.25">
      <c r="A169" s="24" t="b">
        <f>IF('Sim Data'!A169&gt;0, TRUE, FALSE)</f>
        <v>0</v>
      </c>
      <c r="B169">
        <v>168</v>
      </c>
      <c r="C169" s="17" t="s">
        <v>313</v>
      </c>
      <c r="D169" s="17" t="s">
        <v>81</v>
      </c>
      <c r="E169" s="17" t="s">
        <v>142</v>
      </c>
      <c r="F169" s="44" t="s">
        <v>30</v>
      </c>
      <c r="G169" s="17">
        <v>6</v>
      </c>
      <c r="H169" s="17">
        <v>2.6580000000000004</v>
      </c>
      <c r="I169" s="17">
        <v>0.10200000000000001</v>
      </c>
      <c r="J169" s="17">
        <v>1.698</v>
      </c>
      <c r="K169" s="17">
        <v>0.11400000000000002</v>
      </c>
      <c r="L169" s="17">
        <v>0.31142001710863976</v>
      </c>
      <c r="M169" s="17">
        <v>23.379000000000001</v>
      </c>
      <c r="N169" s="17">
        <v>5.0009999999999994</v>
      </c>
      <c r="O169" s="17">
        <v>1.9509999999999996</v>
      </c>
      <c r="P169" s="9">
        <f>Table1[[#This Row],[OBP]]*Table1[[#This Row],[PA]]</f>
        <v>7.2806885799828889</v>
      </c>
      <c r="Q169" s="9">
        <f>(8*P$185+Table1[[#This Row],[OB]])/(8*M$185+Table1[[#This Row],[PA]])</f>
        <v>0.32630157805289095</v>
      </c>
      <c r="R169" s="16" t="str">
        <f>IF(Table1[[#This Row],[Included?]],Table1[[#This Row],[g]],"")</f>
        <v/>
      </c>
      <c r="S169" s="16" t="str">
        <f>IF(Table1[[#This Row],[Included?]],Table1[[#This Row],[R]],"")</f>
        <v/>
      </c>
      <c r="T169" s="16" t="str">
        <f>IF(Table1[[#This Row],[Included?]],Table1[[#This Row],[HR]],"")</f>
        <v/>
      </c>
      <c r="U169" s="16" t="str">
        <f>IF(Table1[[#This Row],[Included?]],Table1[[#This Row],[RBI]],"")</f>
        <v/>
      </c>
      <c r="V169" s="16" t="str">
        <f>IF(Table1[[#This Row],[Included?]],Table1[[#This Row],[SB]],"")</f>
        <v/>
      </c>
      <c r="W169" s="16" t="str">
        <f>IF(Table1[[#This Row],[Included?]],Table1[[#This Row],[OBP]],"")</f>
        <v/>
      </c>
      <c r="X169" s="16" t="str">
        <f>IF(Table1[[#This Row],[Included?]],Table1[[#This Row],[PA]],"")</f>
        <v/>
      </c>
      <c r="Y169" s="16" t="str">
        <f>IF(Table1[[#This Row],[Included?]],Table1[[#This Row],[H]],"")</f>
        <v/>
      </c>
      <c r="Z169" s="16" t="str">
        <f>IF(Table1[[#This Row],[Included?]],Table1[[#This Row],[BB]],"")</f>
        <v/>
      </c>
      <c r="AA169" s="16" t="str">
        <f>IF(Table1[[#This Row],[Included?]],Table1[[#This Row],[OB]],"")</f>
        <v/>
      </c>
      <c r="AB169" s="14" t="str">
        <f>IF(Table1[[#This Row],[Included?]], (8*AA$185+Table1[[#This Row],[I OB]])/(8*X$185+Table1[[#This Row],[I PA]]), "")</f>
        <v/>
      </c>
    </row>
    <row r="170" spans="1:28" hidden="1" x14ac:dyDescent="0.25">
      <c r="A170" s="23" t="b">
        <f>IF('Sim Data'!A170&gt;0, TRUE, FALSE)</f>
        <v>0</v>
      </c>
      <c r="B170">
        <v>169</v>
      </c>
      <c r="C170" s="17" t="s">
        <v>314</v>
      </c>
      <c r="D170" s="17" t="s">
        <v>56</v>
      </c>
      <c r="E170" s="17" t="s">
        <v>46</v>
      </c>
      <c r="F170" s="42" t="s">
        <v>46</v>
      </c>
      <c r="G170" s="17">
        <v>7</v>
      </c>
      <c r="H170" s="17">
        <v>2.0369999999999999</v>
      </c>
      <c r="I170" s="17">
        <v>0.33100000000000002</v>
      </c>
      <c r="J170" s="17">
        <v>1.948</v>
      </c>
      <c r="K170" s="17">
        <v>0.19500000000000001</v>
      </c>
      <c r="L170" s="17">
        <v>0.27767770021766863</v>
      </c>
      <c r="M170" s="17">
        <v>26.646000000000001</v>
      </c>
      <c r="N170" s="17">
        <v>6.3179999999999996</v>
      </c>
      <c r="O170" s="17">
        <v>1.0529999999999999</v>
      </c>
      <c r="P170" s="9">
        <f>Table1[[#This Row],[OBP]]*Table1[[#This Row],[PA]]</f>
        <v>7.3989999999999982</v>
      </c>
      <c r="Q170" s="9">
        <f>(8*P$185+Table1[[#This Row],[OB]])/(8*M$185+Table1[[#This Row],[PA]])</f>
        <v>0.32202533287637314</v>
      </c>
      <c r="R170" s="16" t="str">
        <f>IF(Table1[[#This Row],[Included?]],Table1[[#This Row],[g]],"")</f>
        <v/>
      </c>
      <c r="S170" s="16" t="str">
        <f>IF(Table1[[#This Row],[Included?]],Table1[[#This Row],[R]],"")</f>
        <v/>
      </c>
      <c r="T170" s="16" t="str">
        <f>IF(Table1[[#This Row],[Included?]],Table1[[#This Row],[HR]],"")</f>
        <v/>
      </c>
      <c r="U170" s="16" t="str">
        <f>IF(Table1[[#This Row],[Included?]],Table1[[#This Row],[RBI]],"")</f>
        <v/>
      </c>
      <c r="V170" s="16" t="str">
        <f>IF(Table1[[#This Row],[Included?]],Table1[[#This Row],[SB]],"")</f>
        <v/>
      </c>
      <c r="W170" s="16" t="str">
        <f>IF(Table1[[#This Row],[Included?]],Table1[[#This Row],[OBP]],"")</f>
        <v/>
      </c>
      <c r="X170" s="16" t="str">
        <f>IF(Table1[[#This Row],[Included?]],Table1[[#This Row],[PA]],"")</f>
        <v/>
      </c>
      <c r="Y170" s="16" t="str">
        <f>IF(Table1[[#This Row],[Included?]],Table1[[#This Row],[H]],"")</f>
        <v/>
      </c>
      <c r="Z170" s="16" t="str">
        <f>IF(Table1[[#This Row],[Included?]],Table1[[#This Row],[BB]],"")</f>
        <v/>
      </c>
      <c r="AA170" s="16" t="str">
        <f>IF(Table1[[#This Row],[Included?]],Table1[[#This Row],[OB]],"")</f>
        <v/>
      </c>
      <c r="AB170" s="14" t="str">
        <f>IF(Table1[[#This Row],[Included?]], (8*AA$185+Table1[[#This Row],[I OB]])/(8*X$185+Table1[[#This Row],[I PA]]), "")</f>
        <v/>
      </c>
    </row>
    <row r="171" spans="1:28" hidden="1" x14ac:dyDescent="0.25">
      <c r="A171" s="24" t="b">
        <f>IF('Sim Data'!A171&gt;0, TRUE, FALSE)</f>
        <v>0</v>
      </c>
      <c r="B171">
        <v>170</v>
      </c>
      <c r="C171" s="17" t="s">
        <v>156</v>
      </c>
      <c r="D171" s="17" t="s">
        <v>61</v>
      </c>
      <c r="E171" s="17" t="s">
        <v>46</v>
      </c>
      <c r="F171" s="42" t="s">
        <v>46</v>
      </c>
      <c r="G171" s="17">
        <v>6</v>
      </c>
      <c r="H171" s="17">
        <v>1.782</v>
      </c>
      <c r="I171" s="17">
        <v>0.186</v>
      </c>
      <c r="J171" s="17">
        <v>1.9439999999999997</v>
      </c>
      <c r="K171" s="17">
        <v>0.45400000000000001</v>
      </c>
      <c r="L171" s="17">
        <v>0.31426083170041369</v>
      </c>
      <c r="M171" s="17">
        <v>22.960999999999999</v>
      </c>
      <c r="N171" s="17">
        <v>5.6139999999999999</v>
      </c>
      <c r="O171" s="17">
        <v>1.5550000000000002</v>
      </c>
      <c r="P171" s="9">
        <f>Table1[[#This Row],[OBP]]*Table1[[#This Row],[PA]]</f>
        <v>7.2157429566731981</v>
      </c>
      <c r="Q171" s="9">
        <f>(8*P$185+Table1[[#This Row],[OB]])/(8*M$185+Table1[[#This Row],[PA]])</f>
        <v>0.32662941586653604</v>
      </c>
      <c r="R171" s="16" t="str">
        <f>IF(Table1[[#This Row],[Included?]],Table1[[#This Row],[g]],"")</f>
        <v/>
      </c>
      <c r="S171" s="16" t="str">
        <f>IF(Table1[[#This Row],[Included?]],Table1[[#This Row],[R]],"")</f>
        <v/>
      </c>
      <c r="T171" s="16" t="str">
        <f>IF(Table1[[#This Row],[Included?]],Table1[[#This Row],[HR]],"")</f>
        <v/>
      </c>
      <c r="U171" s="16" t="str">
        <f>IF(Table1[[#This Row],[Included?]],Table1[[#This Row],[RBI]],"")</f>
        <v/>
      </c>
      <c r="V171" s="16" t="str">
        <f>IF(Table1[[#This Row],[Included?]],Table1[[#This Row],[SB]],"")</f>
        <v/>
      </c>
      <c r="W171" s="16" t="str">
        <f>IF(Table1[[#This Row],[Included?]],Table1[[#This Row],[OBP]],"")</f>
        <v/>
      </c>
      <c r="X171" s="16" t="str">
        <f>IF(Table1[[#This Row],[Included?]],Table1[[#This Row],[PA]],"")</f>
        <v/>
      </c>
      <c r="Y171" s="16" t="str">
        <f>IF(Table1[[#This Row],[Included?]],Table1[[#This Row],[H]],"")</f>
        <v/>
      </c>
      <c r="Z171" s="16" t="str">
        <f>IF(Table1[[#This Row],[Included?]],Table1[[#This Row],[BB]],"")</f>
        <v/>
      </c>
      <c r="AA171" s="16" t="str">
        <f>IF(Table1[[#This Row],[Included?]],Table1[[#This Row],[OB]],"")</f>
        <v/>
      </c>
      <c r="AB171" s="14" t="str">
        <f>IF(Table1[[#This Row],[Included?]], (8*AA$185+Table1[[#This Row],[I OB]])/(8*X$185+Table1[[#This Row],[I PA]]), "")</f>
        <v/>
      </c>
    </row>
    <row r="172" spans="1:28" x14ac:dyDescent="0.25">
      <c r="A172" s="23" t="b">
        <f>IF('Sim Data'!A172&gt;0, TRUE, FALSE)</f>
        <v>0</v>
      </c>
      <c r="B172">
        <v>171</v>
      </c>
      <c r="C172" s="17" t="s">
        <v>315</v>
      </c>
      <c r="D172" s="17" t="s">
        <v>26</v>
      </c>
      <c r="E172" s="17" t="s">
        <v>142</v>
      </c>
      <c r="F172" s="44" t="s">
        <v>30</v>
      </c>
      <c r="G172" s="17">
        <v>6</v>
      </c>
      <c r="H172" s="17">
        <v>1.7629999999999999</v>
      </c>
      <c r="I172" s="17">
        <v>0.18</v>
      </c>
      <c r="J172" s="17">
        <v>1.5660000000000003</v>
      </c>
      <c r="K172" s="17">
        <v>1.1140000000000001</v>
      </c>
      <c r="L172" s="17">
        <v>0.29275513758272387</v>
      </c>
      <c r="M172" s="17">
        <v>22.966999999999999</v>
      </c>
      <c r="N172" s="17">
        <v>5.1680000000000001</v>
      </c>
      <c r="O172" s="17">
        <v>1.5079999999999998</v>
      </c>
      <c r="P172" s="9">
        <f>Table1[[#This Row],[OBP]]*Table1[[#This Row],[PA]]</f>
        <v>6.7237072448624184</v>
      </c>
      <c r="Q172" s="9">
        <f>(8*P$185+Table1[[#This Row],[OB]])/(8*M$185+Table1[[#This Row],[PA]])</f>
        <v>0.32436280303779341</v>
      </c>
      <c r="R172" s="16" t="str">
        <f>IF(Table1[[#This Row],[Included?]],Table1[[#This Row],[g]],"")</f>
        <v/>
      </c>
      <c r="S172" s="16" t="str">
        <f>IF(Table1[[#This Row],[Included?]],Table1[[#This Row],[R]],"")</f>
        <v/>
      </c>
      <c r="T172" s="16" t="str">
        <f>IF(Table1[[#This Row],[Included?]],Table1[[#This Row],[HR]],"")</f>
        <v/>
      </c>
      <c r="U172" s="16" t="str">
        <f>IF(Table1[[#This Row],[Included?]],Table1[[#This Row],[RBI]],"")</f>
        <v/>
      </c>
      <c r="V172" s="16" t="str">
        <f>IF(Table1[[#This Row],[Included?]],Table1[[#This Row],[SB]],"")</f>
        <v/>
      </c>
      <c r="W172" s="16" t="str">
        <f>IF(Table1[[#This Row],[Included?]],Table1[[#This Row],[OBP]],"")</f>
        <v/>
      </c>
      <c r="X172" s="16" t="str">
        <f>IF(Table1[[#This Row],[Included?]],Table1[[#This Row],[PA]],"")</f>
        <v/>
      </c>
      <c r="Y172" s="16" t="str">
        <f>IF(Table1[[#This Row],[Included?]],Table1[[#This Row],[H]],"")</f>
        <v/>
      </c>
      <c r="Z172" s="16" t="str">
        <f>IF(Table1[[#This Row],[Included?]],Table1[[#This Row],[BB]],"")</f>
        <v/>
      </c>
      <c r="AA172" s="16" t="str">
        <f>IF(Table1[[#This Row],[Included?]],Table1[[#This Row],[OB]],"")</f>
        <v/>
      </c>
      <c r="AB172" s="14" t="str">
        <f>IF(Table1[[#This Row],[Included?]], (8*AA$185+Table1[[#This Row],[I OB]])/(8*X$185+Table1[[#This Row],[I PA]]), "")</f>
        <v/>
      </c>
    </row>
    <row r="173" spans="1:28" x14ac:dyDescent="0.25">
      <c r="A173" s="24" t="b">
        <f>IF('Sim Data'!A173&gt;0, TRUE, FALSE)</f>
        <v>0</v>
      </c>
      <c r="B173">
        <v>172</v>
      </c>
      <c r="C173" s="17" t="s">
        <v>316</v>
      </c>
      <c r="D173" s="17" t="s">
        <v>25</v>
      </c>
      <c r="E173" s="17" t="s">
        <v>30</v>
      </c>
      <c r="F173" s="42" t="s">
        <v>30</v>
      </c>
      <c r="G173" s="17">
        <v>6</v>
      </c>
      <c r="H173" s="17">
        <v>1.7989999999999999</v>
      </c>
      <c r="I173" s="17">
        <v>0.42700000000000005</v>
      </c>
      <c r="J173" s="17">
        <v>1.702</v>
      </c>
      <c r="K173" s="17">
        <v>0.17300000000000001</v>
      </c>
      <c r="L173" s="17">
        <v>0.30564656823113906</v>
      </c>
      <c r="M173" s="17">
        <v>23.502999999999997</v>
      </c>
      <c r="N173" s="17">
        <v>5.4799999999999995</v>
      </c>
      <c r="O173" s="17">
        <v>1.4929999999999999</v>
      </c>
      <c r="P173" s="9">
        <f>Table1[[#This Row],[OBP]]*Table1[[#This Row],[PA]]</f>
        <v>7.18361129313646</v>
      </c>
      <c r="Q173" s="9">
        <f>(8*P$185+Table1[[#This Row],[OB]])/(8*M$185+Table1[[#This Row],[PA]])</f>
        <v>0.32567205382075998</v>
      </c>
      <c r="R173" s="16" t="str">
        <f>IF(Table1[[#This Row],[Included?]],Table1[[#This Row],[g]],"")</f>
        <v/>
      </c>
      <c r="S173" s="16" t="str">
        <f>IF(Table1[[#This Row],[Included?]],Table1[[#This Row],[R]],"")</f>
        <v/>
      </c>
      <c r="T173" s="16" t="str">
        <f>IF(Table1[[#This Row],[Included?]],Table1[[#This Row],[HR]],"")</f>
        <v/>
      </c>
      <c r="U173" s="16" t="str">
        <f>IF(Table1[[#This Row],[Included?]],Table1[[#This Row],[RBI]],"")</f>
        <v/>
      </c>
      <c r="V173" s="16" t="str">
        <f>IF(Table1[[#This Row],[Included?]],Table1[[#This Row],[SB]],"")</f>
        <v/>
      </c>
      <c r="W173" s="16" t="str">
        <f>IF(Table1[[#This Row],[Included?]],Table1[[#This Row],[OBP]],"")</f>
        <v/>
      </c>
      <c r="X173" s="16" t="str">
        <f>IF(Table1[[#This Row],[Included?]],Table1[[#This Row],[PA]],"")</f>
        <v/>
      </c>
      <c r="Y173" s="16" t="str">
        <f>IF(Table1[[#This Row],[Included?]],Table1[[#This Row],[H]],"")</f>
        <v/>
      </c>
      <c r="Z173" s="16" t="str">
        <f>IF(Table1[[#This Row],[Included?]],Table1[[#This Row],[BB]],"")</f>
        <v/>
      </c>
      <c r="AA173" s="16" t="str">
        <f>IF(Table1[[#This Row],[Included?]],Table1[[#This Row],[OB]],"")</f>
        <v/>
      </c>
      <c r="AB173" s="14" t="str">
        <f>IF(Table1[[#This Row],[Included?]], (8*AA$185+Table1[[#This Row],[I OB]])/(8*X$185+Table1[[#This Row],[I PA]]), "")</f>
        <v/>
      </c>
    </row>
    <row r="174" spans="1:28" x14ac:dyDescent="0.25">
      <c r="A174" s="23" t="b">
        <f>IF('Sim Data'!A174&gt;0, TRUE, FALSE)</f>
        <v>0</v>
      </c>
      <c r="B174">
        <v>173</v>
      </c>
      <c r="C174" s="17" t="s">
        <v>317</v>
      </c>
      <c r="D174" s="17" t="s">
        <v>23</v>
      </c>
      <c r="E174" s="17" t="s">
        <v>30</v>
      </c>
      <c r="F174" s="42" t="s">
        <v>30</v>
      </c>
      <c r="G174" s="17">
        <v>6</v>
      </c>
      <c r="H174" s="17">
        <v>1.804</v>
      </c>
      <c r="I174" s="17">
        <v>0.52300000000000002</v>
      </c>
      <c r="J174" s="17">
        <v>1.6070000000000002</v>
      </c>
      <c r="K174" s="17">
        <v>0.39100000000000001</v>
      </c>
      <c r="L174" s="17">
        <v>0.30076576576576575</v>
      </c>
      <c r="M174" s="17">
        <v>22.201999999999998</v>
      </c>
      <c r="N174" s="17">
        <v>5.0369999999999999</v>
      </c>
      <c r="O174" s="17">
        <v>1.5289999999999999</v>
      </c>
      <c r="P174" s="9">
        <f>Table1[[#This Row],[OBP]]*Table1[[#This Row],[PA]]</f>
        <v>6.6776015315315309</v>
      </c>
      <c r="Q174" s="9">
        <f>(8*P$185+Table1[[#This Row],[OB]])/(8*M$185+Table1[[#This Row],[PA]])</f>
        <v>0.32529305639400374</v>
      </c>
      <c r="R174" s="16" t="str">
        <f>IF(Table1[[#This Row],[Included?]],Table1[[#This Row],[g]],"")</f>
        <v/>
      </c>
      <c r="S174" s="16" t="str">
        <f>IF(Table1[[#This Row],[Included?]],Table1[[#This Row],[R]],"")</f>
        <v/>
      </c>
      <c r="T174" s="16" t="str">
        <f>IF(Table1[[#This Row],[Included?]],Table1[[#This Row],[HR]],"")</f>
        <v/>
      </c>
      <c r="U174" s="16" t="str">
        <f>IF(Table1[[#This Row],[Included?]],Table1[[#This Row],[RBI]],"")</f>
        <v/>
      </c>
      <c r="V174" s="16" t="str">
        <f>IF(Table1[[#This Row],[Included?]],Table1[[#This Row],[SB]],"")</f>
        <v/>
      </c>
      <c r="W174" s="16" t="str">
        <f>IF(Table1[[#This Row],[Included?]],Table1[[#This Row],[OBP]],"")</f>
        <v/>
      </c>
      <c r="X174" s="16" t="str">
        <f>IF(Table1[[#This Row],[Included?]],Table1[[#This Row],[PA]],"")</f>
        <v/>
      </c>
      <c r="Y174" s="16" t="str">
        <f>IF(Table1[[#This Row],[Included?]],Table1[[#This Row],[H]],"")</f>
        <v/>
      </c>
      <c r="Z174" s="16" t="str">
        <f>IF(Table1[[#This Row],[Included?]],Table1[[#This Row],[BB]],"")</f>
        <v/>
      </c>
      <c r="AA174" s="16" t="str">
        <f>IF(Table1[[#This Row],[Included?]],Table1[[#This Row],[OB]],"")</f>
        <v/>
      </c>
      <c r="AB174" s="14" t="str">
        <f>IF(Table1[[#This Row],[Included?]], (8*AA$185+Table1[[#This Row],[I OB]])/(8*X$185+Table1[[#This Row],[I PA]]), "")</f>
        <v/>
      </c>
    </row>
    <row r="175" spans="1:28" x14ac:dyDescent="0.25">
      <c r="A175" s="24" t="b">
        <f>IF('Sim Data'!A175&gt;0, TRUE, FALSE)</f>
        <v>0</v>
      </c>
      <c r="B175">
        <v>174</v>
      </c>
      <c r="C175" s="17" t="s">
        <v>318</v>
      </c>
      <c r="D175" s="17" t="s">
        <v>23</v>
      </c>
      <c r="E175" s="17" t="s">
        <v>161</v>
      </c>
      <c r="F175" s="44" t="s">
        <v>30</v>
      </c>
      <c r="G175" s="17">
        <v>6</v>
      </c>
      <c r="H175" s="17">
        <v>1.8859999999999999</v>
      </c>
      <c r="I175" s="17">
        <v>0.24099999999999999</v>
      </c>
      <c r="J175" s="17">
        <v>2</v>
      </c>
      <c r="K175" s="17">
        <v>0.80300000000000005</v>
      </c>
      <c r="L175" s="17">
        <v>0.27303977025498216</v>
      </c>
      <c r="M175" s="17">
        <v>22.982000000000003</v>
      </c>
      <c r="N175" s="17">
        <v>5.1640000000000006</v>
      </c>
      <c r="O175" s="17">
        <v>1.0410000000000001</v>
      </c>
      <c r="P175" s="9">
        <f>Table1[[#This Row],[OBP]]*Table1[[#This Row],[PA]]</f>
        <v>6.2750000000000012</v>
      </c>
      <c r="Q175" s="9">
        <f>(8*P$185+Table1[[#This Row],[OB]])/(8*M$185+Table1[[#This Row],[PA]])</f>
        <v>0.32228180646384658</v>
      </c>
      <c r="R175" s="16" t="str">
        <f>IF(Table1[[#This Row],[Included?]],Table1[[#This Row],[g]],"")</f>
        <v/>
      </c>
      <c r="S175" s="16" t="str">
        <f>IF(Table1[[#This Row],[Included?]],Table1[[#This Row],[R]],"")</f>
        <v/>
      </c>
      <c r="T175" s="16" t="str">
        <f>IF(Table1[[#This Row],[Included?]],Table1[[#This Row],[HR]],"")</f>
        <v/>
      </c>
      <c r="U175" s="16" t="str">
        <f>IF(Table1[[#This Row],[Included?]],Table1[[#This Row],[RBI]],"")</f>
        <v/>
      </c>
      <c r="V175" s="16" t="str">
        <f>IF(Table1[[#This Row],[Included?]],Table1[[#This Row],[SB]],"")</f>
        <v/>
      </c>
      <c r="W175" s="16" t="str">
        <f>IF(Table1[[#This Row],[Included?]],Table1[[#This Row],[OBP]],"")</f>
        <v/>
      </c>
      <c r="X175" s="16" t="str">
        <f>IF(Table1[[#This Row],[Included?]],Table1[[#This Row],[PA]],"")</f>
        <v/>
      </c>
      <c r="Y175" s="16" t="str">
        <f>IF(Table1[[#This Row],[Included?]],Table1[[#This Row],[H]],"")</f>
        <v/>
      </c>
      <c r="Z175" s="16" t="str">
        <f>IF(Table1[[#This Row],[Included?]],Table1[[#This Row],[BB]],"")</f>
        <v/>
      </c>
      <c r="AA175" s="16" t="str">
        <f>IF(Table1[[#This Row],[Included?]],Table1[[#This Row],[OB]],"")</f>
        <v/>
      </c>
      <c r="AB175" s="14" t="str">
        <f>IF(Table1[[#This Row],[Included?]], (8*AA$185+Table1[[#This Row],[I OB]])/(8*X$185+Table1[[#This Row],[I PA]]), "")</f>
        <v/>
      </c>
    </row>
    <row r="176" spans="1:28" hidden="1" x14ac:dyDescent="0.25">
      <c r="A176" s="23" t="b">
        <f>IF('Sim Data'!A176&gt;0, TRUE, FALSE)</f>
        <v>0</v>
      </c>
      <c r="B176">
        <v>175</v>
      </c>
      <c r="C176" s="17" t="s">
        <v>319</v>
      </c>
      <c r="D176" s="17" t="s">
        <v>83</v>
      </c>
      <c r="E176" s="17" t="s">
        <v>114</v>
      </c>
      <c r="F176" s="44" t="s">
        <v>46</v>
      </c>
      <c r="G176" s="17">
        <v>5</v>
      </c>
      <c r="H176" s="17">
        <v>1.8580000000000001</v>
      </c>
      <c r="I176" s="17">
        <v>0.72700000000000009</v>
      </c>
      <c r="J176" s="17">
        <v>1.7649999999999999</v>
      </c>
      <c r="K176" s="17">
        <v>3.6999999999999998E-2</v>
      </c>
      <c r="L176" s="17">
        <v>0.32007536110529616</v>
      </c>
      <c r="M176" s="17">
        <v>19.108000000000001</v>
      </c>
      <c r="N176" s="17">
        <v>3.8999999999999995</v>
      </c>
      <c r="O176" s="17">
        <v>2.0819999999999999</v>
      </c>
      <c r="P176" s="9">
        <f>Table1[[#This Row],[OBP]]*Table1[[#This Row],[PA]]</f>
        <v>6.1159999999999997</v>
      </c>
      <c r="Q176" s="9">
        <f>(8*P$185+Table1[[#This Row],[OB]])/(8*M$185+Table1[[#This Row],[PA]])</f>
        <v>0.32737099007181919</v>
      </c>
      <c r="R176" s="16" t="str">
        <f>IF(Table1[[#This Row],[Included?]],Table1[[#This Row],[g]],"")</f>
        <v/>
      </c>
      <c r="S176" s="16" t="str">
        <f>IF(Table1[[#This Row],[Included?]],Table1[[#This Row],[R]],"")</f>
        <v/>
      </c>
      <c r="T176" s="16" t="str">
        <f>IF(Table1[[#This Row],[Included?]],Table1[[#This Row],[HR]],"")</f>
        <v/>
      </c>
      <c r="U176" s="16" t="str">
        <f>IF(Table1[[#This Row],[Included?]],Table1[[#This Row],[RBI]],"")</f>
        <v/>
      </c>
      <c r="V176" s="16" t="str">
        <f>IF(Table1[[#This Row],[Included?]],Table1[[#This Row],[SB]],"")</f>
        <v/>
      </c>
      <c r="W176" s="16" t="str">
        <f>IF(Table1[[#This Row],[Included?]],Table1[[#This Row],[OBP]],"")</f>
        <v/>
      </c>
      <c r="X176" s="16" t="str">
        <f>IF(Table1[[#This Row],[Included?]],Table1[[#This Row],[PA]],"")</f>
        <v/>
      </c>
      <c r="Y176" s="16" t="str">
        <f>IF(Table1[[#This Row],[Included?]],Table1[[#This Row],[H]],"")</f>
        <v/>
      </c>
      <c r="Z176" s="16" t="str">
        <f>IF(Table1[[#This Row],[Included?]],Table1[[#This Row],[BB]],"")</f>
        <v/>
      </c>
      <c r="AA176" s="16" t="str">
        <f>IF(Table1[[#This Row],[Included?]],Table1[[#This Row],[OB]],"")</f>
        <v/>
      </c>
      <c r="AB176" s="14" t="str">
        <f>IF(Table1[[#This Row],[Included?]], (8*AA$185+Table1[[#This Row],[I OB]])/(8*X$185+Table1[[#This Row],[I PA]]), "")</f>
        <v/>
      </c>
    </row>
    <row r="177" spans="1:28" x14ac:dyDescent="0.25">
      <c r="A177" s="24" t="b">
        <v>0</v>
      </c>
      <c r="B177">
        <v>176</v>
      </c>
      <c r="C177" s="17" t="s">
        <v>320</v>
      </c>
      <c r="D177" s="17" t="s">
        <v>26</v>
      </c>
      <c r="E177" s="17" t="s">
        <v>111</v>
      </c>
      <c r="F177" s="44" t="s">
        <v>30</v>
      </c>
      <c r="G177" s="17">
        <v>6</v>
      </c>
      <c r="H177" s="17">
        <v>1.5550000000000002</v>
      </c>
      <c r="I177" s="17">
        <v>0.13600000000000001</v>
      </c>
      <c r="J177" s="17">
        <v>1.3260000000000001</v>
      </c>
      <c r="K177" s="17">
        <v>0.60099999999999998</v>
      </c>
      <c r="L177" s="17">
        <v>0.33626109467455623</v>
      </c>
      <c r="M177" s="17">
        <v>21.633000000000003</v>
      </c>
      <c r="N177" s="17">
        <v>5.6149999999999993</v>
      </c>
      <c r="O177" s="17">
        <v>1.1400000000000001</v>
      </c>
      <c r="P177" s="9">
        <f>Table1[[#This Row],[OBP]]*Table1[[#This Row],[PA]]</f>
        <v>7.2743362610946756</v>
      </c>
      <c r="Q177" s="9">
        <f>(8*P$185+Table1[[#This Row],[OB]])/(8*M$185+Table1[[#This Row],[PA]])</f>
        <v>0.32890242424294741</v>
      </c>
      <c r="R177" s="16" t="str">
        <f>IF(Table1[[#This Row],[Included?]],Table1[[#This Row],[g]],"")</f>
        <v/>
      </c>
      <c r="S177" s="16" t="str">
        <f>IF(Table1[[#This Row],[Included?]],Table1[[#This Row],[R]],"")</f>
        <v/>
      </c>
      <c r="T177" s="16" t="str">
        <f>IF(Table1[[#This Row],[Included?]],Table1[[#This Row],[HR]],"")</f>
        <v/>
      </c>
      <c r="U177" s="16" t="str">
        <f>IF(Table1[[#This Row],[Included?]],Table1[[#This Row],[RBI]],"")</f>
        <v/>
      </c>
      <c r="V177" s="16" t="str">
        <f>IF(Table1[[#This Row],[Included?]],Table1[[#This Row],[SB]],"")</f>
        <v/>
      </c>
      <c r="W177" s="16" t="str">
        <f>IF(Table1[[#This Row],[Included?]],Table1[[#This Row],[OBP]],"")</f>
        <v/>
      </c>
      <c r="X177" s="16" t="str">
        <f>IF(Table1[[#This Row],[Included?]],Table1[[#This Row],[PA]],"")</f>
        <v/>
      </c>
      <c r="Y177" s="16" t="str">
        <f>IF(Table1[[#This Row],[Included?]],Table1[[#This Row],[H]],"")</f>
        <v/>
      </c>
      <c r="Z177" s="16" t="str">
        <f>IF(Table1[[#This Row],[Included?]],Table1[[#This Row],[BB]],"")</f>
        <v/>
      </c>
      <c r="AA177" s="16" t="str">
        <f>IF(Table1[[#This Row],[Included?]],Table1[[#This Row],[OB]],"")</f>
        <v/>
      </c>
      <c r="AB177" s="14" t="str">
        <f>IF(Table1[[#This Row],[Included?]], (8*AA$185+Table1[[#This Row],[I OB]])/(8*X$185+Table1[[#This Row],[I PA]]), "")</f>
        <v/>
      </c>
    </row>
    <row r="178" spans="1:28" x14ac:dyDescent="0.25">
      <c r="A178" s="23" t="b">
        <f>IF('Sim Data'!A178&gt;0, TRUE, FALSE)</f>
        <v>0</v>
      </c>
      <c r="B178">
        <v>177</v>
      </c>
      <c r="C178" s="17" t="s">
        <v>321</v>
      </c>
      <c r="D178" s="17" t="s">
        <v>143</v>
      </c>
      <c r="E178" s="17" t="s">
        <v>111</v>
      </c>
      <c r="F178" s="44" t="s">
        <v>30</v>
      </c>
      <c r="G178" s="17">
        <v>6</v>
      </c>
      <c r="H178" s="17">
        <v>1.7679999999999998</v>
      </c>
      <c r="I178" s="17">
        <v>0.16</v>
      </c>
      <c r="J178" s="17">
        <v>1.6639999999999999</v>
      </c>
      <c r="K178" s="17">
        <v>0.54199999999999993</v>
      </c>
      <c r="L178" s="17">
        <v>0.2819824112983581</v>
      </c>
      <c r="M178" s="17">
        <v>23.082999999999998</v>
      </c>
      <c r="N178" s="17">
        <v>5.0629999999999997</v>
      </c>
      <c r="O178" s="17">
        <v>1.169</v>
      </c>
      <c r="P178" s="9">
        <f>Table1[[#This Row],[OBP]]*Table1[[#This Row],[PA]]</f>
        <v>6.5089999999999995</v>
      </c>
      <c r="Q178" s="9">
        <f>(8*P$185+Table1[[#This Row],[OB]])/(8*M$185+Table1[[#This Row],[PA]])</f>
        <v>0.32320563111088785</v>
      </c>
      <c r="R178" s="16" t="str">
        <f>IF(Table1[[#This Row],[Included?]],Table1[[#This Row],[g]],"")</f>
        <v/>
      </c>
      <c r="S178" s="16" t="str">
        <f>IF(Table1[[#This Row],[Included?]],Table1[[#This Row],[R]],"")</f>
        <v/>
      </c>
      <c r="T178" s="16" t="str">
        <f>IF(Table1[[#This Row],[Included?]],Table1[[#This Row],[HR]],"")</f>
        <v/>
      </c>
      <c r="U178" s="16" t="str">
        <f>IF(Table1[[#This Row],[Included?]],Table1[[#This Row],[RBI]],"")</f>
        <v/>
      </c>
      <c r="V178" s="16" t="str">
        <f>IF(Table1[[#This Row],[Included?]],Table1[[#This Row],[SB]],"")</f>
        <v/>
      </c>
      <c r="W178" s="16" t="str">
        <f>IF(Table1[[#This Row],[Included?]],Table1[[#This Row],[OBP]],"")</f>
        <v/>
      </c>
      <c r="X178" s="16" t="str">
        <f>IF(Table1[[#This Row],[Included?]],Table1[[#This Row],[PA]],"")</f>
        <v/>
      </c>
      <c r="Y178" s="16" t="str">
        <f>IF(Table1[[#This Row],[Included?]],Table1[[#This Row],[H]],"")</f>
        <v/>
      </c>
      <c r="Z178" s="16" t="str">
        <f>IF(Table1[[#This Row],[Included?]],Table1[[#This Row],[BB]],"")</f>
        <v/>
      </c>
      <c r="AA178" s="16" t="str">
        <f>IF(Table1[[#This Row],[Included?]],Table1[[#This Row],[OB]],"")</f>
        <v/>
      </c>
      <c r="AB178" s="14" t="str">
        <f>IF(Table1[[#This Row],[Included?]], (8*AA$185+Table1[[#This Row],[I OB]])/(8*X$185+Table1[[#This Row],[I PA]]), "")</f>
        <v/>
      </c>
    </row>
    <row r="179" spans="1:28" hidden="1" x14ac:dyDescent="0.25">
      <c r="A179" s="24" t="b">
        <f>IF('Sim Data'!A179&gt;0, TRUE, FALSE)</f>
        <v>0</v>
      </c>
      <c r="B179">
        <v>178</v>
      </c>
      <c r="C179" s="17" t="s">
        <v>115</v>
      </c>
      <c r="D179" s="17" t="s">
        <v>45</v>
      </c>
      <c r="E179" s="17" t="s">
        <v>116</v>
      </c>
      <c r="F179" s="44" t="s">
        <v>46</v>
      </c>
      <c r="G179" s="17">
        <v>5</v>
      </c>
      <c r="H179" s="17">
        <v>1.6579999999999999</v>
      </c>
      <c r="I179" s="17">
        <v>0.40199999999999997</v>
      </c>
      <c r="J179" s="17">
        <v>1.6639999999999999</v>
      </c>
      <c r="K179" s="17">
        <v>0.58799999999999997</v>
      </c>
      <c r="L179" s="17">
        <v>0.28044298768375048</v>
      </c>
      <c r="M179" s="17">
        <v>20.135000000000002</v>
      </c>
      <c r="N179" s="17">
        <v>4.7189999999999994</v>
      </c>
      <c r="O179" s="17">
        <v>0.8879999999999999</v>
      </c>
      <c r="P179" s="9">
        <f>Table1[[#This Row],[OBP]]*Table1[[#This Row],[PA]]</f>
        <v>5.6467195570123163</v>
      </c>
      <c r="Q179" s="9">
        <f>(8*P$185+Table1[[#This Row],[OB]])/(8*M$185+Table1[[#This Row],[PA]])</f>
        <v>0.32362647980790032</v>
      </c>
      <c r="R179" s="16" t="str">
        <f>IF(Table1[[#This Row],[Included?]],Table1[[#This Row],[g]],"")</f>
        <v/>
      </c>
      <c r="S179" s="16" t="str">
        <f>IF(Table1[[#This Row],[Included?]],Table1[[#This Row],[R]],"")</f>
        <v/>
      </c>
      <c r="T179" s="16" t="str">
        <f>IF(Table1[[#This Row],[Included?]],Table1[[#This Row],[HR]],"")</f>
        <v/>
      </c>
      <c r="U179" s="16" t="str">
        <f>IF(Table1[[#This Row],[Included?]],Table1[[#This Row],[RBI]],"")</f>
        <v/>
      </c>
      <c r="V179" s="16" t="str">
        <f>IF(Table1[[#This Row],[Included?]],Table1[[#This Row],[SB]],"")</f>
        <v/>
      </c>
      <c r="W179" s="16" t="str">
        <f>IF(Table1[[#This Row],[Included?]],Table1[[#This Row],[OBP]],"")</f>
        <v/>
      </c>
      <c r="X179" s="16" t="str">
        <f>IF(Table1[[#This Row],[Included?]],Table1[[#This Row],[PA]],"")</f>
        <v/>
      </c>
      <c r="Y179" s="16" t="str">
        <f>IF(Table1[[#This Row],[Included?]],Table1[[#This Row],[H]],"")</f>
        <v/>
      </c>
      <c r="Z179" s="16" t="str">
        <f>IF(Table1[[#This Row],[Included?]],Table1[[#This Row],[BB]],"")</f>
        <v/>
      </c>
      <c r="AA179" s="16" t="str">
        <f>IF(Table1[[#This Row],[Included?]],Table1[[#This Row],[OB]],"")</f>
        <v/>
      </c>
      <c r="AB179" s="14" t="str">
        <f>IF(Table1[[#This Row],[Included?]], (8*AA$185+Table1[[#This Row],[I OB]])/(8*X$185+Table1[[#This Row],[I PA]]), "")</f>
        <v/>
      </c>
    </row>
    <row r="180" spans="1:28" x14ac:dyDescent="0.25">
      <c r="A180" s="23" t="b">
        <f>IF('Sim Data'!A180&gt;0, TRUE, FALSE)</f>
        <v>0</v>
      </c>
      <c r="B180">
        <v>179</v>
      </c>
      <c r="C180" s="17" t="s">
        <v>322</v>
      </c>
      <c r="D180" s="17" t="s">
        <v>109</v>
      </c>
      <c r="E180" s="17" t="s">
        <v>30</v>
      </c>
      <c r="F180" s="42" t="s">
        <v>30</v>
      </c>
      <c r="G180" s="17">
        <v>6</v>
      </c>
      <c r="H180" s="17">
        <v>1.595</v>
      </c>
      <c r="I180" s="17">
        <v>0.33</v>
      </c>
      <c r="J180" s="17">
        <v>1.7110000000000001</v>
      </c>
      <c r="K180" s="17">
        <v>0.10200000000000001</v>
      </c>
      <c r="L180" s="17">
        <v>0.2866199383901068</v>
      </c>
      <c r="M180" s="17">
        <v>22.400000000000002</v>
      </c>
      <c r="N180" s="17">
        <v>5.0090000000000003</v>
      </c>
      <c r="O180" s="17">
        <v>1.278</v>
      </c>
      <c r="P180" s="9">
        <f>Table1[[#This Row],[OBP]]*Table1[[#This Row],[PA]]</f>
        <v>6.420286619938393</v>
      </c>
      <c r="Q180" s="9">
        <f>(8*P$185+Table1[[#This Row],[OB]])/(8*M$185+Table1[[#This Row],[PA]])</f>
        <v>0.32381303596843686</v>
      </c>
      <c r="R180" s="16" t="str">
        <f>IF(Table1[[#This Row],[Included?]],Table1[[#This Row],[g]],"")</f>
        <v/>
      </c>
      <c r="S180" s="16" t="str">
        <f>IF(Table1[[#This Row],[Included?]],Table1[[#This Row],[R]],"")</f>
        <v/>
      </c>
      <c r="T180" s="16" t="str">
        <f>IF(Table1[[#This Row],[Included?]],Table1[[#This Row],[HR]],"")</f>
        <v/>
      </c>
      <c r="U180" s="16" t="str">
        <f>IF(Table1[[#This Row],[Included?]],Table1[[#This Row],[RBI]],"")</f>
        <v/>
      </c>
      <c r="V180" s="16" t="str">
        <f>IF(Table1[[#This Row],[Included?]],Table1[[#This Row],[SB]],"")</f>
        <v/>
      </c>
      <c r="W180" s="16" t="str">
        <f>IF(Table1[[#This Row],[Included?]],Table1[[#This Row],[OBP]],"")</f>
        <v/>
      </c>
      <c r="X180" s="16" t="str">
        <f>IF(Table1[[#This Row],[Included?]],Table1[[#This Row],[PA]],"")</f>
        <v/>
      </c>
      <c r="Y180" s="16" t="str">
        <f>IF(Table1[[#This Row],[Included?]],Table1[[#This Row],[H]],"")</f>
        <v/>
      </c>
      <c r="Z180" s="16" t="str">
        <f>IF(Table1[[#This Row],[Included?]],Table1[[#This Row],[BB]],"")</f>
        <v/>
      </c>
      <c r="AA180" s="16" t="str">
        <f>IF(Table1[[#This Row],[Included?]],Table1[[#This Row],[OB]],"")</f>
        <v/>
      </c>
      <c r="AB180" s="14" t="str">
        <f>IF(Table1[[#This Row],[Included?]], (8*AA$185+Table1[[#This Row],[I OB]])/(8*X$185+Table1[[#This Row],[I PA]]), "")</f>
        <v/>
      </c>
    </row>
    <row r="181" spans="1:28" hidden="1" x14ac:dyDescent="0.25">
      <c r="A181" s="24" t="b">
        <f>IF('Sim Data'!A181&gt;0, TRUE, FALSE)</f>
        <v>0</v>
      </c>
      <c r="B181">
        <v>180</v>
      </c>
      <c r="C181" s="17" t="s">
        <v>323</v>
      </c>
      <c r="D181" s="17" t="s">
        <v>152</v>
      </c>
      <c r="E181" s="17" t="s">
        <v>114</v>
      </c>
      <c r="F181" s="44" t="s">
        <v>46</v>
      </c>
      <c r="G181" s="17">
        <v>5</v>
      </c>
      <c r="H181" s="17">
        <v>1.6560000000000001</v>
      </c>
      <c r="I181" s="17">
        <v>0.48099999999999998</v>
      </c>
      <c r="J181" s="17">
        <v>1.6359999999999999</v>
      </c>
      <c r="K181" s="17">
        <v>0.17</v>
      </c>
      <c r="L181" s="17">
        <v>0.30272567105399512</v>
      </c>
      <c r="M181" s="17">
        <v>19.298000000000002</v>
      </c>
      <c r="N181" s="17">
        <v>4.6269999999999998</v>
      </c>
      <c r="O181" s="17">
        <v>0.98399999999999999</v>
      </c>
      <c r="P181" s="9">
        <f>Table1[[#This Row],[OBP]]*Table1[[#This Row],[PA]]</f>
        <v>5.8419999999999979</v>
      </c>
      <c r="Q181" s="9">
        <f>(8*P$185+Table1[[#This Row],[OB]])/(8*M$185+Table1[[#This Row],[PA]])</f>
        <v>0.32580197866530192</v>
      </c>
      <c r="R181" s="16" t="str">
        <f>IF(Table1[[#This Row],[Included?]],Table1[[#This Row],[g]],"")</f>
        <v/>
      </c>
      <c r="S181" s="16" t="str">
        <f>IF(Table1[[#This Row],[Included?]],Table1[[#This Row],[R]],"")</f>
        <v/>
      </c>
      <c r="T181" s="16" t="str">
        <f>IF(Table1[[#This Row],[Included?]],Table1[[#This Row],[HR]],"")</f>
        <v/>
      </c>
      <c r="U181" s="16" t="str">
        <f>IF(Table1[[#This Row],[Included?]],Table1[[#This Row],[RBI]],"")</f>
        <v/>
      </c>
      <c r="V181" s="16" t="str">
        <f>IF(Table1[[#This Row],[Included?]],Table1[[#This Row],[SB]],"")</f>
        <v/>
      </c>
      <c r="W181" s="16" t="str">
        <f>IF(Table1[[#This Row],[Included?]],Table1[[#This Row],[OBP]],"")</f>
        <v/>
      </c>
      <c r="X181" s="16" t="str">
        <f>IF(Table1[[#This Row],[Included?]],Table1[[#This Row],[PA]],"")</f>
        <v/>
      </c>
      <c r="Y181" s="16" t="str">
        <f>IF(Table1[[#This Row],[Included?]],Table1[[#This Row],[H]],"")</f>
        <v/>
      </c>
      <c r="Z181" s="16" t="str">
        <f>IF(Table1[[#This Row],[Included?]],Table1[[#This Row],[BB]],"")</f>
        <v/>
      </c>
      <c r="AA181" s="16" t="str">
        <f>IF(Table1[[#This Row],[Included?]],Table1[[#This Row],[OB]],"")</f>
        <v/>
      </c>
      <c r="AB181" s="14" t="str">
        <f>IF(Table1[[#This Row],[Included?]], (8*AA$185+Table1[[#This Row],[I OB]])/(8*X$185+Table1[[#This Row],[I PA]]), "")</f>
        <v/>
      </c>
    </row>
    <row r="182" spans="1:28" x14ac:dyDescent="0.25">
      <c r="A182" s="23" t="b">
        <f>IF('Sim Data'!A182&gt;0, TRUE, FALSE)</f>
        <v>0</v>
      </c>
      <c r="B182">
        <v>181</v>
      </c>
      <c r="C182" s="17" t="s">
        <v>324</v>
      </c>
      <c r="D182" s="17" t="s">
        <v>34</v>
      </c>
      <c r="E182" s="17" t="s">
        <v>30</v>
      </c>
      <c r="F182" s="42" t="s">
        <v>30</v>
      </c>
      <c r="G182" s="17">
        <v>5</v>
      </c>
      <c r="H182" s="17">
        <v>1.7450000000000001</v>
      </c>
      <c r="I182" s="17">
        <v>0.22599999999999998</v>
      </c>
      <c r="J182" s="17">
        <v>1.5529999999999999</v>
      </c>
      <c r="K182" s="17">
        <v>0.626</v>
      </c>
      <c r="L182" s="17">
        <v>0.28838015601896699</v>
      </c>
      <c r="M182" s="17">
        <v>19.613</v>
      </c>
      <c r="N182" s="17">
        <v>4.7119999999999997</v>
      </c>
      <c r="O182" s="17">
        <v>0.76800000000000002</v>
      </c>
      <c r="P182" s="9">
        <f>Table1[[#This Row],[OBP]]*Table1[[#This Row],[PA]]</f>
        <v>5.6559999999999997</v>
      </c>
      <c r="Q182" s="9">
        <f>(8*P$185+Table1[[#This Row],[OB]])/(8*M$185+Table1[[#This Row],[PA]])</f>
        <v>0.32445696195657248</v>
      </c>
      <c r="R182" s="16" t="str">
        <f>IF(Table1[[#This Row],[Included?]],Table1[[#This Row],[g]],"")</f>
        <v/>
      </c>
      <c r="S182" s="16" t="str">
        <f>IF(Table1[[#This Row],[Included?]],Table1[[#This Row],[R]],"")</f>
        <v/>
      </c>
      <c r="T182" s="16" t="str">
        <f>IF(Table1[[#This Row],[Included?]],Table1[[#This Row],[HR]],"")</f>
        <v/>
      </c>
      <c r="U182" s="16" t="str">
        <f>IF(Table1[[#This Row],[Included?]],Table1[[#This Row],[RBI]],"")</f>
        <v/>
      </c>
      <c r="V182" s="16" t="str">
        <f>IF(Table1[[#This Row],[Included?]],Table1[[#This Row],[SB]],"")</f>
        <v/>
      </c>
      <c r="W182" s="16" t="str">
        <f>IF(Table1[[#This Row],[Included?]],Table1[[#This Row],[OBP]],"")</f>
        <v/>
      </c>
      <c r="X182" s="16" t="str">
        <f>IF(Table1[[#This Row],[Included?]],Table1[[#This Row],[PA]],"")</f>
        <v/>
      </c>
      <c r="Y182" s="16" t="str">
        <f>IF(Table1[[#This Row],[Included?]],Table1[[#This Row],[H]],"")</f>
        <v/>
      </c>
      <c r="Z182" s="16" t="str">
        <f>IF(Table1[[#This Row],[Included?]],Table1[[#This Row],[BB]],"")</f>
        <v/>
      </c>
      <c r="AA182" s="16" t="str">
        <f>IF(Table1[[#This Row],[Included?]],Table1[[#This Row],[OB]],"")</f>
        <v/>
      </c>
      <c r="AB182" s="14" t="str">
        <f>IF(Table1[[#This Row],[Included?]], (8*AA$185+Table1[[#This Row],[I OB]])/(8*X$185+Table1[[#This Row],[I PA]]), "")</f>
        <v/>
      </c>
    </row>
    <row r="183" spans="1:28" hidden="1" x14ac:dyDescent="0.25">
      <c r="A183" s="24" t="b">
        <f>IF('Sim Data'!A183&gt;0, TRUE, FALSE)</f>
        <v>0</v>
      </c>
      <c r="B183">
        <v>182</v>
      </c>
      <c r="C183" s="17" t="s">
        <v>325</v>
      </c>
      <c r="D183" s="17" t="s">
        <v>18</v>
      </c>
      <c r="E183" s="17" t="s">
        <v>46</v>
      </c>
      <c r="F183" s="42" t="s">
        <v>46</v>
      </c>
      <c r="G183" s="17">
        <v>5</v>
      </c>
      <c r="H183" s="17">
        <v>1.486</v>
      </c>
      <c r="I183" s="17">
        <v>0.47399999999999998</v>
      </c>
      <c r="J183" s="17">
        <v>1.3480000000000003</v>
      </c>
      <c r="K183" s="17">
        <v>0.26600000000000001</v>
      </c>
      <c r="L183" s="17">
        <v>0.31987327498254847</v>
      </c>
      <c r="M183" s="17">
        <v>18.622</v>
      </c>
      <c r="N183" s="17">
        <v>4.5289999999999999</v>
      </c>
      <c r="O183" s="17">
        <v>1.2050000000000001</v>
      </c>
      <c r="P183" s="9">
        <f>Table1[[#This Row],[OBP]]*Table1[[#This Row],[PA]]</f>
        <v>5.9566801267250176</v>
      </c>
      <c r="Q183" s="9">
        <f>(8*P$185+Table1[[#This Row],[OB]])/(8*M$185+Table1[[#This Row],[PA]])</f>
        <v>0.32736997147280567</v>
      </c>
      <c r="R183" s="16" t="str">
        <f>IF(Table1[[#This Row],[Included?]],Table1[[#This Row],[g]],"")</f>
        <v/>
      </c>
      <c r="S183" s="16" t="str">
        <f>IF(Table1[[#This Row],[Included?]],Table1[[#This Row],[R]],"")</f>
        <v/>
      </c>
      <c r="T183" s="16" t="str">
        <f>IF(Table1[[#This Row],[Included?]],Table1[[#This Row],[HR]],"")</f>
        <v/>
      </c>
      <c r="U183" s="16" t="str">
        <f>IF(Table1[[#This Row],[Included?]],Table1[[#This Row],[RBI]],"")</f>
        <v/>
      </c>
      <c r="V183" s="16" t="str">
        <f>IF(Table1[[#This Row],[Included?]],Table1[[#This Row],[SB]],"")</f>
        <v/>
      </c>
      <c r="W183" s="16" t="str">
        <f>IF(Table1[[#This Row],[Included?]],Table1[[#This Row],[OBP]],"")</f>
        <v/>
      </c>
      <c r="X183" s="16" t="str">
        <f>IF(Table1[[#This Row],[Included?]],Table1[[#This Row],[PA]],"")</f>
        <v/>
      </c>
      <c r="Y183" s="16" t="str">
        <f>IF(Table1[[#This Row],[Included?]],Table1[[#This Row],[H]],"")</f>
        <v/>
      </c>
      <c r="Z183" s="16" t="str">
        <f>IF(Table1[[#This Row],[Included?]],Table1[[#This Row],[BB]],"")</f>
        <v/>
      </c>
      <c r="AA183" s="16" t="str">
        <f>IF(Table1[[#This Row],[Included?]],Table1[[#This Row],[OB]],"")</f>
        <v/>
      </c>
      <c r="AB183" s="14" t="str">
        <f>IF(Table1[[#This Row],[Included?]], (8*AA$185+Table1[[#This Row],[I OB]])/(8*X$185+Table1[[#This Row],[I PA]]), "")</f>
        <v/>
      </c>
    </row>
    <row r="185" spans="1:28" x14ac:dyDescent="0.25">
      <c r="A185" s="5" t="s">
        <v>347</v>
      </c>
      <c r="B185" s="1">
        <f>COUNTIF(Table1[Included?], "=TRUE")</f>
        <v>90</v>
      </c>
      <c r="C185" s="5" t="s">
        <v>182</v>
      </c>
      <c r="D185">
        <v>180</v>
      </c>
      <c r="F185" s="4" t="s">
        <v>177</v>
      </c>
      <c r="G185" s="1">
        <f>AVERAGE(Table1[g])</f>
        <v>5.895604395604396</v>
      </c>
      <c r="H185" s="1">
        <f>AVERAGE(Table1[R])</f>
        <v>2.6520054945054921</v>
      </c>
      <c r="I185" s="1">
        <f>AVERAGE(Table1[HR])</f>
        <v>0.65626923076923083</v>
      </c>
      <c r="J185" s="1">
        <f>AVERAGE(Table1[RBI])</f>
        <v>2.4565604395604392</v>
      </c>
      <c r="K185" s="1">
        <f>AVERAGE(Table1[SB])</f>
        <v>0.39170879120879126</v>
      </c>
      <c r="L185" s="1">
        <f>AVERAGE(Table1[OBP])</f>
        <v>0.32703038649473648</v>
      </c>
      <c r="M185" s="1">
        <f>AVERAGE(Table1[PA])</f>
        <v>24.372170329670329</v>
      </c>
      <c r="N185" s="1">
        <f>AVERAGE(Table1[H])</f>
        <v>5.8128681318681359</v>
      </c>
      <c r="O185" s="1">
        <f>AVERAGE(Table1[BB])</f>
        <v>1.9488241758241751</v>
      </c>
      <c r="P185" s="1">
        <f>AVERAGE(Table1[OB])</f>
        <v>7.9961671408097317</v>
      </c>
      <c r="Q185" s="1">
        <f>AVERAGE(Table1[Team OB])</f>
        <v>0.32807360745903164</v>
      </c>
      <c r="R185" s="1">
        <f>AVERAGE(Table1[I g])</f>
        <v>5.9666666666666668</v>
      </c>
      <c r="S185" s="1">
        <f>AVERAGE(Table1[I R])</f>
        <v>3.039755555555554</v>
      </c>
      <c r="T185" s="1">
        <f>AVERAGE(Table1[I HR])</f>
        <v>0.7702333333333331</v>
      </c>
      <c r="U185" s="1">
        <f>AVERAGE(Table1[I RBI])</f>
        <v>2.8393444444444449</v>
      </c>
      <c r="V185" s="1">
        <f>AVERAGE(Table1[I SB])</f>
        <v>0.50416666666666687</v>
      </c>
      <c r="W185" s="1">
        <f>AVERAGE(Table1[I OBP])</f>
        <v>0.34565563056896265</v>
      </c>
      <c r="X185" s="1">
        <f>AVERAGE(Table1[I PA])</f>
        <v>25.758633333333329</v>
      </c>
      <c r="Y185" s="1">
        <f>AVERAGE(Table1[I H])</f>
        <v>6.3339222222222249</v>
      </c>
      <c r="Z185" s="1">
        <f>AVERAGE(Table1[I BB])</f>
        <v>2.3221999999999987</v>
      </c>
      <c r="AA185" s="1">
        <f>AVERAGE(Table1[I OB])</f>
        <v>8.9034208591545649</v>
      </c>
      <c r="AB185" s="1">
        <f>AVERAGE(Table1[I Team OB])</f>
        <v>0.34564769096543729</v>
      </c>
    </row>
    <row r="186" spans="1:28" x14ac:dyDescent="0.25">
      <c r="C186" s="5" t="s">
        <v>178</v>
      </c>
      <c r="D186">
        <f>10*D185</f>
        <v>1800</v>
      </c>
      <c r="F186" s="4" t="s">
        <v>178</v>
      </c>
      <c r="G186" s="1">
        <f>SUM(Table1[g])</f>
        <v>1073</v>
      </c>
      <c r="H186" s="1">
        <f>SUM(Table1[R])</f>
        <v>482.66499999999957</v>
      </c>
      <c r="I186" s="1">
        <f>SUM(Table1[HR])</f>
        <v>119.44100000000002</v>
      </c>
      <c r="J186" s="1">
        <f>SUM(Table1[RBI])</f>
        <v>447.09399999999994</v>
      </c>
      <c r="K186" s="1">
        <f>SUM(Table1[SB])</f>
        <v>71.291000000000011</v>
      </c>
      <c r="L186" s="1">
        <f>SUM(Table1[OBP])</f>
        <v>59.519530342042039</v>
      </c>
      <c r="M186" s="1">
        <f>SUM(Table1[PA])</f>
        <v>4435.7349999999997</v>
      </c>
      <c r="N186" s="1">
        <f>SUM(Table1[H])</f>
        <v>1057.9420000000007</v>
      </c>
      <c r="O186" s="1">
        <f>SUM(Table1[BB])</f>
        <v>354.68599999999986</v>
      </c>
      <c r="P186" s="1">
        <f>SUM(Table1[OB])</f>
        <v>1455.3024196273711</v>
      </c>
      <c r="Q186" s="1">
        <f>SUM(Table1[Team OB])</f>
        <v>59.709396557543762</v>
      </c>
      <c r="R186" s="1">
        <f>SUM(Table1[I g])</f>
        <v>537</v>
      </c>
      <c r="S186" s="1">
        <f>SUM(Table1[I R])</f>
        <v>273.57799999999986</v>
      </c>
      <c r="T186" s="1">
        <f>SUM(Table1[I HR])</f>
        <v>69.320999999999984</v>
      </c>
      <c r="U186" s="1">
        <f>SUM(Table1[I RBI])</f>
        <v>255.54100000000005</v>
      </c>
      <c r="V186" s="1">
        <f>SUM(Table1[I SB])</f>
        <v>45.375000000000014</v>
      </c>
      <c r="W186" s="1">
        <f>SUM(Table1[I OBP])</f>
        <v>31.109006751206639</v>
      </c>
      <c r="X186" s="1">
        <f>SUM(Table1[I PA])</f>
        <v>2318.2769999999996</v>
      </c>
      <c r="Y186" s="1">
        <f>SUM(Table1[I H])</f>
        <v>570.05300000000022</v>
      </c>
      <c r="Z186" s="1">
        <f>SUM(Table1[I BB])</f>
        <v>208.99799999999988</v>
      </c>
      <c r="AA186" s="1">
        <f>SUM(Table1[I OB])</f>
        <v>801.30787732391082</v>
      </c>
      <c r="AB186" s="1">
        <f>SUM(Table1[I Team OB])</f>
        <v>31.108292186889354</v>
      </c>
    </row>
    <row r="187" spans="1:28" x14ac:dyDescent="0.25">
      <c r="A187" s="1"/>
      <c r="C187" s="5" t="s">
        <v>183</v>
      </c>
      <c r="D187">
        <v>5</v>
      </c>
      <c r="F187" s="4" t="s">
        <v>179</v>
      </c>
      <c r="G187" s="1">
        <f>MAX(Table1[g])</f>
        <v>7</v>
      </c>
      <c r="H187" s="1">
        <f>MAX(Table1[R])</f>
        <v>4.6129999999999995</v>
      </c>
      <c r="I187" s="1">
        <f>MAX(Table1[HR])</f>
        <v>1.5230000000000001</v>
      </c>
      <c r="J187" s="1">
        <f>MAX(Table1[RBI])</f>
        <v>4.4320000000000004</v>
      </c>
      <c r="K187" s="1">
        <f>MAX(Table1[SB])</f>
        <v>3.1880000000000006</v>
      </c>
      <c r="L187" s="1">
        <f>MAX(Table1[OBP])</f>
        <v>0.41841249951051424</v>
      </c>
      <c r="M187" s="1">
        <f>MAX(Table1[PA])</f>
        <v>33.351999999999997</v>
      </c>
      <c r="N187" s="1">
        <f>MAX(Table1[H])</f>
        <v>8.3239999999999998</v>
      </c>
      <c r="O187" s="1">
        <f>MAX(Table1[BB])</f>
        <v>5.149</v>
      </c>
      <c r="P187" s="1">
        <f>MAX(Table1[OB])</f>
        <v>12.900396021366728</v>
      </c>
      <c r="Q187" s="1">
        <f>MAX(Table1[Team OB])</f>
        <v>0.33854564618786537</v>
      </c>
      <c r="R187" s="1">
        <f>MAX(Table1[I g])</f>
        <v>7</v>
      </c>
      <c r="S187" s="1">
        <f>MAX(Table1[I R])</f>
        <v>4.6129999999999995</v>
      </c>
      <c r="T187" s="1">
        <f>MAX(Table1[I HR])</f>
        <v>1.5230000000000001</v>
      </c>
      <c r="U187" s="1">
        <f>MAX(Table1[I RBI])</f>
        <v>4.4320000000000004</v>
      </c>
      <c r="V187" s="1">
        <f>MAX(Table1[I SB])</f>
        <v>3.1880000000000006</v>
      </c>
      <c r="W187" s="1">
        <f>MAX(Table1[I OBP])</f>
        <v>0.41841249951051424</v>
      </c>
      <c r="X187" s="1">
        <f>MAX(Table1[I PA])</f>
        <v>33.351999999999997</v>
      </c>
      <c r="Y187" s="1">
        <f>MAX(Table1[I H])</f>
        <v>8.3239999999999998</v>
      </c>
      <c r="Z187" s="1">
        <f>MAX(Table1[I BB])</f>
        <v>5.149</v>
      </c>
      <c r="AA187" s="1">
        <f>MAX(Table1[I OB])</f>
        <v>12.900396021366728</v>
      </c>
      <c r="AB187" s="1">
        <f>MAX(Table1[I Team OB])</f>
        <v>0.35367051721992293</v>
      </c>
    </row>
    <row r="188" spans="1:28" x14ac:dyDescent="0.25">
      <c r="A188" s="1"/>
      <c r="C188" s="5" t="s">
        <v>184</v>
      </c>
      <c r="D188">
        <f>D186/D187</f>
        <v>360</v>
      </c>
      <c r="F188" s="4" t="s">
        <v>180</v>
      </c>
      <c r="G188" s="1">
        <f>MIN(Table1[g])</f>
        <v>5</v>
      </c>
      <c r="H188" s="1">
        <f>MIN(Table1[R])</f>
        <v>1.093</v>
      </c>
      <c r="I188" s="1">
        <f>MIN(Table1[HR])</f>
        <v>5.3999999999999999E-2</v>
      </c>
      <c r="J188" s="1">
        <f>MIN(Table1[RBI])</f>
        <v>0.94299999999999995</v>
      </c>
      <c r="K188" s="1">
        <f>MIN(Table1[SB])</f>
        <v>0</v>
      </c>
      <c r="L188" s="1">
        <f>MIN(Table1[OBP])</f>
        <v>0.25683549977588527</v>
      </c>
      <c r="M188" s="1">
        <f>MIN(Table1[PA])</f>
        <v>11.179</v>
      </c>
      <c r="N188" s="1">
        <f>MIN(Table1[H])</f>
        <v>2.2029999999999998</v>
      </c>
      <c r="O188" s="1">
        <f>MIN(Table1[BB])</f>
        <v>0.495</v>
      </c>
      <c r="P188" s="1">
        <f>MIN(Table1[OB])</f>
        <v>3.4389228704366501</v>
      </c>
      <c r="Q188" s="1">
        <f>MIN(Table1[Team OB])</f>
        <v>0.32077002705524926</v>
      </c>
      <c r="R188" s="1">
        <f>MIN(Table1[I g])</f>
        <v>5</v>
      </c>
      <c r="S188" s="1">
        <f>MIN(Table1[I R])</f>
        <v>1.8280000000000001</v>
      </c>
      <c r="T188" s="1">
        <f>MIN(Table1[I HR])</f>
        <v>5.3999999999999999E-2</v>
      </c>
      <c r="U188" s="1">
        <f>MIN(Table1[I RBI])</f>
        <v>1.66</v>
      </c>
      <c r="V188" s="1">
        <f>MIN(Table1[I SB])</f>
        <v>0</v>
      </c>
      <c r="W188" s="1">
        <f>MIN(Table1[I OBP])</f>
        <v>0.28402938901778807</v>
      </c>
      <c r="X188" s="1">
        <f>MIN(Table1[I PA])</f>
        <v>19.567</v>
      </c>
      <c r="Y188" s="1">
        <f>MIN(Table1[I H])</f>
        <v>3.8000000000000003</v>
      </c>
      <c r="Z188" s="1">
        <f>MIN(Table1[I BB])</f>
        <v>0.85199999999999998</v>
      </c>
      <c r="AA188" s="1">
        <f>MIN(Table1[I OB])</f>
        <v>6.7546816832382994</v>
      </c>
      <c r="AB188" s="1">
        <f>MIN(Table1[I Team OB])</f>
        <v>0.33877639516021202</v>
      </c>
    </row>
    <row r="189" spans="1:28" x14ac:dyDescent="0.25">
      <c r="A189" s="1"/>
      <c r="F189" s="4" t="s">
        <v>181</v>
      </c>
      <c r="G189" s="1">
        <f>_xlfn.STDEV.P(Table1[g])</f>
        <v>0.58842536903649367</v>
      </c>
      <c r="H189" s="1">
        <f>_xlfn.STDEV.P(Table1[R])</f>
        <v>0.68545823685715723</v>
      </c>
      <c r="I189" s="1">
        <f>_xlfn.STDEV.P(Table1[HR])</f>
        <v>0.32682767418579112</v>
      </c>
      <c r="J189" s="1">
        <f>_xlfn.STDEV.P(Table1[RBI])</f>
        <v>0.71143599881717701</v>
      </c>
      <c r="K189" s="1">
        <f>_xlfn.STDEV.P(Table1[SB])</f>
        <v>0.45510497259045701</v>
      </c>
      <c r="L189" s="1">
        <f>_xlfn.STDEV.P(Table1[OBP])</f>
        <v>2.8860531326000909E-2</v>
      </c>
      <c r="M189" s="1">
        <f>_xlfn.STDEV.P(Table1[PA])</f>
        <v>3.5073289903873914</v>
      </c>
      <c r="N189" s="1">
        <f>_xlfn.STDEV.P(Table1[H])</f>
        <v>1.1007436617961259</v>
      </c>
      <c r="O189" s="1">
        <f>_xlfn.STDEV.P(Table1[BB])</f>
        <v>0.80138720516511153</v>
      </c>
      <c r="P189" s="1">
        <f>_xlfn.STDEV.P(Table1[OB])</f>
        <v>1.4928688747202914</v>
      </c>
      <c r="Q189" s="1">
        <f>_xlfn.STDEV.P(Table1[Team OB])</f>
        <v>3.248768301289476E-3</v>
      </c>
      <c r="R189" s="1">
        <f>_xlfn.STDEV.P(Table1[I g])</f>
        <v>0.62271805640898015</v>
      </c>
      <c r="S189" s="1">
        <f>_xlfn.STDEV.P(Table1[I R])</f>
        <v>0.56213427243579672</v>
      </c>
      <c r="T189" s="1">
        <f>_xlfn.STDEV.P(Table1[I HR])</f>
        <v>0.3287983863842544</v>
      </c>
      <c r="U189" s="1">
        <f>_xlfn.STDEV.P(Table1[I RBI])</f>
        <v>0.68003792641147753</v>
      </c>
      <c r="V189" s="1">
        <f>_xlfn.STDEV.P(Table1[I SB])</f>
        <v>0.55994377197873857</v>
      </c>
      <c r="W189" s="1">
        <f>_xlfn.STDEV.P(Table1[I OBP])</f>
        <v>2.4168542493116431E-2</v>
      </c>
      <c r="X189" s="1">
        <f>_xlfn.STDEV.P(Table1[I PA])</f>
        <v>2.8922108631057415</v>
      </c>
      <c r="Y189" s="1">
        <f>_xlfn.STDEV.P(Table1[I H])</f>
        <v>0.93632695177339131</v>
      </c>
      <c r="Z189" s="1">
        <f>_xlfn.STDEV.P(Table1[I BB])</f>
        <v>0.83730321336485736</v>
      </c>
      <c r="AA189" s="1">
        <f>_xlfn.STDEV.P(Table1[I OB])</f>
        <v>1.196786100181253</v>
      </c>
      <c r="AB189" s="1">
        <f>_xlfn.STDEV.P(Table1[I Team OB])</f>
        <v>2.7719512919233656E-3</v>
      </c>
    </row>
    <row r="191" spans="1:28" x14ac:dyDescent="0.25">
      <c r="A191" s="5" t="s">
        <v>200</v>
      </c>
      <c r="B191">
        <v>1.0149999999999999</v>
      </c>
      <c r="C191">
        <v>3.15</v>
      </c>
      <c r="D191">
        <v>1</v>
      </c>
      <c r="E191">
        <v>3.2</v>
      </c>
      <c r="F191">
        <v>0.01</v>
      </c>
    </row>
    <row r="192" spans="1:28" x14ac:dyDescent="0.25">
      <c r="A192" s="5" t="s">
        <v>222</v>
      </c>
      <c r="B192" s="15">
        <v>0.9</v>
      </c>
      <c r="C192" s="15">
        <v>1</v>
      </c>
      <c r="D192" s="15">
        <v>1.2</v>
      </c>
      <c r="E192" s="15">
        <v>1</v>
      </c>
      <c r="F192" s="15">
        <v>1.2</v>
      </c>
    </row>
    <row r="193" spans="1:7" x14ac:dyDescent="0.25">
      <c r="A193" s="5" t="s">
        <v>337</v>
      </c>
      <c r="B193" s="15">
        <v>366</v>
      </c>
      <c r="C193" s="15">
        <v>420</v>
      </c>
      <c r="D193" s="15">
        <v>378</v>
      </c>
      <c r="E193" s="15">
        <v>270</v>
      </c>
      <c r="F193" s="15">
        <v>366</v>
      </c>
      <c r="G193" s="15"/>
    </row>
    <row r="194" spans="1:7" x14ac:dyDescent="0.25">
      <c r="B194" s="5"/>
      <c r="E194" s="4"/>
      <c r="F194" s="4"/>
    </row>
    <row r="195" spans="1:7" x14ac:dyDescent="0.25">
      <c r="A195" s="5" t="s">
        <v>227</v>
      </c>
      <c r="B195" s="22">
        <f>MIN(100, B185)</f>
        <v>90</v>
      </c>
      <c r="C195" t="str">
        <f>"1:" &amp; B195</f>
        <v>1:90</v>
      </c>
      <c r="E195" s="4"/>
      <c r="F195" s="4"/>
    </row>
    <row r="196" spans="1:7" x14ac:dyDescent="0.25">
      <c r="B196" s="5"/>
      <c r="E196" s="4"/>
      <c r="F196" s="4"/>
    </row>
    <row r="197" spans="1:7" x14ac:dyDescent="0.25">
      <c r="A197" s="45" t="s">
        <v>339</v>
      </c>
      <c r="B197" s="45"/>
      <c r="C197" s="16"/>
      <c r="D197" s="16"/>
      <c r="E197" s="16"/>
      <c r="F197" s="16"/>
      <c r="G197" s="16"/>
    </row>
    <row r="198" spans="1:7" x14ac:dyDescent="0.25">
      <c r="A198" s="21" t="s">
        <v>340</v>
      </c>
      <c r="B198">
        <f>COUNTIFS(Table1[Actual Pos], A198, Table1[Included?], "=True")</f>
        <v>9</v>
      </c>
    </row>
    <row r="199" spans="1:7" x14ac:dyDescent="0.25">
      <c r="A199" s="21" t="s">
        <v>341</v>
      </c>
      <c r="B199">
        <f>COUNTIFS(Table1[Actual Pos], A199, Table1[Included?], "=True")</f>
        <v>16</v>
      </c>
    </row>
    <row r="200" spans="1:7" x14ac:dyDescent="0.25">
      <c r="A200" s="21" t="s">
        <v>342</v>
      </c>
      <c r="B200">
        <f>COUNTIFS(Table1[Actual Pos], A200, Table1[Included?], "=True")</f>
        <v>9</v>
      </c>
    </row>
    <row r="201" spans="1:7" x14ac:dyDescent="0.25">
      <c r="A201" s="21" t="s">
        <v>343</v>
      </c>
      <c r="B201">
        <f>COUNTIFS(Table1[Actual Pos], A201, Table1[Included?], "=True")</f>
        <v>12</v>
      </c>
    </row>
    <row r="202" spans="1:7" x14ac:dyDescent="0.25">
      <c r="A202" s="21" t="s">
        <v>344</v>
      </c>
      <c r="B202">
        <f>COUNTIFS(Table1[Actual Pos], A202, Table1[Included?], "=True")</f>
        <v>10</v>
      </c>
    </row>
    <row r="203" spans="1:7" x14ac:dyDescent="0.25">
      <c r="A203" s="21" t="s">
        <v>345</v>
      </c>
      <c r="B203">
        <f>COUNTIFS(Table1[Actual Pos], A203, Table1[Included?], "=True")</f>
        <v>34</v>
      </c>
    </row>
    <row r="204" spans="1:7" x14ac:dyDescent="0.25">
      <c r="A204" s="21" t="s">
        <v>346</v>
      </c>
      <c r="B204">
        <f>COUNTIFS(Table1[Actual Pos], A204, Table1[Included?], "=True")</f>
        <v>0</v>
      </c>
    </row>
  </sheetData>
  <mergeCells count="1">
    <mergeCell ref="A197:B19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83"/>
  <sheetViews>
    <sheetView workbookViewId="0">
      <selection activeCell="D179" sqref="D179"/>
    </sheetView>
  </sheetViews>
  <sheetFormatPr defaultRowHeight="15" x14ac:dyDescent="0.25"/>
  <cols>
    <col min="1" max="1" width="14.5703125" style="1" bestFit="1" customWidth="1"/>
    <col min="2" max="2" width="13.5703125" style="1" bestFit="1" customWidth="1"/>
    <col min="3" max="16384" width="9.140625" style="1"/>
  </cols>
  <sheetData>
    <row r="1" spans="1:2" x14ac:dyDescent="0.25">
      <c r="A1" s="7" t="s">
        <v>185</v>
      </c>
      <c r="B1" s="7" t="s">
        <v>186</v>
      </c>
    </row>
    <row r="2" spans="1:2" x14ac:dyDescent="0.25">
      <c r="A2">
        <v>55.253106022799997</v>
      </c>
      <c r="B2" s="1">
        <f>IF(A2&gt;0, A2, "")</f>
        <v>55.253106022799997</v>
      </c>
    </row>
    <row r="3" spans="1:2" x14ac:dyDescent="0.25">
      <c r="A3">
        <v>45.977234667799998</v>
      </c>
      <c r="B3" s="1">
        <f t="shared" ref="B3:B66" si="0">IF(A3&gt;0, A3, "")</f>
        <v>45.977234667799998</v>
      </c>
    </row>
    <row r="4" spans="1:2" x14ac:dyDescent="0.25">
      <c r="A4">
        <v>29.191550756800002</v>
      </c>
      <c r="B4" s="1">
        <f t="shared" si="0"/>
        <v>29.191550756800002</v>
      </c>
    </row>
    <row r="5" spans="1:2" x14ac:dyDescent="0.25">
      <c r="A5">
        <v>58.847330779300002</v>
      </c>
      <c r="B5" s="1">
        <f t="shared" si="0"/>
        <v>58.847330779300002</v>
      </c>
    </row>
    <row r="6" spans="1:2" x14ac:dyDescent="0.25">
      <c r="A6">
        <v>32.318961210799998</v>
      </c>
      <c r="B6" s="1">
        <f t="shared" si="0"/>
        <v>32.318961210799998</v>
      </c>
    </row>
    <row r="7" spans="1:2" x14ac:dyDescent="0.25">
      <c r="A7">
        <v>52.5599420016</v>
      </c>
      <c r="B7" s="1">
        <f t="shared" si="0"/>
        <v>52.5599420016</v>
      </c>
    </row>
    <row r="8" spans="1:2" x14ac:dyDescent="0.25">
      <c r="A8">
        <v>43.844320936000003</v>
      </c>
      <c r="B8" s="1">
        <f t="shared" si="0"/>
        <v>43.844320936000003</v>
      </c>
    </row>
    <row r="9" spans="1:2" x14ac:dyDescent="0.25">
      <c r="A9">
        <v>48.394916426899997</v>
      </c>
      <c r="B9" s="1">
        <f t="shared" si="0"/>
        <v>48.394916426899997</v>
      </c>
    </row>
    <row r="10" spans="1:2" x14ac:dyDescent="0.25">
      <c r="A10">
        <v>14.553151633500001</v>
      </c>
      <c r="B10" s="1">
        <f t="shared" si="0"/>
        <v>14.553151633500001</v>
      </c>
    </row>
    <row r="11" spans="1:2" x14ac:dyDescent="0.25">
      <c r="A11">
        <v>34.756387403799998</v>
      </c>
      <c r="B11" s="1">
        <f t="shared" si="0"/>
        <v>34.756387403799998</v>
      </c>
    </row>
    <row r="12" spans="1:2" x14ac:dyDescent="0.25">
      <c r="A12">
        <v>29.331069871899999</v>
      </c>
      <c r="B12" s="1">
        <f t="shared" si="0"/>
        <v>29.331069871899999</v>
      </c>
    </row>
    <row r="13" spans="1:2" x14ac:dyDescent="0.25">
      <c r="A13">
        <v>29.274613415000001</v>
      </c>
      <c r="B13" s="1">
        <f t="shared" si="0"/>
        <v>29.274613415000001</v>
      </c>
    </row>
    <row r="14" spans="1:2" x14ac:dyDescent="0.25">
      <c r="A14">
        <v>43.269094571300002</v>
      </c>
      <c r="B14" s="1">
        <f t="shared" si="0"/>
        <v>43.269094571300002</v>
      </c>
    </row>
    <row r="15" spans="1:2" x14ac:dyDescent="0.25">
      <c r="A15">
        <v>30.9866983358</v>
      </c>
      <c r="B15" s="1">
        <f t="shared" si="0"/>
        <v>30.9866983358</v>
      </c>
    </row>
    <row r="16" spans="1:2" x14ac:dyDescent="0.25">
      <c r="A16">
        <v>18.4125686804</v>
      </c>
      <c r="B16" s="1">
        <f t="shared" si="0"/>
        <v>18.4125686804</v>
      </c>
    </row>
    <row r="17" spans="1:2" x14ac:dyDescent="0.25">
      <c r="A17">
        <v>26.837834517099999</v>
      </c>
      <c r="B17" s="1">
        <f t="shared" si="0"/>
        <v>26.837834517099999</v>
      </c>
    </row>
    <row r="18" spans="1:2" x14ac:dyDescent="0.25">
      <c r="A18">
        <v>7.49911244757</v>
      </c>
      <c r="B18" s="1">
        <f t="shared" si="0"/>
        <v>7.49911244757</v>
      </c>
    </row>
    <row r="19" spans="1:2" x14ac:dyDescent="0.25">
      <c r="A19">
        <v>29.625712402200001</v>
      </c>
      <c r="B19" s="1">
        <f t="shared" si="0"/>
        <v>29.625712402200001</v>
      </c>
    </row>
    <row r="20" spans="1:2" x14ac:dyDescent="0.25">
      <c r="A20">
        <v>21.761372802499999</v>
      </c>
      <c r="B20" s="1">
        <f t="shared" si="0"/>
        <v>21.761372802499999</v>
      </c>
    </row>
    <row r="21" spans="1:2" x14ac:dyDescent="0.25">
      <c r="A21">
        <v>32.3270771197</v>
      </c>
      <c r="B21" s="1">
        <f t="shared" si="0"/>
        <v>32.3270771197</v>
      </c>
    </row>
    <row r="22" spans="1:2" x14ac:dyDescent="0.25">
      <c r="A22">
        <v>28.761671345300002</v>
      </c>
      <c r="B22" s="1">
        <f t="shared" si="0"/>
        <v>28.761671345300002</v>
      </c>
    </row>
    <row r="23" spans="1:2" x14ac:dyDescent="0.25">
      <c r="A23">
        <v>9.0731389902200004</v>
      </c>
      <c r="B23" s="1">
        <f t="shared" si="0"/>
        <v>9.0731389902200004</v>
      </c>
    </row>
    <row r="24" spans="1:2" x14ac:dyDescent="0.25">
      <c r="A24">
        <v>22.994361670899998</v>
      </c>
      <c r="B24" s="1">
        <f t="shared" si="0"/>
        <v>22.994361670899998</v>
      </c>
    </row>
    <row r="25" spans="1:2" x14ac:dyDescent="0.25">
      <c r="A25">
        <v>6.1629655035099997</v>
      </c>
      <c r="B25" s="1">
        <f t="shared" si="0"/>
        <v>6.1629655035099997</v>
      </c>
    </row>
    <row r="26" spans="1:2" x14ac:dyDescent="0.25">
      <c r="A26">
        <v>18.044768832799999</v>
      </c>
      <c r="B26" s="1">
        <f t="shared" si="0"/>
        <v>18.044768832799999</v>
      </c>
    </row>
    <row r="27" spans="1:2" x14ac:dyDescent="0.25">
      <c r="A27">
        <v>19.978571278</v>
      </c>
      <c r="B27" s="1">
        <f t="shared" si="0"/>
        <v>19.978571278</v>
      </c>
    </row>
    <row r="28" spans="1:2" x14ac:dyDescent="0.25">
      <c r="A28">
        <v>27.3291055382</v>
      </c>
      <c r="B28" s="1">
        <f t="shared" si="0"/>
        <v>27.3291055382</v>
      </c>
    </row>
    <row r="29" spans="1:2" x14ac:dyDescent="0.25">
      <c r="A29">
        <v>19.385339352900001</v>
      </c>
      <c r="B29" s="1">
        <f t="shared" si="0"/>
        <v>19.385339352900001</v>
      </c>
    </row>
    <row r="30" spans="1:2" x14ac:dyDescent="0.25">
      <c r="A30">
        <v>19.0475476738</v>
      </c>
      <c r="B30" s="1">
        <f t="shared" si="0"/>
        <v>19.0475476738</v>
      </c>
    </row>
    <row r="31" spans="1:2" x14ac:dyDescent="0.25">
      <c r="A31">
        <v>5.6829931469400004</v>
      </c>
      <c r="B31" s="1">
        <f t="shared" si="0"/>
        <v>5.6829931469400004</v>
      </c>
    </row>
    <row r="32" spans="1:2" x14ac:dyDescent="0.25">
      <c r="A32">
        <v>20.9543986459</v>
      </c>
      <c r="B32" s="1">
        <f t="shared" si="0"/>
        <v>20.9543986459</v>
      </c>
    </row>
    <row r="33" spans="1:2" x14ac:dyDescent="0.25">
      <c r="A33">
        <v>10.8980104652</v>
      </c>
      <c r="B33" s="1">
        <f t="shared" si="0"/>
        <v>10.8980104652</v>
      </c>
    </row>
    <row r="34" spans="1:2" x14ac:dyDescent="0.25">
      <c r="A34">
        <v>12.557502725100001</v>
      </c>
      <c r="B34" s="1">
        <f t="shared" si="0"/>
        <v>12.557502725100001</v>
      </c>
    </row>
    <row r="35" spans="1:2" x14ac:dyDescent="0.25">
      <c r="A35">
        <v>24.738213874500001</v>
      </c>
      <c r="B35" s="1">
        <f t="shared" si="0"/>
        <v>24.738213874500001</v>
      </c>
    </row>
    <row r="36" spans="1:2" x14ac:dyDescent="0.25">
      <c r="A36">
        <v>-44.3552731491</v>
      </c>
      <c r="B36" s="1" t="str">
        <f t="shared" si="0"/>
        <v/>
      </c>
    </row>
    <row r="37" spans="1:2" x14ac:dyDescent="0.25">
      <c r="A37">
        <v>8.2801493104000006</v>
      </c>
      <c r="B37" s="1">
        <f t="shared" si="0"/>
        <v>8.2801493104000006</v>
      </c>
    </row>
    <row r="38" spans="1:2" x14ac:dyDescent="0.25">
      <c r="A38">
        <v>20.869569388799999</v>
      </c>
      <c r="B38" s="1">
        <f t="shared" si="0"/>
        <v>20.869569388799999</v>
      </c>
    </row>
    <row r="39" spans="1:2" x14ac:dyDescent="0.25">
      <c r="A39">
        <v>14.722320227599999</v>
      </c>
      <c r="B39" s="1">
        <f t="shared" si="0"/>
        <v>14.722320227599999</v>
      </c>
    </row>
    <row r="40" spans="1:2" x14ac:dyDescent="0.25">
      <c r="A40">
        <v>3.8162713831000001</v>
      </c>
      <c r="B40" s="1">
        <f t="shared" si="0"/>
        <v>3.8162713831000001</v>
      </c>
    </row>
    <row r="41" spans="1:2" x14ac:dyDescent="0.25">
      <c r="A41">
        <v>24.703998154200001</v>
      </c>
      <c r="B41" s="1">
        <f t="shared" si="0"/>
        <v>24.703998154200001</v>
      </c>
    </row>
    <row r="42" spans="1:2" x14ac:dyDescent="0.25">
      <c r="A42">
        <v>7.4233759937899997</v>
      </c>
      <c r="B42" s="1">
        <f t="shared" si="0"/>
        <v>7.4233759937899997</v>
      </c>
    </row>
    <row r="43" spans="1:2" x14ac:dyDescent="0.25">
      <c r="A43">
        <v>13.648476799999999</v>
      </c>
      <c r="B43" s="1">
        <f t="shared" si="0"/>
        <v>13.648476799999999</v>
      </c>
    </row>
    <row r="44" spans="1:2" x14ac:dyDescent="0.25">
      <c r="A44">
        <v>26.458659302499999</v>
      </c>
      <c r="B44" s="1">
        <f t="shared" si="0"/>
        <v>26.458659302499999</v>
      </c>
    </row>
    <row r="45" spans="1:2" x14ac:dyDescent="0.25">
      <c r="A45">
        <v>27.8632062834</v>
      </c>
      <c r="B45" s="1">
        <f t="shared" si="0"/>
        <v>27.8632062834</v>
      </c>
    </row>
    <row r="46" spans="1:2" x14ac:dyDescent="0.25">
      <c r="A46">
        <v>10.3809699665</v>
      </c>
      <c r="B46" s="1">
        <f t="shared" si="0"/>
        <v>10.3809699665</v>
      </c>
    </row>
    <row r="47" spans="1:2" x14ac:dyDescent="0.25">
      <c r="A47">
        <v>21.3854506618</v>
      </c>
      <c r="B47" s="1">
        <f t="shared" si="0"/>
        <v>21.3854506618</v>
      </c>
    </row>
    <row r="48" spans="1:2" x14ac:dyDescent="0.25">
      <c r="A48">
        <v>18.323775557899999</v>
      </c>
      <c r="B48" s="1">
        <f t="shared" si="0"/>
        <v>18.323775557899999</v>
      </c>
    </row>
    <row r="49" spans="1:2" x14ac:dyDescent="0.25">
      <c r="A49">
        <v>15.092529274</v>
      </c>
      <c r="B49" s="1">
        <f t="shared" si="0"/>
        <v>15.092529274</v>
      </c>
    </row>
    <row r="50" spans="1:2" x14ac:dyDescent="0.25">
      <c r="A50">
        <v>8.4055204516999993</v>
      </c>
      <c r="B50" s="1">
        <f t="shared" si="0"/>
        <v>8.4055204516999993</v>
      </c>
    </row>
    <row r="51" spans="1:2" x14ac:dyDescent="0.25">
      <c r="A51">
        <v>-44.3552731491</v>
      </c>
      <c r="B51" s="1" t="str">
        <f t="shared" si="0"/>
        <v/>
      </c>
    </row>
    <row r="52" spans="1:2" x14ac:dyDescent="0.25">
      <c r="A52">
        <v>-44.3552731491</v>
      </c>
      <c r="B52" s="1" t="str">
        <f t="shared" si="0"/>
        <v/>
      </c>
    </row>
    <row r="53" spans="1:2" x14ac:dyDescent="0.25">
      <c r="A53">
        <v>5.2563252655300001</v>
      </c>
      <c r="B53" s="1">
        <f t="shared" si="0"/>
        <v>5.2563252655300001</v>
      </c>
    </row>
    <row r="54" spans="1:2" x14ac:dyDescent="0.25">
      <c r="A54">
        <v>6.4353922886800001</v>
      </c>
      <c r="B54" s="1">
        <f t="shared" si="0"/>
        <v>6.4353922886800001</v>
      </c>
    </row>
    <row r="55" spans="1:2" x14ac:dyDescent="0.25">
      <c r="A55">
        <v>3.9734332610599998</v>
      </c>
      <c r="B55" s="1">
        <f t="shared" si="0"/>
        <v>3.9734332610599998</v>
      </c>
    </row>
    <row r="56" spans="1:2" x14ac:dyDescent="0.25">
      <c r="A56">
        <v>17.814898606700002</v>
      </c>
      <c r="B56" s="1">
        <f t="shared" si="0"/>
        <v>17.814898606700002</v>
      </c>
    </row>
    <row r="57" spans="1:2" x14ac:dyDescent="0.25">
      <c r="A57">
        <v>6.8432518331500001</v>
      </c>
      <c r="B57" s="1">
        <f t="shared" si="0"/>
        <v>6.8432518331500001</v>
      </c>
    </row>
    <row r="58" spans="1:2" x14ac:dyDescent="0.25">
      <c r="A58">
        <v>12.487998640800001</v>
      </c>
      <c r="B58" s="1">
        <f t="shared" si="0"/>
        <v>12.487998640800001</v>
      </c>
    </row>
    <row r="59" spans="1:2" x14ac:dyDescent="0.25">
      <c r="A59">
        <v>13.8714132482</v>
      </c>
      <c r="B59" s="1">
        <f t="shared" si="0"/>
        <v>13.8714132482</v>
      </c>
    </row>
    <row r="60" spans="1:2" x14ac:dyDescent="0.25">
      <c r="A60">
        <v>32.591935291299997</v>
      </c>
      <c r="B60" s="1">
        <f t="shared" si="0"/>
        <v>32.591935291299997</v>
      </c>
    </row>
    <row r="61" spans="1:2" x14ac:dyDescent="0.25">
      <c r="A61">
        <v>11.683253932</v>
      </c>
      <c r="B61" s="1">
        <f t="shared" si="0"/>
        <v>11.683253932</v>
      </c>
    </row>
    <row r="62" spans="1:2" x14ac:dyDescent="0.25">
      <c r="A62">
        <v>7.1986862686200004</v>
      </c>
      <c r="B62" s="1">
        <f t="shared" si="0"/>
        <v>7.1986862686200004</v>
      </c>
    </row>
    <row r="63" spans="1:2" x14ac:dyDescent="0.25">
      <c r="A63">
        <v>-44.3552731491</v>
      </c>
      <c r="B63" s="1" t="str">
        <f t="shared" si="0"/>
        <v/>
      </c>
    </row>
    <row r="64" spans="1:2" x14ac:dyDescent="0.25">
      <c r="A64">
        <v>12.0970323966</v>
      </c>
      <c r="B64" s="1">
        <f t="shared" si="0"/>
        <v>12.0970323966</v>
      </c>
    </row>
    <row r="65" spans="1:2" x14ac:dyDescent="0.25">
      <c r="A65">
        <v>-44.3552731491</v>
      </c>
      <c r="B65" s="1" t="str">
        <f t="shared" si="0"/>
        <v/>
      </c>
    </row>
    <row r="66" spans="1:2" x14ac:dyDescent="0.25">
      <c r="A66">
        <v>-44.3552731491</v>
      </c>
      <c r="B66" s="1" t="str">
        <f t="shared" si="0"/>
        <v/>
      </c>
    </row>
    <row r="67" spans="1:2" x14ac:dyDescent="0.25">
      <c r="A67">
        <v>-44.3552731491</v>
      </c>
      <c r="B67" s="1" t="str">
        <f t="shared" ref="B67:B130" si="1">IF(A67&gt;0, A67, "")</f>
        <v/>
      </c>
    </row>
    <row r="68" spans="1:2" x14ac:dyDescent="0.25">
      <c r="A68">
        <v>25.531974104700002</v>
      </c>
      <c r="B68" s="1">
        <f t="shared" si="1"/>
        <v>25.531974104700002</v>
      </c>
    </row>
    <row r="69" spans="1:2" x14ac:dyDescent="0.25">
      <c r="A69">
        <v>-44.3552731491</v>
      </c>
      <c r="B69" s="1" t="str">
        <f t="shared" si="1"/>
        <v/>
      </c>
    </row>
    <row r="70" spans="1:2" x14ac:dyDescent="0.25">
      <c r="A70">
        <v>-44.3552731491</v>
      </c>
      <c r="B70" s="1" t="str">
        <f t="shared" si="1"/>
        <v/>
      </c>
    </row>
    <row r="71" spans="1:2" x14ac:dyDescent="0.25">
      <c r="A71">
        <v>24.5968274158</v>
      </c>
      <c r="B71" s="1">
        <f t="shared" si="1"/>
        <v>24.5968274158</v>
      </c>
    </row>
    <row r="72" spans="1:2" x14ac:dyDescent="0.25">
      <c r="A72">
        <v>-44.3552731491</v>
      </c>
      <c r="B72" s="1" t="str">
        <f t="shared" si="1"/>
        <v/>
      </c>
    </row>
    <row r="73" spans="1:2" x14ac:dyDescent="0.25">
      <c r="A73">
        <v>7.8634436567200003</v>
      </c>
      <c r="B73" s="1">
        <f t="shared" si="1"/>
        <v>7.8634436567200003</v>
      </c>
    </row>
    <row r="74" spans="1:2" x14ac:dyDescent="0.25">
      <c r="A74">
        <v>-44.3552731491</v>
      </c>
      <c r="B74" s="1" t="str">
        <f t="shared" si="1"/>
        <v/>
      </c>
    </row>
    <row r="75" spans="1:2" x14ac:dyDescent="0.25">
      <c r="A75">
        <v>8.3100506975399995</v>
      </c>
      <c r="B75" s="1">
        <f t="shared" si="1"/>
        <v>8.3100506975399995</v>
      </c>
    </row>
    <row r="76" spans="1:2" x14ac:dyDescent="0.25">
      <c r="A76">
        <v>21.439168734500001</v>
      </c>
      <c r="B76" s="1">
        <f t="shared" si="1"/>
        <v>21.439168734500001</v>
      </c>
    </row>
    <row r="77" spans="1:2" x14ac:dyDescent="0.25">
      <c r="A77">
        <v>9.5927393158199994</v>
      </c>
      <c r="B77" s="1">
        <f t="shared" si="1"/>
        <v>9.5927393158199994</v>
      </c>
    </row>
    <row r="78" spans="1:2" x14ac:dyDescent="0.25">
      <c r="A78">
        <v>5.6718439907200002</v>
      </c>
      <c r="B78" s="1">
        <f t="shared" si="1"/>
        <v>5.6718439907200002</v>
      </c>
    </row>
    <row r="79" spans="1:2" x14ac:dyDescent="0.25">
      <c r="A79">
        <v>25.9659664564</v>
      </c>
      <c r="B79" s="1">
        <f t="shared" si="1"/>
        <v>25.9659664564</v>
      </c>
    </row>
    <row r="80" spans="1:2" x14ac:dyDescent="0.25">
      <c r="A80">
        <v>12.9404436618</v>
      </c>
      <c r="B80" s="1">
        <f t="shared" si="1"/>
        <v>12.9404436618</v>
      </c>
    </row>
    <row r="81" spans="1:2" x14ac:dyDescent="0.25">
      <c r="A81">
        <v>15.8585508934</v>
      </c>
      <c r="B81" s="1">
        <f t="shared" si="1"/>
        <v>15.8585508934</v>
      </c>
    </row>
    <row r="82" spans="1:2" x14ac:dyDescent="0.25">
      <c r="A82">
        <v>-44.3552731491</v>
      </c>
      <c r="B82" s="1" t="str">
        <f t="shared" si="1"/>
        <v/>
      </c>
    </row>
    <row r="83" spans="1:2" x14ac:dyDescent="0.25">
      <c r="A83">
        <v>-44.3552731491</v>
      </c>
      <c r="B83" s="1" t="str">
        <f t="shared" si="1"/>
        <v/>
      </c>
    </row>
    <row r="84" spans="1:2" x14ac:dyDescent="0.25">
      <c r="A84">
        <v>11.475397020699999</v>
      </c>
      <c r="B84" s="1">
        <f t="shared" si="1"/>
        <v>11.475397020699999</v>
      </c>
    </row>
    <row r="85" spans="1:2" x14ac:dyDescent="0.25">
      <c r="A85">
        <v>15.964773488700001</v>
      </c>
      <c r="B85" s="1">
        <f t="shared" si="1"/>
        <v>15.964773488700001</v>
      </c>
    </row>
    <row r="86" spans="1:2" x14ac:dyDescent="0.25">
      <c r="A86">
        <v>21.322570544600001</v>
      </c>
      <c r="B86" s="1">
        <f t="shared" si="1"/>
        <v>21.322570544600001</v>
      </c>
    </row>
    <row r="87" spans="1:2" x14ac:dyDescent="0.25">
      <c r="A87">
        <v>13.5111400691</v>
      </c>
      <c r="B87" s="1">
        <f t="shared" si="1"/>
        <v>13.5111400691</v>
      </c>
    </row>
    <row r="88" spans="1:2" x14ac:dyDescent="0.25">
      <c r="A88">
        <v>-44.3552731491</v>
      </c>
      <c r="B88" s="1" t="str">
        <f t="shared" si="1"/>
        <v/>
      </c>
    </row>
    <row r="89" spans="1:2" x14ac:dyDescent="0.25">
      <c r="A89">
        <v>-44.3552731491</v>
      </c>
      <c r="B89" s="1" t="str">
        <f t="shared" si="1"/>
        <v/>
      </c>
    </row>
    <row r="90" spans="1:2" x14ac:dyDescent="0.25">
      <c r="A90">
        <v>20.352211659799998</v>
      </c>
      <c r="B90" s="1">
        <f t="shared" si="1"/>
        <v>20.352211659799998</v>
      </c>
    </row>
    <row r="91" spans="1:2" x14ac:dyDescent="0.25">
      <c r="A91">
        <v>12.253926980899999</v>
      </c>
      <c r="B91" s="1">
        <f t="shared" si="1"/>
        <v>12.253926980899999</v>
      </c>
    </row>
    <row r="92" spans="1:2" x14ac:dyDescent="0.25">
      <c r="A92">
        <v>-44.3552731491</v>
      </c>
      <c r="B92" s="1" t="str">
        <f t="shared" si="1"/>
        <v/>
      </c>
    </row>
    <row r="93" spans="1:2" x14ac:dyDescent="0.25">
      <c r="A93">
        <v>-44.3552731491</v>
      </c>
      <c r="B93" s="1" t="str">
        <f t="shared" si="1"/>
        <v/>
      </c>
    </row>
    <row r="94" spans="1:2" x14ac:dyDescent="0.25">
      <c r="A94">
        <v>4.9647476887000002</v>
      </c>
      <c r="B94" s="1">
        <f t="shared" si="1"/>
        <v>4.9647476887000002</v>
      </c>
    </row>
    <row r="95" spans="1:2" x14ac:dyDescent="0.25">
      <c r="A95">
        <v>-44.3552731491</v>
      </c>
      <c r="B95" s="1" t="str">
        <f t="shared" si="1"/>
        <v/>
      </c>
    </row>
    <row r="96" spans="1:2" x14ac:dyDescent="0.25">
      <c r="A96">
        <v>19.572404730700001</v>
      </c>
      <c r="B96" s="1">
        <f t="shared" si="1"/>
        <v>19.572404730700001</v>
      </c>
    </row>
    <row r="97" spans="1:2" x14ac:dyDescent="0.25">
      <c r="A97">
        <v>8.2836409441600001</v>
      </c>
      <c r="B97" s="1">
        <f t="shared" si="1"/>
        <v>8.2836409441600001</v>
      </c>
    </row>
    <row r="98" spans="1:2" x14ac:dyDescent="0.25">
      <c r="A98">
        <v>6.9547395781599999</v>
      </c>
      <c r="B98" s="1">
        <f t="shared" si="1"/>
        <v>6.9547395781599999</v>
      </c>
    </row>
    <row r="99" spans="1:2" x14ac:dyDescent="0.25">
      <c r="A99">
        <v>-44.3552731491</v>
      </c>
      <c r="B99" s="1" t="str">
        <f t="shared" si="1"/>
        <v/>
      </c>
    </row>
    <row r="100" spans="1:2" x14ac:dyDescent="0.25">
      <c r="A100">
        <v>24.6738431512</v>
      </c>
      <c r="B100" s="1">
        <f t="shared" si="1"/>
        <v>24.6738431512</v>
      </c>
    </row>
    <row r="101" spans="1:2" x14ac:dyDescent="0.25">
      <c r="A101">
        <v>-44.3552731491</v>
      </c>
      <c r="B101" s="1" t="str">
        <f t="shared" si="1"/>
        <v/>
      </c>
    </row>
    <row r="102" spans="1:2" x14ac:dyDescent="0.25">
      <c r="A102">
        <v>4.6280377537400001</v>
      </c>
      <c r="B102" s="1">
        <f t="shared" si="1"/>
        <v>4.6280377537400001</v>
      </c>
    </row>
    <row r="103" spans="1:2" x14ac:dyDescent="0.25">
      <c r="A103">
        <v>16.929256319699999</v>
      </c>
      <c r="B103" s="1">
        <f t="shared" si="1"/>
        <v>16.929256319699999</v>
      </c>
    </row>
    <row r="104" spans="1:2" x14ac:dyDescent="0.25">
      <c r="A104">
        <v>-44.3552731491</v>
      </c>
      <c r="B104" s="1" t="str">
        <f t="shared" si="1"/>
        <v/>
      </c>
    </row>
    <row r="105" spans="1:2" x14ac:dyDescent="0.25">
      <c r="A105">
        <v>-44.3552731491</v>
      </c>
      <c r="B105" s="1" t="str">
        <f t="shared" si="1"/>
        <v/>
      </c>
    </row>
    <row r="106" spans="1:2" x14ac:dyDescent="0.25">
      <c r="A106">
        <v>-44.3552731491</v>
      </c>
      <c r="B106" s="1" t="str">
        <f t="shared" si="1"/>
        <v/>
      </c>
    </row>
    <row r="107" spans="1:2" x14ac:dyDescent="0.25">
      <c r="A107">
        <v>-44.3552731491</v>
      </c>
      <c r="B107" s="1" t="str">
        <f t="shared" si="1"/>
        <v/>
      </c>
    </row>
    <row r="108" spans="1:2" x14ac:dyDescent="0.25">
      <c r="A108">
        <v>7.0643521548899999</v>
      </c>
      <c r="B108" s="1">
        <f t="shared" si="1"/>
        <v>7.0643521548899999</v>
      </c>
    </row>
    <row r="109" spans="1:2" x14ac:dyDescent="0.25">
      <c r="A109">
        <v>8.6777028879899998</v>
      </c>
      <c r="B109" s="1">
        <f t="shared" si="1"/>
        <v>8.6777028879899998</v>
      </c>
    </row>
    <row r="110" spans="1:2" x14ac:dyDescent="0.25">
      <c r="A110">
        <v>-44.3552731491</v>
      </c>
      <c r="B110" s="1" t="str">
        <f t="shared" si="1"/>
        <v/>
      </c>
    </row>
    <row r="111" spans="1:2" x14ac:dyDescent="0.25">
      <c r="A111">
        <v>-44.3552731491</v>
      </c>
      <c r="B111" s="1" t="str">
        <f t="shared" si="1"/>
        <v/>
      </c>
    </row>
    <row r="112" spans="1:2" x14ac:dyDescent="0.25">
      <c r="A112">
        <v>-44.3552731491</v>
      </c>
      <c r="B112" s="1" t="str">
        <f t="shared" si="1"/>
        <v/>
      </c>
    </row>
    <row r="113" spans="1:2" x14ac:dyDescent="0.25">
      <c r="A113">
        <v>-44.3552731491</v>
      </c>
      <c r="B113" s="1" t="str">
        <f t="shared" si="1"/>
        <v/>
      </c>
    </row>
    <row r="114" spans="1:2" x14ac:dyDescent="0.25">
      <c r="A114">
        <v>-44.3552731491</v>
      </c>
      <c r="B114" s="1" t="str">
        <f t="shared" si="1"/>
        <v/>
      </c>
    </row>
    <row r="115" spans="1:2" x14ac:dyDescent="0.25">
      <c r="A115">
        <v>-44.3552731491</v>
      </c>
      <c r="B115" s="1" t="str">
        <f t="shared" si="1"/>
        <v/>
      </c>
    </row>
    <row r="116" spans="1:2" x14ac:dyDescent="0.25">
      <c r="A116">
        <v>-44.3552731491</v>
      </c>
      <c r="B116" s="1" t="str">
        <f t="shared" si="1"/>
        <v/>
      </c>
    </row>
    <row r="117" spans="1:2" x14ac:dyDescent="0.25">
      <c r="A117">
        <v>17.294755621099998</v>
      </c>
      <c r="B117" s="1">
        <f t="shared" si="1"/>
        <v>17.294755621099998</v>
      </c>
    </row>
    <row r="118" spans="1:2" x14ac:dyDescent="0.25">
      <c r="A118">
        <v>10.457397069600001</v>
      </c>
      <c r="B118" s="1">
        <f t="shared" si="1"/>
        <v>10.457397069600001</v>
      </c>
    </row>
    <row r="119" spans="1:2" x14ac:dyDescent="0.25">
      <c r="A119">
        <v>12.8827507339</v>
      </c>
      <c r="B119" s="1">
        <f t="shared" si="1"/>
        <v>12.8827507339</v>
      </c>
    </row>
    <row r="120" spans="1:2" x14ac:dyDescent="0.25">
      <c r="A120">
        <v>2.83010759683</v>
      </c>
      <c r="B120" s="1">
        <f t="shared" si="1"/>
        <v>2.83010759683</v>
      </c>
    </row>
    <row r="121" spans="1:2" x14ac:dyDescent="0.25">
      <c r="A121">
        <v>14.044320125600001</v>
      </c>
      <c r="B121" s="1">
        <f t="shared" si="1"/>
        <v>14.044320125600001</v>
      </c>
    </row>
    <row r="122" spans="1:2" x14ac:dyDescent="0.25">
      <c r="A122">
        <v>3.5706054815199999</v>
      </c>
      <c r="B122" s="1">
        <f t="shared" si="1"/>
        <v>3.5706054815199999</v>
      </c>
    </row>
    <row r="123" spans="1:2" x14ac:dyDescent="0.25">
      <c r="A123">
        <v>12.733132487500001</v>
      </c>
      <c r="B123" s="1">
        <f t="shared" si="1"/>
        <v>12.733132487500001</v>
      </c>
    </row>
    <row r="124" spans="1:2" x14ac:dyDescent="0.25">
      <c r="A124">
        <v>-44.3552731491</v>
      </c>
      <c r="B124" s="1" t="str">
        <f t="shared" si="1"/>
        <v/>
      </c>
    </row>
    <row r="125" spans="1:2" x14ac:dyDescent="0.25">
      <c r="A125">
        <v>6.5071134689000001</v>
      </c>
      <c r="B125" s="1">
        <f t="shared" si="1"/>
        <v>6.5071134689000001</v>
      </c>
    </row>
    <row r="126" spans="1:2" x14ac:dyDescent="0.25">
      <c r="A126">
        <v>-44.3552731491</v>
      </c>
      <c r="B126" s="1" t="str">
        <f t="shared" si="1"/>
        <v/>
      </c>
    </row>
    <row r="127" spans="1:2" x14ac:dyDescent="0.25">
      <c r="A127">
        <v>-44.3552731491</v>
      </c>
      <c r="B127" s="1" t="str">
        <f t="shared" si="1"/>
        <v/>
      </c>
    </row>
    <row r="128" spans="1:2" x14ac:dyDescent="0.25">
      <c r="A128">
        <v>-44.3552731491</v>
      </c>
      <c r="B128" s="1" t="str">
        <f t="shared" si="1"/>
        <v/>
      </c>
    </row>
    <row r="129" spans="1:2" x14ac:dyDescent="0.25">
      <c r="A129">
        <v>11.878925192600001</v>
      </c>
      <c r="B129" s="1">
        <f t="shared" si="1"/>
        <v>11.878925192600001</v>
      </c>
    </row>
    <row r="130" spans="1:2" x14ac:dyDescent="0.25">
      <c r="A130">
        <v>-44.3552731491</v>
      </c>
      <c r="B130" s="1" t="str">
        <f t="shared" si="1"/>
        <v/>
      </c>
    </row>
    <row r="131" spans="1:2" x14ac:dyDescent="0.25">
      <c r="A131">
        <v>-44.3552731491</v>
      </c>
      <c r="B131" s="1" t="str">
        <f t="shared" ref="B131:B183" si="2">IF(A131&gt;0, A131, "")</f>
        <v/>
      </c>
    </row>
    <row r="132" spans="1:2" x14ac:dyDescent="0.25">
      <c r="A132">
        <v>-44.3552731491</v>
      </c>
      <c r="B132" s="1" t="str">
        <f t="shared" si="2"/>
        <v/>
      </c>
    </row>
    <row r="133" spans="1:2" x14ac:dyDescent="0.25">
      <c r="A133">
        <v>-44.3552731491</v>
      </c>
      <c r="B133" s="1" t="str">
        <f t="shared" si="2"/>
        <v/>
      </c>
    </row>
    <row r="134" spans="1:2" x14ac:dyDescent="0.25">
      <c r="A134">
        <v>12.1853663261</v>
      </c>
      <c r="B134" s="1">
        <f t="shared" si="2"/>
        <v>12.1853663261</v>
      </c>
    </row>
    <row r="135" spans="1:2" x14ac:dyDescent="0.25">
      <c r="A135">
        <v>17.293544367599999</v>
      </c>
      <c r="B135" s="1">
        <f t="shared" si="2"/>
        <v>17.293544367599999</v>
      </c>
    </row>
    <row r="136" spans="1:2" x14ac:dyDescent="0.25">
      <c r="A136">
        <v>-44.3552731491</v>
      </c>
      <c r="B136" s="1" t="str">
        <f t="shared" si="2"/>
        <v/>
      </c>
    </row>
    <row r="137" spans="1:2" x14ac:dyDescent="0.25">
      <c r="A137">
        <v>-44.3552731491</v>
      </c>
      <c r="B137" s="1" t="str">
        <f t="shared" si="2"/>
        <v/>
      </c>
    </row>
    <row r="138" spans="1:2" x14ac:dyDescent="0.25">
      <c r="A138">
        <v>7.6906099643200001</v>
      </c>
      <c r="B138" s="1">
        <f t="shared" si="2"/>
        <v>7.6906099643200001</v>
      </c>
    </row>
    <row r="139" spans="1:2" x14ac:dyDescent="0.25">
      <c r="A139">
        <v>-44.3552731491</v>
      </c>
      <c r="B139" s="1" t="str">
        <f t="shared" si="2"/>
        <v/>
      </c>
    </row>
    <row r="140" spans="1:2" x14ac:dyDescent="0.25">
      <c r="A140">
        <v>16.302412123500002</v>
      </c>
      <c r="B140" s="1">
        <f t="shared" si="2"/>
        <v>16.302412123500002</v>
      </c>
    </row>
    <row r="141" spans="1:2" x14ac:dyDescent="0.25">
      <c r="A141">
        <v>9.3090334435600006</v>
      </c>
      <c r="B141" s="1">
        <f t="shared" si="2"/>
        <v>9.3090334435600006</v>
      </c>
    </row>
    <row r="142" spans="1:2" x14ac:dyDescent="0.25">
      <c r="A142">
        <v>-44.3552731491</v>
      </c>
      <c r="B142" s="1" t="str">
        <f t="shared" si="2"/>
        <v/>
      </c>
    </row>
    <row r="143" spans="1:2" x14ac:dyDescent="0.25">
      <c r="A143">
        <v>-44.3552731491</v>
      </c>
      <c r="B143" s="1" t="str">
        <f t="shared" si="2"/>
        <v/>
      </c>
    </row>
    <row r="144" spans="1:2" x14ac:dyDescent="0.25">
      <c r="A144">
        <v>-44.3552731491</v>
      </c>
      <c r="B144" s="1" t="str">
        <f t="shared" si="2"/>
        <v/>
      </c>
    </row>
    <row r="145" spans="1:2" x14ac:dyDescent="0.25">
      <c r="A145">
        <v>-44.3552731491</v>
      </c>
      <c r="B145" s="1" t="str">
        <f t="shared" si="2"/>
        <v/>
      </c>
    </row>
    <row r="146" spans="1:2" x14ac:dyDescent="0.25">
      <c r="A146">
        <v>-44.3552731491</v>
      </c>
      <c r="B146" s="1" t="str">
        <f t="shared" si="2"/>
        <v/>
      </c>
    </row>
    <row r="147" spans="1:2" x14ac:dyDescent="0.25">
      <c r="A147">
        <v>-44.3552731491</v>
      </c>
      <c r="B147" s="1" t="str">
        <f t="shared" si="2"/>
        <v/>
      </c>
    </row>
    <row r="148" spans="1:2" x14ac:dyDescent="0.25">
      <c r="A148">
        <v>-44.3552731491</v>
      </c>
      <c r="B148" s="1" t="str">
        <f t="shared" si="2"/>
        <v/>
      </c>
    </row>
    <row r="149" spans="1:2" x14ac:dyDescent="0.25">
      <c r="A149">
        <v>-44.3552731491</v>
      </c>
      <c r="B149" s="1" t="str">
        <f t="shared" si="2"/>
        <v/>
      </c>
    </row>
    <row r="150" spans="1:2" x14ac:dyDescent="0.25">
      <c r="A150">
        <v>-44.3552731491</v>
      </c>
      <c r="B150" s="1" t="str">
        <f t="shared" si="2"/>
        <v/>
      </c>
    </row>
    <row r="151" spans="1:2" x14ac:dyDescent="0.25">
      <c r="A151">
        <v>-44.3552731491</v>
      </c>
      <c r="B151" s="1" t="str">
        <f t="shared" si="2"/>
        <v/>
      </c>
    </row>
    <row r="152" spans="1:2" x14ac:dyDescent="0.25">
      <c r="A152">
        <v>-44.3552731491</v>
      </c>
      <c r="B152" s="1" t="str">
        <f t="shared" si="2"/>
        <v/>
      </c>
    </row>
    <row r="153" spans="1:2" x14ac:dyDescent="0.25">
      <c r="A153">
        <v>-44.3552731491</v>
      </c>
      <c r="B153" s="1" t="str">
        <f t="shared" si="2"/>
        <v/>
      </c>
    </row>
    <row r="154" spans="1:2" x14ac:dyDescent="0.25">
      <c r="A154">
        <v>-44.3552731491</v>
      </c>
      <c r="B154" s="1" t="str">
        <f t="shared" si="2"/>
        <v/>
      </c>
    </row>
    <row r="155" spans="1:2" x14ac:dyDescent="0.25">
      <c r="A155">
        <v>-44.3552731491</v>
      </c>
      <c r="B155" s="1" t="str">
        <f t="shared" si="2"/>
        <v/>
      </c>
    </row>
    <row r="156" spans="1:2" x14ac:dyDescent="0.25">
      <c r="A156">
        <v>-44.3552731491</v>
      </c>
      <c r="B156" s="1" t="str">
        <f t="shared" si="2"/>
        <v/>
      </c>
    </row>
    <row r="157" spans="1:2" x14ac:dyDescent="0.25">
      <c r="A157">
        <v>-44.3552731491</v>
      </c>
      <c r="B157" s="1" t="str">
        <f t="shared" si="2"/>
        <v/>
      </c>
    </row>
    <row r="158" spans="1:2" x14ac:dyDescent="0.25">
      <c r="A158">
        <v>-44.3552731491</v>
      </c>
      <c r="B158" s="1" t="str">
        <f t="shared" si="2"/>
        <v/>
      </c>
    </row>
    <row r="159" spans="1:2" x14ac:dyDescent="0.25">
      <c r="A159">
        <v>1</v>
      </c>
      <c r="B159" s="1">
        <f t="shared" si="2"/>
        <v>1</v>
      </c>
    </row>
    <row r="160" spans="1:2" x14ac:dyDescent="0.25">
      <c r="A160">
        <v>-44.3552731491</v>
      </c>
      <c r="B160" s="1" t="str">
        <f t="shared" si="2"/>
        <v/>
      </c>
    </row>
    <row r="161" spans="1:2" x14ac:dyDescent="0.25">
      <c r="A161">
        <v>-44.3552731491</v>
      </c>
      <c r="B161" s="1" t="str">
        <f t="shared" si="2"/>
        <v/>
      </c>
    </row>
    <row r="162" spans="1:2" x14ac:dyDescent="0.25">
      <c r="A162">
        <v>-44.3552731491</v>
      </c>
      <c r="B162" s="1" t="str">
        <f t="shared" si="2"/>
        <v/>
      </c>
    </row>
    <row r="163" spans="1:2" x14ac:dyDescent="0.25">
      <c r="A163">
        <v>-44.3552731491</v>
      </c>
      <c r="B163" s="1" t="str">
        <f t="shared" si="2"/>
        <v/>
      </c>
    </row>
    <row r="164" spans="1:2" x14ac:dyDescent="0.25">
      <c r="A164">
        <v>-44.3552731491</v>
      </c>
      <c r="B164" s="1" t="str">
        <f t="shared" si="2"/>
        <v/>
      </c>
    </row>
    <row r="165" spans="1:2" x14ac:dyDescent="0.25">
      <c r="A165">
        <v>-44.3552731491</v>
      </c>
      <c r="B165" s="1" t="str">
        <f t="shared" si="2"/>
        <v/>
      </c>
    </row>
    <row r="166" spans="1:2" x14ac:dyDescent="0.25">
      <c r="A166">
        <v>-44.3552731491</v>
      </c>
      <c r="B166" s="1" t="str">
        <f t="shared" si="2"/>
        <v/>
      </c>
    </row>
    <row r="167" spans="1:2" x14ac:dyDescent="0.25">
      <c r="A167">
        <v>-44.3552731491</v>
      </c>
      <c r="B167" s="1" t="str">
        <f t="shared" si="2"/>
        <v/>
      </c>
    </row>
    <row r="168" spans="1:2" x14ac:dyDescent="0.25">
      <c r="A168">
        <v>-44.3552731491</v>
      </c>
      <c r="B168" s="1" t="str">
        <f t="shared" si="2"/>
        <v/>
      </c>
    </row>
    <row r="169" spans="1:2" x14ac:dyDescent="0.25">
      <c r="A169">
        <v>-44.3552731491</v>
      </c>
      <c r="B169" s="1" t="str">
        <f t="shared" si="2"/>
        <v/>
      </c>
    </row>
    <row r="170" spans="1:2" x14ac:dyDescent="0.25">
      <c r="A170">
        <v>-44.3552731491</v>
      </c>
      <c r="B170" s="1" t="str">
        <f t="shared" si="2"/>
        <v/>
      </c>
    </row>
    <row r="171" spans="1:2" x14ac:dyDescent="0.25">
      <c r="A171">
        <v>-44.3552731491</v>
      </c>
      <c r="B171" s="1" t="str">
        <f t="shared" si="2"/>
        <v/>
      </c>
    </row>
    <row r="172" spans="1:2" x14ac:dyDescent="0.25">
      <c r="A172">
        <v>-44.3552731491</v>
      </c>
      <c r="B172" s="1" t="str">
        <f t="shared" si="2"/>
        <v/>
      </c>
    </row>
    <row r="173" spans="1:2" x14ac:dyDescent="0.25">
      <c r="A173">
        <v>-44.3552731491</v>
      </c>
      <c r="B173" s="1" t="str">
        <f t="shared" si="2"/>
        <v/>
      </c>
    </row>
    <row r="174" spans="1:2" x14ac:dyDescent="0.25">
      <c r="A174">
        <v>-44.3552731491</v>
      </c>
      <c r="B174" s="1" t="str">
        <f t="shared" si="2"/>
        <v/>
      </c>
    </row>
    <row r="175" spans="1:2" x14ac:dyDescent="0.25">
      <c r="A175">
        <v>-44.3552731491</v>
      </c>
      <c r="B175" s="1" t="str">
        <f t="shared" si="2"/>
        <v/>
      </c>
    </row>
    <row r="176" spans="1:2" x14ac:dyDescent="0.25">
      <c r="A176">
        <v>-44.3552731491</v>
      </c>
      <c r="B176" s="1" t="str">
        <f t="shared" si="2"/>
        <v/>
      </c>
    </row>
    <row r="177" spans="1:2" x14ac:dyDescent="0.25">
      <c r="A177">
        <v>7.3616332623499998</v>
      </c>
      <c r="B177" s="1">
        <f t="shared" si="2"/>
        <v>7.3616332623499998</v>
      </c>
    </row>
    <row r="178" spans="1:2" x14ac:dyDescent="0.25">
      <c r="A178">
        <v>-44.3552731491</v>
      </c>
      <c r="B178" s="1" t="str">
        <f t="shared" si="2"/>
        <v/>
      </c>
    </row>
    <row r="179" spans="1:2" x14ac:dyDescent="0.25">
      <c r="A179">
        <v>-44.3552731491</v>
      </c>
      <c r="B179" s="1" t="str">
        <f t="shared" si="2"/>
        <v/>
      </c>
    </row>
    <row r="180" spans="1:2" x14ac:dyDescent="0.25">
      <c r="A180">
        <v>-44.3552731491</v>
      </c>
      <c r="B180" s="1" t="str">
        <f t="shared" si="2"/>
        <v/>
      </c>
    </row>
    <row r="181" spans="1:2" x14ac:dyDescent="0.25">
      <c r="A181">
        <v>-44.3552731491</v>
      </c>
      <c r="B181" s="1" t="str">
        <f t="shared" si="2"/>
        <v/>
      </c>
    </row>
    <row r="182" spans="1:2" x14ac:dyDescent="0.25">
      <c r="A182">
        <v>-44.3552731491</v>
      </c>
      <c r="B182" s="1" t="str">
        <f t="shared" si="2"/>
        <v/>
      </c>
    </row>
    <row r="183" spans="1:2" x14ac:dyDescent="0.25">
      <c r="A183">
        <v>-44.3552731491</v>
      </c>
      <c r="B183" s="1" t="str">
        <f t="shared" si="2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3"/>
  <sheetViews>
    <sheetView zoomScale="80" zoomScaleNormal="80" workbookViewId="0">
      <selection activeCell="N2" sqref="N2:N183"/>
    </sheetView>
  </sheetViews>
  <sheetFormatPr defaultRowHeight="15" x14ac:dyDescent="0.25"/>
  <cols>
    <col min="1" max="1" width="17.85546875" bestFit="1" customWidth="1"/>
    <col min="2" max="2" width="9.140625" customWidth="1"/>
    <col min="3" max="3" width="19.85546875" customWidth="1"/>
    <col min="4" max="4" width="13.28515625" customWidth="1"/>
    <col min="5" max="8" width="17.85546875" customWidth="1"/>
    <col min="9" max="9" width="20.42578125" customWidth="1"/>
    <col min="10" max="10" width="12" customWidth="1"/>
    <col min="11" max="11" width="15.7109375" customWidth="1"/>
    <col min="12" max="12" width="11" customWidth="1"/>
    <col min="13" max="13" width="18.7109375" bestFit="1" customWidth="1"/>
    <col min="14" max="14" width="13.7109375" bestFit="1" customWidth="1"/>
  </cols>
  <sheetData>
    <row r="1" spans="1:14" x14ac:dyDescent="0.25">
      <c r="A1" s="12"/>
      <c r="B1" s="8" t="s">
        <v>187</v>
      </c>
      <c r="C1" s="8" t="s">
        <v>188</v>
      </c>
      <c r="D1" s="8" t="s">
        <v>189</v>
      </c>
      <c r="E1" s="8" t="s">
        <v>193</v>
      </c>
      <c r="F1" s="8" t="s">
        <v>194</v>
      </c>
      <c r="G1" s="8" t="s">
        <v>195</v>
      </c>
      <c r="H1" s="8" t="s">
        <v>196</v>
      </c>
      <c r="I1" s="8" t="s">
        <v>190</v>
      </c>
      <c r="J1" s="8" t="s">
        <v>191</v>
      </c>
      <c r="K1" s="8" t="s">
        <v>197</v>
      </c>
      <c r="L1" s="12" t="s">
        <v>198</v>
      </c>
      <c r="M1" s="12" t="s">
        <v>199</v>
      </c>
      <c r="N1" s="12" t="s">
        <v>228</v>
      </c>
    </row>
    <row r="2" spans="1:14" x14ac:dyDescent="0.25">
      <c r="B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17.077766456915409</v>
      </c>
      <c r="C2">
        <f>Data!D$186/'SGP and PVM'!B$186*Table2[[#This Row],[SGP]]</f>
        <v>19.946204289250289</v>
      </c>
      <c r="D2">
        <f>((Table2[[#This Row],[SGP]]-B$188)*(Data!D$186-COUNT(Table2[SGP])))/('SGP and PVM'!B$186-'SGP and PVM'!B$188*COUNT(Table2[SGP]))+1</f>
        <v>23.203809897516411</v>
      </c>
      <c r="E2">
        <f>IF(Table1[[#This Row],[Included?]],Table2[[#This Row],[SGP]],"")</f>
        <v>17.077766456915409</v>
      </c>
      <c r="F2">
        <f>IF(Table2[[#This Row],[Included SGP]]&lt;&gt;"", Data!D$186/'SGP and PVM'!E$186*Table2[[#This Row],[Included SGP]], "")</f>
        <v>33.588224690860343</v>
      </c>
      <c r="G2">
        <f>IF(Table2[[#This Row],[CI SGP]]&lt;&gt;"", ((Table2[[#This Row],[CI SGP]]-F$188)*(Data!D$186-COUNT(Table2[CI SGP])))/('SGP and PVM'!F$186-'SGP and PVM'!F$188*COUNT(Table2[CI SGP]))+1, "")</f>
        <v>57.825318132450491</v>
      </c>
      <c r="H2">
        <f>(Table1[[#This Row],[OBP]]-MEDIAN(Table1[OBP]))*Table1[[#This Row],[PA]]</f>
        <v>2.3622225453495735</v>
      </c>
      <c r="I2">
        <f>360*(Table1[[#This Row],[R]]/Data!H$186+Table1[[#This Row],[HR]]/Data!I$186+Table1[[#This Row],[RBI]]/Data!J$186+Table1[[#This Row],[SB]]/Data!K$186+(Table2[[#This Row],[OBP Diff]]-H$188)/(H$186-H$188*COUNT(Table2[OBP Diff])))</f>
        <v>20.459952634069406</v>
      </c>
      <c r="J2">
        <f>(Table2[[#This Row],[Crude PVM Value]]-I$188)*('SGP and PVM'!C$186-COUNT(Table2[Crude PVM Value]))/('SGP and PVM'!C$186-'SGP and PVM'!I$188*COUNT(Table2[Crude PVM Value]))+1</f>
        <v>25.255512478288793</v>
      </c>
      <c r="K2">
        <f>IF(Table1[[#This Row],[Included?]],Table2[[#This Row],[OBP Diff]],"")</f>
        <v>2.3622225453495735</v>
      </c>
      <c r="L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35.047827303535797</v>
      </c>
      <c r="M2" s="13">
        <f>IF(Table1[[#This Row],[Included?]], (Table2[[#This Row],[IC PVM]]-L$188)*('SGP and PVM'!C$186-COUNT(Table2[IC PVM]))/('SGP and PVM'!C$186-'SGP and PVM'!L$188*COUNT(Table2[IC PVM]))+1, "")</f>
        <v>59.402632456617908</v>
      </c>
      <c r="N2" s="13">
        <f ca="1">Table2[[#This Row],[SGP Value]]*N$192+N$193</f>
        <v>83.357440419926405</v>
      </c>
    </row>
    <row r="3" spans="1:14" x14ac:dyDescent="0.25">
      <c r="B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15.078009809253412</v>
      </c>
      <c r="C3">
        <f>Data!D$186/'SGP and PVM'!B$186*Table2[[#This Row],[SGP]]</f>
        <v>17.610561936739924</v>
      </c>
      <c r="D3">
        <f>((Table2[[#This Row],[SGP]]-B$188)*(Data!D$186-COUNT(Table2[SGP])))/('SGP and PVM'!B$186-'SGP and PVM'!B$188*COUNT(Table2[SGP]))+1</f>
        <v>20.111551574188187</v>
      </c>
      <c r="E3">
        <f>IF(Table1[[#This Row],[Included?]],Table2[[#This Row],[SGP]],"")</f>
        <v>15.078009809253412</v>
      </c>
      <c r="F3">
        <f>IF(Table2[[#This Row],[Included SGP]]&lt;&gt;"", Data!D$186/'SGP and PVM'!E$186*Table2[[#This Row],[Included SGP]], "")</f>
        <v>29.655141533986868</v>
      </c>
      <c r="G3">
        <f>IF(Table2[[#This Row],[CI SGP]]&lt;&gt;"", ((Table2[[#This Row],[CI SGP]]-F$188)*(Data!D$186-COUNT(Table2[CI SGP])))/('SGP and PVM'!F$186-'SGP and PVM'!F$188*COUNT(Table2[CI SGP]))+1, "")</f>
        <v>46.876859078032062</v>
      </c>
      <c r="H3">
        <f>(Table1[[#This Row],[OBP]]-MEDIAN(Table1[OBP]))*Table1[[#This Row],[PA]]</f>
        <v>1.8377507660312125</v>
      </c>
      <c r="I3">
        <f>360*(Table1[[#This Row],[R]]/Data!H$186+Table1[[#This Row],[HR]]/Data!I$186+Table1[[#This Row],[RBI]]/Data!J$186+Table1[[#This Row],[SB]]/Data!K$186+(Table2[[#This Row],[OBP Diff]]-H$188)/(H$186-H$188*COUNT(Table2[OBP Diff])))</f>
        <v>17.314191104076436</v>
      </c>
      <c r="J3">
        <f>(Table2[[#This Row],[Crude PVM Value]]-I$188)*('SGP and PVM'!C$186-COUNT(Table2[Crude PVM Value]))/('SGP and PVM'!C$186-'SGP and PVM'!I$188*COUNT(Table2[Crude PVM Value]))+1</f>
        <v>20.682512337641406</v>
      </c>
      <c r="K3">
        <f>IF(Table1[[#This Row],[Included?]],Table2[[#This Row],[OBP Diff]],"")</f>
        <v>1.8377507660312125</v>
      </c>
      <c r="L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29.718315588208224</v>
      </c>
      <c r="M3" s="13">
        <f>IF(Table1[[#This Row],[Included?]], (Table2[[#This Row],[IC PVM]]-L$188)*('SGP and PVM'!C$186-COUNT(Table2[IC PVM]))/('SGP and PVM'!C$186-'SGP and PVM'!L$188*COUNT(Table2[IC PVM]))+1, "")</f>
        <v>45.447342629298547</v>
      </c>
      <c r="N3" s="13">
        <f ca="1">Table2[[#This Row],[SGP Value]]*N$192+N$193</f>
        <v>64.325913767633253</v>
      </c>
    </row>
    <row r="4" spans="1:14" x14ac:dyDescent="0.25">
      <c r="B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15.065583997300905</v>
      </c>
      <c r="C4">
        <f>Data!D$186/'SGP and PVM'!B$186*Table2[[#This Row],[SGP]]</f>
        <v>17.596049044536496</v>
      </c>
      <c r="D4">
        <f>((Table2[[#This Row],[SGP]]-B$188)*(Data!D$186-COUNT(Table2[SGP])))/('SGP and PVM'!B$186-'SGP and PVM'!B$188*COUNT(Table2[SGP]))+1</f>
        <v>20.09233732605496</v>
      </c>
      <c r="E4">
        <f>IF(Table1[[#This Row],[Included?]],Table2[[#This Row],[SGP]],"")</f>
        <v>15.065583997300905</v>
      </c>
      <c r="F4">
        <f>IF(Table2[[#This Row],[Included SGP]]&lt;&gt;"", Data!D$186/'SGP and PVM'!E$186*Table2[[#This Row],[Included SGP]], "")</f>
        <v>29.630702684510847</v>
      </c>
      <c r="G4">
        <f>IF(Table2[[#This Row],[CI SGP]]&lt;&gt;"", ((Table2[[#This Row],[CI SGP]]-F$188)*(Data!D$186-COUNT(Table2[CI SGP])))/('SGP and PVM'!F$186-'SGP and PVM'!F$188*COUNT(Table2[CI SGP]))+1, "")</f>
        <v>46.80882905370936</v>
      </c>
      <c r="H4">
        <f>(Table1[[#This Row],[OBP]]-MEDIAN(Table1[OBP]))*Table1[[#This Row],[PA]]</f>
        <v>0.38609042010969818</v>
      </c>
      <c r="I4">
        <f>360*(Table1[[#This Row],[R]]/Data!H$186+Table1[[#This Row],[HR]]/Data!I$186+Table1[[#This Row],[RBI]]/Data!J$186+Table1[[#This Row],[SB]]/Data!K$186+(Table2[[#This Row],[OBP Diff]]-H$188)/(H$186-H$188*COUNT(Table2[OBP Diff])))</f>
        <v>16.61985123916423</v>
      </c>
      <c r="J4">
        <f>(Table2[[#This Row],[Crude PVM Value]]-I$188)*('SGP and PVM'!C$186-COUNT(Table2[Crude PVM Value]))/('SGP and PVM'!C$186-'SGP and PVM'!I$188*COUNT(Table2[Crude PVM Value]))+1</f>
        <v>19.673149018258545</v>
      </c>
      <c r="K4">
        <f>IF(Table1[[#This Row],[Included?]],Table2[[#This Row],[OBP Diff]],"")</f>
        <v>0.38609042010969818</v>
      </c>
      <c r="L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27.816537755809232</v>
      </c>
      <c r="M4" s="13">
        <f>IF(Table1[[#This Row],[Included?]], (Table2[[#This Row],[IC PVM]]-L$188)*('SGP and PVM'!C$186-COUNT(Table2[IC PVM]))/('SGP and PVM'!C$186-'SGP and PVM'!L$188*COUNT(Table2[IC PVM]))+1, "")</f>
        <v>40.467550435208608</v>
      </c>
      <c r="N4" s="13">
        <f ca="1">Table2[[#This Row],[SGP Value]]*N$192+N$193</f>
        <v>64.207658293084904</v>
      </c>
    </row>
    <row r="5" spans="1:14" x14ac:dyDescent="0.25">
      <c r="B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15.318712630297117</v>
      </c>
      <c r="C5">
        <f>Data!D$186/'SGP and PVM'!B$186*Table2[[#This Row],[SGP]]</f>
        <v>17.891693995411007</v>
      </c>
      <c r="D5">
        <f>((Table2[[#This Row],[SGP]]-B$188)*(Data!D$186-COUNT(Table2[SGP])))/('SGP and PVM'!B$186-'SGP and PVM'!B$188*COUNT(Table2[SGP]))+1</f>
        <v>20.483754513326403</v>
      </c>
      <c r="E5">
        <f>IF(Table1[[#This Row],[Included?]],Table2[[#This Row],[SGP]],"")</f>
        <v>15.318712630297117</v>
      </c>
      <c r="F5">
        <f>IF(Table2[[#This Row],[Included SGP]]&lt;&gt;"", Data!D$186/'SGP and PVM'!E$186*Table2[[#This Row],[Included SGP]], "")</f>
        <v>30.128551242296005</v>
      </c>
      <c r="G5">
        <f>IF(Table2[[#This Row],[CI SGP]]&lt;&gt;"", ((Table2[[#This Row],[CI SGP]]-F$188)*(Data!D$186-COUNT(Table2[CI SGP])))/('SGP and PVM'!F$186-'SGP and PVM'!F$188*COUNT(Table2[CI SGP]))+1, "")</f>
        <v>48.194681915906401</v>
      </c>
      <c r="H5">
        <f>(Table1[[#This Row],[OBP]]-MEDIAN(Table1[OBP]))*Table1[[#This Row],[PA]]</f>
        <v>2.4234644885820065</v>
      </c>
      <c r="I5">
        <f>360*(Table1[[#This Row],[R]]/Data!H$186+Table1[[#This Row],[HR]]/Data!I$186+Table1[[#This Row],[RBI]]/Data!J$186+Table1[[#This Row],[SB]]/Data!K$186+(Table2[[#This Row],[OBP Diff]]-H$188)/(H$186-H$188*COUNT(Table2[OBP Diff])))</f>
        <v>18.906851229459242</v>
      </c>
      <c r="J5">
        <f>(Table2[[#This Row],[Crude PVM Value]]-I$188)*('SGP and PVM'!C$186-COUNT(Table2[Crude PVM Value]))/('SGP and PVM'!C$186-'SGP and PVM'!I$188*COUNT(Table2[Crude PVM Value]))+1</f>
        <v>22.997765705685271</v>
      </c>
      <c r="K5">
        <f>IF(Table1[[#This Row],[Included?]],Table2[[#This Row],[OBP Diff]],"")</f>
        <v>2.4234644885820065</v>
      </c>
      <c r="L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32.400609549089168</v>
      </c>
      <c r="M5" s="13">
        <f>IF(Table1[[#This Row],[Included?]], (Table2[[#This Row],[IC PVM]]-L$188)*('SGP and PVM'!C$186-COUNT(Table2[IC PVM]))/('SGP and PVM'!C$186-'SGP and PVM'!L$188*COUNT(Table2[IC PVM]))+1, "")</f>
        <v>52.470910945793236</v>
      </c>
      <c r="N5" s="13">
        <f ca="1">Table2[[#This Row],[SGP Value]]*N$192+N$193</f>
        <v>66.616663574281574</v>
      </c>
    </row>
    <row r="6" spans="1:14" x14ac:dyDescent="0.25">
      <c r="B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13.49508345756189</v>
      </c>
      <c r="C6">
        <f>Data!D$186/'SGP and PVM'!B$186*Table2[[#This Row],[SGP]]</f>
        <v>15.761762067896916</v>
      </c>
      <c r="D6">
        <f>((Table2[[#This Row],[SGP]]-B$188)*(Data!D$186-COUNT(Table2[SGP])))/('SGP and PVM'!B$186-'SGP and PVM'!B$188*COUNT(Table2[SGP]))+1</f>
        <v>17.663845153531234</v>
      </c>
      <c r="E6">
        <f>IF(Table1[[#This Row],[Included?]],Table2[[#This Row],[SGP]],"")</f>
        <v>13.49508345756189</v>
      </c>
      <c r="F6">
        <f>IF(Table2[[#This Row],[Included SGP]]&lt;&gt;"", Data!D$186/'SGP and PVM'!E$186*Table2[[#This Row],[Included SGP]], "")</f>
        <v>26.541872237101199</v>
      </c>
      <c r="G6">
        <f>IF(Table2[[#This Row],[CI SGP]]&lt;&gt;"", ((Table2[[#This Row],[CI SGP]]-F$188)*(Data!D$186-COUNT(Table2[CI SGP])))/('SGP and PVM'!F$186-'SGP and PVM'!F$188*COUNT(Table2[CI SGP]))+1, "")</f>
        <v>38.210502415126825</v>
      </c>
      <c r="H6">
        <f>(Table1[[#This Row],[OBP]]-MEDIAN(Table1[OBP]))*Table1[[#This Row],[PA]]</f>
        <v>0.93140888957017476</v>
      </c>
      <c r="I6">
        <f>360*(Table1[[#This Row],[R]]/Data!H$186+Table1[[#This Row],[HR]]/Data!I$186+Table1[[#This Row],[RBI]]/Data!J$186+Table1[[#This Row],[SB]]/Data!K$186+(Table2[[#This Row],[OBP Diff]]-H$188)/(H$186-H$188*COUNT(Table2[OBP Diff])))</f>
        <v>16.651274626570309</v>
      </c>
      <c r="J6">
        <f>(Table2[[#This Row],[Crude PVM Value]]-I$188)*('SGP and PVM'!C$186-COUNT(Table2[Crude PVM Value]))/('SGP and PVM'!C$186-'SGP and PVM'!I$188*COUNT(Table2[Crude PVM Value]))+1</f>
        <v>19.718829262503871</v>
      </c>
      <c r="K6">
        <f>IF(Table1[[#This Row],[Included?]],Table2[[#This Row],[OBP Diff]],"")</f>
        <v>0.93140888957017476</v>
      </c>
      <c r="L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27.680450500509394</v>
      </c>
      <c r="M6" s="13">
        <f>IF(Table1[[#This Row],[Included?]], (Table2[[#This Row],[IC PVM]]-L$188)*('SGP and PVM'!C$186-COUNT(Table2[IC PVM]))/('SGP and PVM'!C$186-'SGP and PVM'!L$188*COUNT(Table2[IC PVM]))+1, "")</f>
        <v>40.111206891755685</v>
      </c>
      <c r="N6" s="13">
        <f ca="1">Table2[[#This Row],[SGP Value]]*N$192+N$193</f>
        <v>49.261328241161607</v>
      </c>
    </row>
    <row r="7" spans="1:14" x14ac:dyDescent="0.25">
      <c r="B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14.602646574505275</v>
      </c>
      <c r="C7">
        <f>Data!D$186/'SGP and PVM'!B$186*Table2[[#This Row],[SGP]]</f>
        <v>17.055355129350559</v>
      </c>
      <c r="D7">
        <f>((Table2[[#This Row],[SGP]]-B$188)*(Data!D$186-COUNT(Table2[SGP])))/('SGP and PVM'!B$186-'SGP and PVM'!B$188*COUNT(Table2[SGP]))+1</f>
        <v>19.376489174984396</v>
      </c>
      <c r="E7">
        <f>IF(Table1[[#This Row],[Included?]],Table2[[#This Row],[SGP]],"")</f>
        <v>14.602646574505275</v>
      </c>
      <c r="F7">
        <f>IF(Table2[[#This Row],[Included SGP]]&lt;&gt;"", Data!D$186/'SGP and PVM'!E$186*Table2[[#This Row],[Included SGP]], "")</f>
        <v>28.720206208645823</v>
      </c>
      <c r="G7">
        <f>IF(Table2[[#This Row],[CI SGP]]&lt;&gt;"", ((Table2[[#This Row],[CI SGP]]-F$188)*(Data!D$186-COUNT(Table2[CI SGP])))/('SGP and PVM'!F$186-'SGP and PVM'!F$188*COUNT(Table2[CI SGP]))+1, "")</f>
        <v>44.274294952191717</v>
      </c>
      <c r="H7">
        <f>(Table1[[#This Row],[OBP]]-MEDIAN(Table1[OBP]))*Table1[[#This Row],[PA]]</f>
        <v>1.9167397330386025</v>
      </c>
      <c r="I7">
        <f>360*(Table1[[#This Row],[R]]/Data!H$186+Table1[[#This Row],[HR]]/Data!I$186+Table1[[#This Row],[RBI]]/Data!J$186+Table1[[#This Row],[SB]]/Data!K$186+(Table2[[#This Row],[OBP Diff]]-H$188)/(H$186-H$188*COUNT(Table2[OBP Diff])))</f>
        <v>17.389588978091048</v>
      </c>
      <c r="J7">
        <f>(Table2[[#This Row],[Crude PVM Value]]-I$188)*('SGP and PVM'!C$186-COUNT(Table2[Crude PVM Value]))/('SGP and PVM'!C$186-'SGP and PVM'!I$188*COUNT(Table2[Crude PVM Value]))+1</f>
        <v>20.792118385393572</v>
      </c>
      <c r="K7">
        <f>IF(Table1[[#This Row],[Included?]],Table2[[#This Row],[OBP Diff]],"")</f>
        <v>1.9167397330386025</v>
      </c>
      <c r="L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29.772547401686577</v>
      </c>
      <c r="M7" s="13">
        <f>IF(Table1[[#This Row],[Included?]], (Table2[[#This Row],[IC PVM]]-L$188)*('SGP and PVM'!C$186-COUNT(Table2[IC PVM]))/('SGP and PVM'!C$186-'SGP and PVM'!L$188*COUNT(Table2[IC PVM]))+1, "")</f>
        <v>45.589348260466394</v>
      </c>
      <c r="N7" s="13">
        <f ca="1">Table2[[#This Row],[SGP Value]]*N$192+N$193</f>
        <v>59.801919269499408</v>
      </c>
    </row>
    <row r="8" spans="1:14" x14ac:dyDescent="0.25">
      <c r="B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11.839951390801467</v>
      </c>
      <c r="C8">
        <f>Data!D$186/'SGP and PVM'!B$186*Table2[[#This Row],[SGP]]</f>
        <v>13.828628574557449</v>
      </c>
      <c r="D8">
        <f>((Table2[[#This Row],[SGP]]-B$188)*(Data!D$186-COUNT(Table2[SGP])))/('SGP and PVM'!B$186-'SGP and PVM'!B$188*COUNT(Table2[SGP]))+1</f>
        <v>15.104485785664576</v>
      </c>
      <c r="E8">
        <f>IF(Table1[[#This Row],[Included?]],Table2[[#This Row],[SGP]],"")</f>
        <v>11.839951390801467</v>
      </c>
      <c r="F8">
        <f>IF(Table2[[#This Row],[Included SGP]]&lt;&gt;"", Data!D$186/'SGP and PVM'!E$186*Table2[[#This Row],[Included SGP]], "")</f>
        <v>23.286590119755839</v>
      </c>
      <c r="G8">
        <f>IF(Table2[[#This Row],[CI SGP]]&lt;&gt;"", ((Table2[[#This Row],[CI SGP]]-F$188)*(Data!D$186-COUNT(Table2[CI SGP])))/('SGP and PVM'!F$186-'SGP and PVM'!F$188*COUNT(Table2[CI SGP]))+1, "")</f>
        <v>29.148826993886122</v>
      </c>
      <c r="H8">
        <f>(Table1[[#This Row],[OBP]]-MEDIAN(Table1[OBP]))*Table1[[#This Row],[PA]]</f>
        <v>2.3971196590808854</v>
      </c>
      <c r="I8">
        <f>360*(Table1[[#This Row],[R]]/Data!H$186+Table1[[#This Row],[HR]]/Data!I$186+Table1[[#This Row],[RBI]]/Data!J$186+Table1[[#This Row],[SB]]/Data!K$186+(Table2[[#This Row],[OBP Diff]]-H$188)/(H$186-H$188*COUNT(Table2[OBP Diff])))</f>
        <v>14.606287006433888</v>
      </c>
      <c r="J8">
        <f>(Table2[[#This Row],[Crude PVM Value]]-I$188)*('SGP and PVM'!C$186-COUNT(Table2[Crude PVM Value]))/('SGP and PVM'!C$186-'SGP and PVM'!I$188*COUNT(Table2[Crude PVM Value]))+1</f>
        <v>16.746026465679371</v>
      </c>
      <c r="K8">
        <f>IF(Table1[[#This Row],[Included?]],Table2[[#This Row],[OBP Diff]],"")</f>
        <v>2.3971196590808854</v>
      </c>
      <c r="L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25.379639268034794</v>
      </c>
      <c r="M8" s="13">
        <f>IF(Table1[[#This Row],[Included?]], (Table2[[#This Row],[IC PVM]]-L$188)*('SGP and PVM'!C$186-COUNT(Table2[IC PVM]))/('SGP and PVM'!C$186-'SGP and PVM'!L$188*COUNT(Table2[IC PVM]))+1, "")</f>
        <v>34.08654847984311</v>
      </c>
      <c r="N8" s="13">
        <f ca="1">Table2[[#This Row],[SGP Value]]*N$192+N$193</f>
        <v>33.509566606342872</v>
      </c>
    </row>
    <row r="9" spans="1:14" x14ac:dyDescent="0.25">
      <c r="B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12.574183632142834</v>
      </c>
      <c r="C9">
        <f>Data!D$186/'SGP and PVM'!B$186*Table2[[#This Row],[SGP]]</f>
        <v>14.686184878450964</v>
      </c>
      <c r="D9">
        <f>((Table2[[#This Row],[SGP]]-B$188)*(Data!D$186-COUNT(Table2[SGP])))/('SGP and PVM'!B$186-'SGP and PVM'!B$188*COUNT(Table2[SGP]))+1</f>
        <v>16.239841811208109</v>
      </c>
      <c r="E9">
        <f>IF(Table1[[#This Row],[Included?]],Table2[[#This Row],[SGP]],"")</f>
        <v>12.574183632142834</v>
      </c>
      <c r="F9">
        <f>IF(Table2[[#This Row],[Included SGP]]&lt;&gt;"", Data!D$186/'SGP and PVM'!E$186*Table2[[#This Row],[Included SGP]], "")</f>
        <v>24.730664059967236</v>
      </c>
      <c r="G9">
        <f>IF(Table2[[#This Row],[CI SGP]]&lt;&gt;"", ((Table2[[#This Row],[CI SGP]]-F$188)*(Data!D$186-COUNT(Table2[CI SGP])))/('SGP and PVM'!F$186-'SGP and PVM'!F$188*COUNT(Table2[CI SGP]))+1, "")</f>
        <v>33.168671928597668</v>
      </c>
      <c r="H9">
        <f>(Table1[[#This Row],[OBP]]-MEDIAN(Table1[OBP]))*Table1[[#This Row],[PA]]</f>
        <v>2.1690978794820426</v>
      </c>
      <c r="I9">
        <f>360*(Table1[[#This Row],[R]]/Data!H$186+Table1[[#This Row],[HR]]/Data!I$186+Table1[[#This Row],[RBI]]/Data!J$186+Table1[[#This Row],[SB]]/Data!K$186+(Table2[[#This Row],[OBP Diff]]-H$188)/(H$186-H$188*COUNT(Table2[OBP Diff])))</f>
        <v>15.114394154834706</v>
      </c>
      <c r="J9">
        <f>(Table2[[#This Row],[Crude PVM Value]]-I$188)*('SGP and PVM'!C$186-COUNT(Table2[Crude PVM Value]))/('SGP and PVM'!C$186-'SGP and PVM'!I$188*COUNT(Table2[Crude PVM Value]))+1</f>
        <v>17.484662894075797</v>
      </c>
      <c r="K9">
        <f>IF(Table1[[#This Row],[Included?]],Table2[[#This Row],[OBP Diff]],"")</f>
        <v>2.1690978794820426</v>
      </c>
      <c r="L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26.146602063456214</v>
      </c>
      <c r="M9" s="13">
        <f>IF(Table1[[#This Row],[Included?]], (Table2[[#This Row],[IC PVM]]-L$188)*('SGP and PVM'!C$186-COUNT(Table2[IC PVM]))/('SGP and PVM'!C$186-'SGP and PVM'!L$188*COUNT(Table2[IC PVM]))+1, "")</f>
        <v>36.094835292703429</v>
      </c>
      <c r="N9" s="13">
        <f ca="1">Table2[[#This Row],[SGP Value]]*N$192+N$193</f>
        <v>40.497197069478617</v>
      </c>
    </row>
    <row r="10" spans="1:14" x14ac:dyDescent="0.25">
      <c r="B1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11.126228622774562</v>
      </c>
      <c r="C10">
        <f>Data!D$186/'SGP and PVM'!B$186*Table2[[#This Row],[SGP]]</f>
        <v>12.995026582583309</v>
      </c>
      <c r="D10">
        <f>((Table2[[#This Row],[SGP]]-B$188)*(Data!D$186-COUNT(Table2[SGP])))/('SGP and PVM'!B$186-'SGP and PVM'!B$188*COUNT(Table2[SGP]))+1</f>
        <v>14.000843913759626</v>
      </c>
      <c r="E10">
        <f>IF(Table1[[#This Row],[Included?]],Table2[[#This Row],[SGP]],"")</f>
        <v>11.126228622774562</v>
      </c>
      <c r="F10">
        <f>IF(Table2[[#This Row],[Included SGP]]&lt;&gt;"", Data!D$186/'SGP and PVM'!E$186*Table2[[#This Row],[Included SGP]], "")</f>
        <v>21.882853819698695</v>
      </c>
      <c r="G10">
        <f>IF(Table2[[#This Row],[CI SGP]]&lt;&gt;"", ((Table2[[#This Row],[CI SGP]]-F$188)*(Data!D$186-COUNT(Table2[CI SGP])))/('SGP and PVM'!F$186-'SGP and PVM'!F$188*COUNT(Table2[CI SGP]))+1, "")</f>
        <v>25.24126928625974</v>
      </c>
      <c r="H10">
        <f>(Table1[[#This Row],[OBP]]-MEDIAN(Table1[OBP]))*Table1[[#This Row],[PA]]</f>
        <v>0.16154278765980767</v>
      </c>
      <c r="I10">
        <f>360*(Table1[[#This Row],[R]]/Data!H$186+Table1[[#This Row],[HR]]/Data!I$186+Table1[[#This Row],[RBI]]/Data!J$186+Table1[[#This Row],[SB]]/Data!K$186+(Table2[[#This Row],[OBP Diff]]-H$188)/(H$186-H$188*COUNT(Table2[OBP Diff])))</f>
        <v>11.364472602865614</v>
      </c>
      <c r="J10">
        <f>(Table2[[#This Row],[Crude PVM Value]]-I$188)*('SGP and PVM'!C$186-COUNT(Table2[Crude PVM Value]))/('SGP and PVM'!C$186-'SGP and PVM'!I$188*COUNT(Table2[Crude PVM Value]))+1</f>
        <v>12.033394061053468</v>
      </c>
      <c r="K10">
        <f>IF(Table1[[#This Row],[Included?]],Table2[[#This Row],[OBP Diff]],"")</f>
        <v>0.16154278765980767</v>
      </c>
      <c r="L1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19.175370662825738</v>
      </c>
      <c r="M10" s="13">
        <f>IF(Table1[[#This Row],[Included?]], (Table2[[#This Row],[IC PVM]]-L$188)*('SGP and PVM'!C$186-COUNT(Table2[IC PVM]))/('SGP and PVM'!C$186-'SGP and PVM'!L$188*COUNT(Table2[IC PVM]))+1, "")</f>
        <v>17.840713743572309</v>
      </c>
      <c r="N10" s="13">
        <f ca="1">Table2[[#This Row],[SGP Value]]*N$192+N$193</f>
        <v>26.717123186823187</v>
      </c>
    </row>
    <row r="11" spans="1:14" x14ac:dyDescent="0.25">
      <c r="B1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11.957023564739197</v>
      </c>
      <c r="C11">
        <f>Data!D$186/'SGP and PVM'!B$186*Table2[[#This Row],[SGP]]</f>
        <v>13.965364575944973</v>
      </c>
      <c r="D11">
        <f>((Table2[[#This Row],[SGP]]-B$188)*(Data!D$186-COUNT(Table2[SGP])))/('SGP and PVM'!B$186-'SGP and PVM'!B$188*COUNT(Table2[SGP]))+1</f>
        <v>15.285516514934722</v>
      </c>
      <c r="E11">
        <f>IF(Table1[[#This Row],[Included?]],Table2[[#This Row],[SGP]],"")</f>
        <v>11.957023564739197</v>
      </c>
      <c r="F11">
        <f>IF(Table2[[#This Row],[Included SGP]]&lt;&gt;"", Data!D$186/'SGP and PVM'!E$186*Table2[[#This Row],[Included SGP]], "")</f>
        <v>23.516845434066902</v>
      </c>
      <c r="G11">
        <f>IF(Table2[[#This Row],[CI SGP]]&lt;&gt;"", ((Table2[[#This Row],[CI SGP]]-F$188)*(Data!D$186-COUNT(Table2[CI SGP])))/('SGP and PVM'!F$186-'SGP and PVM'!F$188*COUNT(Table2[CI SGP]))+1, "")</f>
        <v>29.789784934577334</v>
      </c>
      <c r="H11">
        <f>(Table1[[#This Row],[OBP]]-MEDIAN(Table1[OBP]))*Table1[[#This Row],[PA]]</f>
        <v>1.317392831818506</v>
      </c>
      <c r="I11">
        <f>360*(Table1[[#This Row],[R]]/Data!H$186+Table1[[#This Row],[HR]]/Data!I$186+Table1[[#This Row],[RBI]]/Data!J$186+Table1[[#This Row],[SB]]/Data!K$186+(Table2[[#This Row],[OBP Diff]]-H$188)/(H$186-H$188*COUNT(Table2[OBP Diff])))</f>
        <v>13.696397093506686</v>
      </c>
      <c r="J11">
        <f>(Table2[[#This Row],[Crude PVM Value]]-I$188)*('SGP and PVM'!C$186-COUNT(Table2[Crude PVM Value]))/('SGP and PVM'!C$186-'SGP and PVM'!I$188*COUNT(Table2[Crude PVM Value]))+1</f>
        <v>15.423317588951825</v>
      </c>
      <c r="K11">
        <f>IF(Table1[[#This Row],[Included?]],Table2[[#This Row],[OBP Diff]],"")</f>
        <v>1.317392831818506</v>
      </c>
      <c r="L1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23.441541242501881</v>
      </c>
      <c r="M11" s="13">
        <f>IF(Table1[[#This Row],[Included?]], (Table2[[#This Row],[IC PVM]]-L$188)*('SGP and PVM'!C$186-COUNT(Table2[IC PVM]))/('SGP and PVM'!C$186-'SGP and PVM'!L$188*COUNT(Table2[IC PVM]))+1, "")</f>
        <v>29.011652109453049</v>
      </c>
      <c r="N11" s="13">
        <f ca="1">Table2[[#This Row],[SGP Value]]*N$192+N$193</f>
        <v>34.623733273143415</v>
      </c>
    </row>
    <row r="12" spans="1:14" hidden="1" x14ac:dyDescent="0.25">
      <c r="B1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13.671124185821423</v>
      </c>
      <c r="C12">
        <f>Data!D$186/'SGP and PVM'!B$186*Table2[[#This Row],[SGP]]</f>
        <v>15.967371175970364</v>
      </c>
      <c r="D12">
        <f>((Table2[[#This Row],[SGP]]-B$188)*(Data!D$186-COUNT(Table2[SGP])))/('SGP and PVM'!B$186-'SGP and PVM'!B$188*COUNT(Table2[SGP]))+1</f>
        <v>17.936059979191022</v>
      </c>
      <c r="E12">
        <f>IF(Table1[[#This Row],[Included?]],Table2[[#This Row],[SGP]],"")</f>
        <v>13.671124185821423</v>
      </c>
      <c r="F12">
        <f>IF(Table2[[#This Row],[Included SGP]]&lt;&gt;"", Data!D$186/'SGP and PVM'!E$186*Table2[[#This Row],[Included SGP]], "")</f>
        <v>26.88810577709258</v>
      </c>
      <c r="G12">
        <f>IF(Table2[[#This Row],[CI SGP]]&lt;&gt;"", ((Table2[[#This Row],[CI SGP]]-F$188)*(Data!D$186-COUNT(Table2[CI SGP])))/('SGP and PVM'!F$186-'SGP and PVM'!F$188*COUNT(Table2[CI SGP]))+1, "")</f>
        <v>39.174307039810977</v>
      </c>
      <c r="H12">
        <f>(Table1[[#This Row],[OBP]]-MEDIAN(Table1[OBP]))*Table1[[#This Row],[PA]]</f>
        <v>0.48749293488041084</v>
      </c>
      <c r="I12">
        <f>360*(Table1[[#This Row],[R]]/Data!H$186+Table1[[#This Row],[HR]]/Data!I$186+Table1[[#This Row],[RBI]]/Data!J$186+Table1[[#This Row],[SB]]/Data!K$186+(Table2[[#This Row],[OBP Diff]]-H$188)/(H$186-H$188*COUNT(Table2[OBP Diff])))</f>
        <v>17.245032822258818</v>
      </c>
      <c r="J12">
        <f>(Table2[[#This Row],[Crude PVM Value]]-I$188)*('SGP and PVM'!C$186-COUNT(Table2[Crude PVM Value]))/('SGP and PVM'!C$186-'SGP and PVM'!I$188*COUNT(Table2[Crude PVM Value]))+1</f>
        <v>20.581976798165975</v>
      </c>
      <c r="K12">
        <f>IF(Table1[[#This Row],[Included?]],Table2[[#This Row],[OBP Diff]],"")</f>
        <v>0.48749293488041084</v>
      </c>
      <c r="L1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28.269126161526451</v>
      </c>
      <c r="M12" s="13">
        <f>IF(Table1[[#This Row],[Included?]], (Table2[[#This Row],[IC PVM]]-L$188)*('SGP and PVM'!C$186-COUNT(Table2[IC PVM]))/('SGP and PVM'!C$186-'SGP and PVM'!L$188*COUNT(Table2[IC PVM]))+1, "")</f>
        <v>41.652650067526416</v>
      </c>
      <c r="N12" s="13">
        <f ca="1">Table2[[#This Row],[SGP Value]]*N$192+N$193</f>
        <v>50.936693999128934</v>
      </c>
    </row>
    <row r="13" spans="1:14" hidden="1" x14ac:dyDescent="0.25">
      <c r="B1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11.557880605820596</v>
      </c>
      <c r="C13">
        <f>Data!D$186/'SGP and PVM'!B$186*Table2[[#This Row],[SGP]]</f>
        <v>13.499180252644171</v>
      </c>
      <c r="D13">
        <f>((Table2[[#This Row],[SGP]]-B$188)*(Data!D$186-COUNT(Table2[SGP])))/('SGP and PVM'!B$186-'SGP and PVM'!B$188*COUNT(Table2[SGP]))+1</f>
        <v>14.668314847743408</v>
      </c>
      <c r="E13">
        <f>IF(Table1[[#This Row],[Included?]],Table2[[#This Row],[SGP]],"")</f>
        <v>11.557880605820596</v>
      </c>
      <c r="F13">
        <f>IF(Table2[[#This Row],[Included SGP]]&lt;&gt;"", Data!D$186/'SGP and PVM'!E$186*Table2[[#This Row],[Included SGP]], "")</f>
        <v>22.731818690566495</v>
      </c>
      <c r="G13">
        <f>IF(Table2[[#This Row],[CI SGP]]&lt;&gt;"", ((Table2[[#This Row],[CI SGP]]-F$188)*(Data!D$186-COUNT(Table2[CI SGP])))/('SGP and PVM'!F$186-'SGP and PVM'!F$188*COUNT(Table2[CI SGP]))+1, "")</f>
        <v>27.604518868484309</v>
      </c>
      <c r="H13">
        <f>(Table1[[#This Row],[OBP]]-MEDIAN(Table1[OBP]))*Table1[[#This Row],[PA]]</f>
        <v>1.1469363099126846</v>
      </c>
      <c r="I13">
        <f>360*(Table1[[#This Row],[R]]/Data!H$186+Table1[[#This Row],[HR]]/Data!I$186+Table1[[#This Row],[RBI]]/Data!J$186+Table1[[#This Row],[SB]]/Data!K$186+(Table2[[#This Row],[OBP Diff]]-H$188)/(H$186-H$188*COUNT(Table2[OBP Diff])))</f>
        <v>12.585088757128448</v>
      </c>
      <c r="J13">
        <f>(Table2[[#This Row],[Crude PVM Value]]-I$188)*('SGP and PVM'!C$186-COUNT(Table2[Crude PVM Value]))/('SGP and PVM'!C$186-'SGP and PVM'!I$188*COUNT(Table2[Crude PVM Value]))+1</f>
        <v>13.807806327177428</v>
      </c>
      <c r="K13">
        <f>IF(Table1[[#This Row],[Included?]],Table2[[#This Row],[OBP Diff]],"")</f>
        <v>1.1469363099126846</v>
      </c>
      <c r="L1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21.671355202255675</v>
      </c>
      <c r="M13" s="13">
        <f>IF(Table1[[#This Row],[Included?]], (Table2[[#This Row],[IC PVM]]-L$188)*('SGP and PVM'!C$186-COUNT(Table2[IC PVM]))/('SGP and PVM'!C$186-'SGP and PVM'!L$188*COUNT(Table2[IC PVM]))+1, "")</f>
        <v>24.376432119437084</v>
      </c>
      <c r="N13" s="13">
        <f ca="1">Table2[[#This Row],[SGP Value]]*N$192+N$193</f>
        <v>30.825121142204551</v>
      </c>
    </row>
    <row r="14" spans="1:14" hidden="1" x14ac:dyDescent="0.25">
      <c r="B1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12.149614000976309</v>
      </c>
      <c r="C14">
        <f>Data!D$186/'SGP and PVM'!B$186*Table2[[#This Row],[SGP]]</f>
        <v>14.190303135389069</v>
      </c>
      <c r="D14">
        <f>((Table2[[#This Row],[SGP]]-B$188)*(Data!D$186-COUNT(Table2[SGP])))/('SGP and PVM'!B$186-'SGP and PVM'!B$188*COUNT(Table2[SGP]))+1</f>
        <v>15.583322440542668</v>
      </c>
      <c r="E14">
        <f>IF(Table1[[#This Row],[Included?]],Table2[[#This Row],[SGP]],"")</f>
        <v>12.149614000976309</v>
      </c>
      <c r="F14">
        <f>IF(Table2[[#This Row],[Included SGP]]&lt;&gt;"", Data!D$186/'SGP and PVM'!E$186*Table2[[#This Row],[Included SGP]], "")</f>
        <v>23.895628623423814</v>
      </c>
      <c r="G14">
        <f>IF(Table2[[#This Row],[CI SGP]]&lt;&gt;"", ((Table2[[#This Row],[CI SGP]]-F$188)*(Data!D$186-COUNT(Table2[CI SGP])))/('SGP and PVM'!F$186-'SGP and PVM'!F$188*COUNT(Table2[CI SGP]))+1, "")</f>
        <v>30.844197484164216</v>
      </c>
      <c r="H14">
        <f>(Table1[[#This Row],[OBP]]-MEDIAN(Table1[OBP]))*Table1[[#This Row],[PA]]</f>
        <v>1.7390447169654226</v>
      </c>
      <c r="I14">
        <f>360*(Table1[[#This Row],[R]]/Data!H$186+Table1[[#This Row],[HR]]/Data!I$186+Table1[[#This Row],[RBI]]/Data!J$186+Table1[[#This Row],[SB]]/Data!K$186+(Table2[[#This Row],[OBP Diff]]-H$188)/(H$186-H$188*COUNT(Table2[OBP Diff])))</f>
        <v>14.108541187975094</v>
      </c>
      <c r="J14">
        <f>(Table2[[#This Row],[Crude PVM Value]]-I$188)*('SGP and PVM'!C$186-COUNT(Table2[Crude PVM Value]))/('SGP and PVM'!C$186-'SGP and PVM'!I$188*COUNT(Table2[Crude PVM Value]))+1</f>
        <v>16.022452324373177</v>
      </c>
      <c r="K14">
        <f>IF(Table1[[#This Row],[Included?]],Table2[[#This Row],[OBP Diff]],"")</f>
        <v>1.7390447169654226</v>
      </c>
      <c r="L1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24.369943624713123</v>
      </c>
      <c r="M14" s="13">
        <f>IF(Table1[[#This Row],[Included?]], (Table2[[#This Row],[IC PVM]]-L$188)*('SGP and PVM'!C$186-COUNT(Table2[IC PVM]))/('SGP and PVM'!C$186-'SGP and PVM'!L$188*COUNT(Table2[IC PVM]))+1, "")</f>
        <v>31.442667371671167</v>
      </c>
      <c r="N14" s="13">
        <f ca="1">Table2[[#This Row],[SGP Value]]*N$192+N$193</f>
        <v>36.456601299614846</v>
      </c>
    </row>
    <row r="15" spans="1:14" hidden="1" x14ac:dyDescent="0.25">
      <c r="B1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10.600158506561279</v>
      </c>
      <c r="C15">
        <f>Data!D$186/'SGP and PVM'!B$186*Table2[[#This Row],[SGP]]</f>
        <v>12.380595999114897</v>
      </c>
      <c r="D15">
        <f>((Table2[[#This Row],[SGP]]-B$188)*(Data!D$186-COUNT(Table2[SGP])))/('SGP and PVM'!B$186-'SGP and PVM'!B$188*COUNT(Table2[SGP]))+1</f>
        <v>13.187372585927477</v>
      </c>
      <c r="E15">
        <f>IF(Table1[[#This Row],[Included?]],Table2[[#This Row],[SGP]],"")</f>
        <v>10.600158506561279</v>
      </c>
      <c r="F15">
        <f>IF(Table2[[#This Row],[Included SGP]]&lt;&gt;"", Data!D$186/'SGP and PVM'!E$186*Table2[[#This Row],[Included SGP]], "")</f>
        <v>20.848189168961323</v>
      </c>
      <c r="G15">
        <f>IF(Table2[[#This Row],[CI SGP]]&lt;&gt;"", ((Table2[[#This Row],[CI SGP]]-F$188)*(Data!D$186-COUNT(Table2[CI SGP])))/('SGP and PVM'!F$186-'SGP and PVM'!F$188*COUNT(Table2[CI SGP]))+1, "")</f>
        <v>22.361090273554293</v>
      </c>
      <c r="H15">
        <f>(Table1[[#This Row],[OBP]]-MEDIAN(Table1[OBP]))*Table1[[#This Row],[PA]]</f>
        <v>1.2944691732038311</v>
      </c>
      <c r="I15">
        <f>360*(Table1[[#This Row],[R]]/Data!H$186+Table1[[#This Row],[HR]]/Data!I$186+Table1[[#This Row],[RBI]]/Data!J$186+Table1[[#This Row],[SB]]/Data!K$186+(Table2[[#This Row],[OBP Diff]]-H$188)/(H$186-H$188*COUNT(Table2[OBP Diff])))</f>
        <v>12.127329213958379</v>
      </c>
      <c r="J15">
        <f>(Table2[[#This Row],[Crude PVM Value]]-I$188)*('SGP and PVM'!C$186-COUNT(Table2[Crude PVM Value]))/('SGP and PVM'!C$186-'SGP and PVM'!I$188*COUNT(Table2[Crude PVM Value]))+1</f>
        <v>13.142360318209267</v>
      </c>
      <c r="K15">
        <f>IF(Table1[[#This Row],[Included?]],Table2[[#This Row],[OBP Diff]],"")</f>
        <v>1.2944691732038311</v>
      </c>
      <c r="L1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20.796139836840641</v>
      </c>
      <c r="M15" s="13">
        <f>IF(Table1[[#This Row],[Included?]], (Table2[[#This Row],[IC PVM]]-L$188)*('SGP and PVM'!C$186-COUNT(Table2[IC PVM]))/('SGP and PVM'!C$186-'SGP and PVM'!L$188*COUNT(Table2[IC PVM]))+1, "")</f>
        <v>22.08468669544953</v>
      </c>
      <c r="N15" s="13">
        <f ca="1">Table2[[#This Row],[SGP Value]]*N$192+N$193</f>
        <v>21.710555287977385</v>
      </c>
    </row>
    <row r="16" spans="1:14" hidden="1" x14ac:dyDescent="0.25">
      <c r="B1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11.135628678277062</v>
      </c>
      <c r="C16">
        <f>Data!D$186/'SGP and PVM'!B$186*Table2[[#This Row],[SGP]]</f>
        <v>13.006005502329996</v>
      </c>
      <c r="D16">
        <f>((Table2[[#This Row],[SGP]]-B$188)*(Data!D$186-COUNT(Table2[SGP])))/('SGP and PVM'!B$186-'SGP and PVM'!B$188*COUNT(Table2[SGP]))+1</f>
        <v>14.015379382313428</v>
      </c>
      <c r="E16">
        <f>IF(Table1[[#This Row],[Included?]],Table2[[#This Row],[SGP]],"")</f>
        <v>11.135628678277062</v>
      </c>
      <c r="F16">
        <f>IF(Table2[[#This Row],[Included SGP]]&lt;&gt;"", Data!D$186/'SGP and PVM'!E$186*Table2[[#This Row],[Included SGP]], "")</f>
        <v>21.901341669214677</v>
      </c>
      <c r="G16">
        <f>IF(Table2[[#This Row],[CI SGP]]&lt;&gt;"", ((Table2[[#This Row],[CI SGP]]-F$188)*(Data!D$186-COUNT(Table2[CI SGP])))/('SGP and PVM'!F$186-'SGP and PVM'!F$188*COUNT(Table2[CI SGP]))+1, "")</f>
        <v>25.292733609630638</v>
      </c>
      <c r="H16">
        <f>(Table1[[#This Row],[OBP]]-MEDIAN(Table1[OBP]))*Table1[[#This Row],[PA]]</f>
        <v>0.68327234996580721</v>
      </c>
      <c r="I16">
        <f>360*(Table1[[#This Row],[R]]/Data!H$186+Table1[[#This Row],[HR]]/Data!I$186+Table1[[#This Row],[RBI]]/Data!J$186+Table1[[#This Row],[SB]]/Data!K$186+(Table2[[#This Row],[OBP Diff]]-H$188)/(H$186-H$188*COUNT(Table2[OBP Diff])))</f>
        <v>11.751799986212738</v>
      </c>
      <c r="J16">
        <f>(Table2[[#This Row],[Crude PVM Value]]-I$188)*('SGP and PVM'!C$186-COUNT(Table2[Crude PVM Value]))/('SGP and PVM'!C$186-'SGP and PVM'!I$188*COUNT(Table2[Crude PVM Value]))+1</f>
        <v>12.596452691415362</v>
      </c>
      <c r="K16">
        <f>IF(Table1[[#This Row],[Included?]],Table2[[#This Row],[OBP Diff]],"")</f>
        <v>0.68327234996580721</v>
      </c>
      <c r="L1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20.075794294855779</v>
      </c>
      <c r="M16" s="13">
        <f>IF(Table1[[#This Row],[Included?]], (Table2[[#This Row],[IC PVM]]-L$188)*('SGP and PVM'!C$186-COUNT(Table2[IC PVM]))/('SGP and PVM'!C$186-'SGP and PVM'!L$188*COUNT(Table2[IC PVM]))+1, "")</f>
        <v>20.198466840578956</v>
      </c>
      <c r="N16" s="13">
        <f ca="1">Table2[[#This Row],[SGP Value]]*N$192+N$193</f>
        <v>26.806582775337617</v>
      </c>
    </row>
    <row r="17" spans="2:14" hidden="1" x14ac:dyDescent="0.25">
      <c r="B1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10.788456433848122</v>
      </c>
      <c r="C17">
        <f>Data!D$186/'SGP and PVM'!B$186*Table2[[#This Row],[SGP]]</f>
        <v>12.600521065684999</v>
      </c>
      <c r="D17">
        <f>((Table2[[#This Row],[SGP]]-B$188)*(Data!D$186-COUNT(Table2[SGP])))/('SGP and PVM'!B$186-'SGP and PVM'!B$188*COUNT(Table2[SGP]))+1</f>
        <v>13.478540930635292</v>
      </c>
      <c r="E17">
        <f>IF(Table1[[#This Row],[Included?]],Table2[[#This Row],[SGP]],"")</f>
        <v>10.788456433848122</v>
      </c>
      <c r="F17">
        <f>IF(Table2[[#This Row],[Included SGP]]&lt;&gt;"", Data!D$186/'SGP and PVM'!E$186*Table2[[#This Row],[Included SGP]], "")</f>
        <v>21.218529933749842</v>
      </c>
      <c r="G17">
        <f>IF(Table2[[#This Row],[CI SGP]]&lt;&gt;"", ((Table2[[#This Row],[CI SGP]]-F$188)*(Data!D$186-COUNT(Table2[CI SGP])))/('SGP and PVM'!F$186-'SGP and PVM'!F$188*COUNT(Table2[CI SGP]))+1, "")</f>
        <v>23.392001784383442</v>
      </c>
      <c r="H17">
        <f>(Table1[[#This Row],[OBP]]-MEDIAN(Table1[OBP]))*Table1[[#This Row],[PA]]</f>
        <v>1.4376730296701161</v>
      </c>
      <c r="I17">
        <f>360*(Table1[[#This Row],[R]]/Data!H$186+Table1[[#This Row],[HR]]/Data!I$186+Table1[[#This Row],[RBI]]/Data!J$186+Table1[[#This Row],[SB]]/Data!K$186+(Table2[[#This Row],[OBP Diff]]-H$188)/(H$186-H$188*COUNT(Table2[OBP Diff])))</f>
        <v>12.094708210838959</v>
      </c>
      <c r="J17">
        <f>(Table2[[#This Row],[Crude PVM Value]]-I$188)*('SGP and PVM'!C$186-COUNT(Table2[Crude PVM Value]))/('SGP and PVM'!C$186-'SGP and PVM'!I$188*COUNT(Table2[Crude PVM Value]))+1</f>
        <v>13.094939097487078</v>
      </c>
      <c r="K17">
        <f>IF(Table1[[#This Row],[Included?]],Table2[[#This Row],[OBP Diff]],"")</f>
        <v>1.4376730296701161</v>
      </c>
      <c r="L1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20.962375770404222</v>
      </c>
      <c r="M17" s="13">
        <f>IF(Table1[[#This Row],[Included?]], (Table2[[#This Row],[IC PVM]]-L$188)*('SGP and PVM'!C$186-COUNT(Table2[IC PVM]))/('SGP and PVM'!C$186-'SGP and PVM'!L$188*COUNT(Table2[IC PVM]))+1, "")</f>
        <v>22.519974345896546</v>
      </c>
      <c r="N17" s="13">
        <f ca="1">Table2[[#This Row],[SGP Value]]*N$192+N$193</f>
        <v>23.502571844552335</v>
      </c>
    </row>
    <row r="18" spans="2:14" hidden="1" x14ac:dyDescent="0.25">
      <c r="B1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11.914746922909735</v>
      </c>
      <c r="C18">
        <f>Data!D$186/'SGP and PVM'!B$186*Table2[[#This Row],[SGP]]</f>
        <v>13.915987010282548</v>
      </c>
      <c r="D18">
        <f>((Table2[[#This Row],[SGP]]-B$188)*(Data!D$186-COUNT(Table2[SGP])))/('SGP and PVM'!B$186-'SGP and PVM'!B$188*COUNT(Table2[SGP]))+1</f>
        <v>15.220143411796217</v>
      </c>
      <c r="E18">
        <f>IF(Table1[[#This Row],[Included?]],Table2[[#This Row],[SGP]],"")</f>
        <v>11.914746922909735</v>
      </c>
      <c r="F18">
        <f>IF(Table2[[#This Row],[Included SGP]]&lt;&gt;"", Data!D$186/'SGP and PVM'!E$186*Table2[[#This Row],[Included SGP]], "")</f>
        <v>23.433696542874053</v>
      </c>
      <c r="G18">
        <f>IF(Table2[[#This Row],[CI SGP]]&lt;&gt;"", ((Table2[[#This Row],[CI SGP]]-F$188)*(Data!D$186-COUNT(Table2[CI SGP])))/('SGP and PVM'!F$186-'SGP and PVM'!F$188*COUNT(Table2[CI SGP]))+1, "")</f>
        <v>29.55832473037233</v>
      </c>
      <c r="H18">
        <f>(Table1[[#This Row],[OBP]]-MEDIAN(Table1[OBP]))*Table1[[#This Row],[PA]]</f>
        <v>-0.4066272722409639</v>
      </c>
      <c r="I18">
        <f>360*(Table1[[#This Row],[R]]/Data!H$186+Table1[[#This Row],[HR]]/Data!I$186+Table1[[#This Row],[RBI]]/Data!J$186+Table1[[#This Row],[SB]]/Data!K$186+(Table2[[#This Row],[OBP Diff]]-H$188)/(H$186-H$188*COUNT(Table2[OBP Diff])))</f>
        <v>12.641991630630836</v>
      </c>
      <c r="J18">
        <f>(Table2[[#This Row],[Crude PVM Value]]-I$188)*('SGP and PVM'!C$186-COUNT(Table2[Crude PVM Value]))/('SGP and PVM'!C$186-'SGP and PVM'!I$188*COUNT(Table2[Crude PVM Value]))+1</f>
        <v>13.890526153854893</v>
      </c>
      <c r="K18">
        <f>IF(Table1[[#This Row],[Included?]],Table2[[#This Row],[OBP Diff]],"")</f>
        <v>-0.4066272722409639</v>
      </c>
      <c r="L1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20.821990262036362</v>
      </c>
      <c r="M18" s="13">
        <f>IF(Table1[[#This Row],[Included?]], (Table2[[#This Row],[IC PVM]]-L$188)*('SGP and PVM'!C$186-COUNT(Table2[IC PVM]))/('SGP and PVM'!C$186-'SGP and PVM'!L$188*COUNT(Table2[IC PVM]))+1, "")</f>
        <v>22.152375856302335</v>
      </c>
      <c r="N18" s="13">
        <f ca="1">Table2[[#This Row],[SGP Value]]*N$192+N$193</f>
        <v>34.221389799657516</v>
      </c>
    </row>
    <row r="19" spans="2:14" hidden="1" x14ac:dyDescent="0.25">
      <c r="B1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13.058175944564848</v>
      </c>
      <c r="C19">
        <f>Data!D$186/'SGP and PVM'!B$186*Table2[[#This Row],[SGP]]</f>
        <v>15.251470131786125</v>
      </c>
      <c r="D19">
        <f>((Table2[[#This Row],[SGP]]-B$188)*(Data!D$186-COUNT(Table2[SGP])))/('SGP and PVM'!B$186-'SGP and PVM'!B$188*COUNT(Table2[SGP]))+1</f>
        <v>16.98824750260242</v>
      </c>
      <c r="E19">
        <f>IF(Table1[[#This Row],[Included?]],Table2[[#This Row],[SGP]],"")</f>
        <v>13.058175944564848</v>
      </c>
      <c r="F19">
        <f>IF(Table2[[#This Row],[Included SGP]]&lt;&gt;"", Data!D$186/'SGP and PVM'!E$186*Table2[[#This Row],[Included SGP]], "")</f>
        <v>25.682570890365241</v>
      </c>
      <c r="G19">
        <f>IF(Table2[[#This Row],[CI SGP]]&lt;&gt;"", ((Table2[[#This Row],[CI SGP]]-F$188)*(Data!D$186-COUNT(Table2[CI SGP])))/('SGP and PVM'!F$186-'SGP and PVM'!F$188*COUNT(Table2[CI SGP]))+1, "")</f>
        <v>35.81847935461672</v>
      </c>
      <c r="H19">
        <f>(Table1[[#This Row],[OBP]]-MEDIAN(Table1[OBP]))*Table1[[#This Row],[PA]]</f>
        <v>0.64755217065709814</v>
      </c>
      <c r="I19">
        <f>360*(Table1[[#This Row],[R]]/Data!H$186+Table1[[#This Row],[HR]]/Data!I$186+Table1[[#This Row],[RBI]]/Data!J$186+Table1[[#This Row],[SB]]/Data!K$186+(Table2[[#This Row],[OBP Diff]]-H$188)/(H$186-H$188*COUNT(Table2[OBP Diff])))</f>
        <v>16.013341823007067</v>
      </c>
      <c r="J19">
        <f>(Table2[[#This Row],[Crude PVM Value]]-I$188)*('SGP and PVM'!C$186-COUNT(Table2[Crude PVM Value]))/('SGP and PVM'!C$186-'SGP and PVM'!I$188*COUNT(Table2[Crude PVM Value]))+1</f>
        <v>18.791465006630094</v>
      </c>
      <c r="K19">
        <f>IF(Table1[[#This Row],[Included?]],Table2[[#This Row],[OBP Diff]],"")</f>
        <v>0.64755217065709814</v>
      </c>
      <c r="L1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26.50623790832562</v>
      </c>
      <c r="M19" s="13">
        <f>IF(Table1[[#This Row],[Included?]], (Table2[[#This Row],[IC PVM]]-L$188)*('SGP and PVM'!C$186-COUNT(Table2[IC PVM]))/('SGP and PVM'!C$186-'SGP and PVM'!L$188*COUNT(Table2[IC PVM]))+1, "")</f>
        <v>37.0365392827728</v>
      </c>
      <c r="N19" s="13">
        <f ca="1">Table2[[#This Row],[SGP Value]]*N$192+N$193</f>
        <v>45.103313820801162</v>
      </c>
    </row>
    <row r="20" spans="2:14" hidden="1" x14ac:dyDescent="0.25">
      <c r="B2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11.876804437777462</v>
      </c>
      <c r="C20">
        <f>Data!D$186/'SGP and PVM'!B$186*Table2[[#This Row],[SGP]]</f>
        <v>13.871671580533613</v>
      </c>
      <c r="D20">
        <f>((Table2[[#This Row],[SGP]]-B$188)*(Data!D$186-COUNT(Table2[SGP])))/('SGP and PVM'!B$186-'SGP and PVM'!B$188*COUNT(Table2[SGP]))+1</f>
        <v>15.161472290189895</v>
      </c>
      <c r="E20">
        <f>IF(Table1[[#This Row],[Included?]],Table2[[#This Row],[SGP]],"")</f>
        <v>11.876804437777462</v>
      </c>
      <c r="F20">
        <f>IF(Table2[[#This Row],[Included SGP]]&lt;&gt;"", Data!D$186/'SGP and PVM'!E$186*Table2[[#This Row],[Included SGP]], "")</f>
        <v>23.359071988242299</v>
      </c>
      <c r="G20">
        <f>IF(Table2[[#This Row],[CI SGP]]&lt;&gt;"", ((Table2[[#This Row],[CI SGP]]-F$188)*(Data!D$186-COUNT(Table2[CI SGP])))/('SGP and PVM'!F$186-'SGP and PVM'!F$188*COUNT(Table2[CI SGP]))+1, "")</f>
        <v>29.350593581995227</v>
      </c>
      <c r="H20">
        <f>(Table1[[#This Row],[OBP]]-MEDIAN(Table1[OBP]))*Table1[[#This Row],[PA]]</f>
        <v>0.58701638305899351</v>
      </c>
      <c r="I20">
        <f>360*(Table1[[#This Row],[R]]/Data!H$186+Table1[[#This Row],[HR]]/Data!I$186+Table1[[#This Row],[RBI]]/Data!J$186+Table1[[#This Row],[SB]]/Data!K$186+(Table2[[#This Row],[OBP Diff]]-H$188)/(H$186-H$188*COUNT(Table2[OBP Diff])))</f>
        <v>12.871227075973318</v>
      </c>
      <c r="J20">
        <f>(Table2[[#This Row],[Crude PVM Value]]-I$188)*('SGP and PVM'!C$186-COUNT(Table2[Crude PVM Value]))/('SGP and PVM'!C$186-'SGP and PVM'!I$188*COUNT(Table2[Crude PVM Value]))+1</f>
        <v>14.22376620202691</v>
      </c>
      <c r="K20">
        <f>IF(Table1[[#This Row],[Included?]],Table2[[#This Row],[OBP Diff]],"")</f>
        <v>0.58701638305899351</v>
      </c>
      <c r="L2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21.83332112391675</v>
      </c>
      <c r="M20" s="13">
        <f>IF(Table1[[#This Row],[Included?]], (Table2[[#This Row],[IC PVM]]-L$188)*('SGP and PVM'!C$186-COUNT(Table2[IC PVM]))/('SGP and PVM'!C$186-'SGP and PVM'!L$188*COUNT(Table2[IC PVM]))+1, "")</f>
        <v>24.80053877304077</v>
      </c>
      <c r="N20" s="13">
        <f ca="1">Table2[[#This Row],[SGP Value]]*N$192+N$193</f>
        <v>33.860294154398218</v>
      </c>
    </row>
    <row r="21" spans="2:14" hidden="1" x14ac:dyDescent="0.25">
      <c r="B2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13.4501695711987</v>
      </c>
      <c r="C21">
        <f>Data!D$186/'SGP and PVM'!B$186*Table2[[#This Row],[SGP]]</f>
        <v>15.709304297433519</v>
      </c>
      <c r="D21">
        <f>((Table2[[#This Row],[SGP]]-B$188)*(Data!D$186-COUNT(Table2[SGP])))/('SGP and PVM'!B$186-'SGP and PVM'!B$188*COUNT(Table2[SGP]))+1</f>
        <v>17.594394033515226</v>
      </c>
      <c r="E21">
        <f>IF(Table1[[#This Row],[Included?]],Table2[[#This Row],[SGP]],"")</f>
        <v>13.4501695711987</v>
      </c>
      <c r="F21">
        <f>IF(Table2[[#This Row],[Included SGP]]&lt;&gt;"", Data!D$186/'SGP and PVM'!E$186*Table2[[#This Row],[Included SGP]], "")</f>
        <v>26.453536463760319</v>
      </c>
      <c r="G21">
        <f>IF(Table2[[#This Row],[CI SGP]]&lt;&gt;"", ((Table2[[#This Row],[CI SGP]]-F$188)*(Data!D$186-COUNT(Table2[CI SGP])))/('SGP and PVM'!F$186-'SGP and PVM'!F$188*COUNT(Table2[CI SGP]))+1, "")</f>
        <v>37.964603572186569</v>
      </c>
      <c r="H21">
        <f>(Table1[[#This Row],[OBP]]-MEDIAN(Table1[OBP]))*Table1[[#This Row],[PA]]</f>
        <v>0.70684587145888089</v>
      </c>
      <c r="I21">
        <f>360*(Table1[[#This Row],[R]]/Data!H$186+Table1[[#This Row],[HR]]/Data!I$186+Table1[[#This Row],[RBI]]/Data!J$186+Table1[[#This Row],[SB]]/Data!K$186+(Table2[[#This Row],[OBP Diff]]-H$188)/(H$186-H$188*COUNT(Table2[OBP Diff])))</f>
        <v>18.470676629989981</v>
      </c>
      <c r="J21">
        <f>(Table2[[#This Row],[Crude PVM Value]]-I$188)*('SGP and PVM'!C$186-COUNT(Table2[Crude PVM Value]))/('SGP and PVM'!C$186-'SGP and PVM'!I$188*COUNT(Table2[Crude PVM Value]))+1</f>
        <v>22.363697774692358</v>
      </c>
      <c r="K21">
        <f>IF(Table1[[#This Row],[Included?]],Table2[[#This Row],[OBP Diff]],"")</f>
        <v>0.70684587145888089</v>
      </c>
      <c r="L2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30.006968043412847</v>
      </c>
      <c r="M21" s="13">
        <f>IF(Table1[[#This Row],[Included?]], (Table2[[#This Row],[IC PVM]]-L$188)*('SGP and PVM'!C$186-COUNT(Table2[IC PVM]))/('SGP and PVM'!C$186-'SGP and PVM'!L$188*COUNT(Table2[IC PVM]))+1, "")</f>
        <v>46.203177100993706</v>
      </c>
      <c r="N21" s="13">
        <f ca="1">Table2[[#This Row],[SGP Value]]*N$192+N$193</f>
        <v>48.833886318976511</v>
      </c>
    </row>
    <row r="22" spans="2:14" hidden="1" x14ac:dyDescent="0.25">
      <c r="B2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10.503938010269113</v>
      </c>
      <c r="C22">
        <f>Data!D$186/'SGP and PVM'!B$186*Table2[[#This Row],[SGP]]</f>
        <v>12.268213991743002</v>
      </c>
      <c r="D22">
        <f>((Table2[[#This Row],[SGP]]-B$188)*(Data!D$186-COUNT(Table2[SGP])))/('SGP and PVM'!B$186-'SGP and PVM'!B$188*COUNT(Table2[SGP]))+1</f>
        <v>13.038585166777208</v>
      </c>
      <c r="E22">
        <f>IF(Table1[[#This Row],[Included?]],Table2[[#This Row],[SGP]],"")</f>
        <v>10.503938010269113</v>
      </c>
      <c r="F22">
        <f>IF(Table2[[#This Row],[Included SGP]]&lt;&gt;"", Data!D$186/'SGP and PVM'!E$186*Table2[[#This Row],[Included SGP]], "")</f>
        <v>20.65894453574299</v>
      </c>
      <c r="G22">
        <f>IF(Table2[[#This Row],[CI SGP]]&lt;&gt;"", ((Table2[[#This Row],[CI SGP]]-F$188)*(Data!D$186-COUNT(Table2[CI SGP])))/('SGP and PVM'!F$186-'SGP and PVM'!F$188*COUNT(Table2[CI SGP]))+1, "")</f>
        <v>21.834293092966227</v>
      </c>
      <c r="H22">
        <f>(Table1[[#This Row],[OBP]]-MEDIAN(Table1[OBP]))*Table1[[#This Row],[PA]]</f>
        <v>1.034123785199123</v>
      </c>
      <c r="I22">
        <f>360*(Table1[[#This Row],[R]]/Data!H$186+Table1[[#This Row],[HR]]/Data!I$186+Table1[[#This Row],[RBI]]/Data!J$186+Table1[[#This Row],[SB]]/Data!K$186+(Table2[[#This Row],[OBP Diff]]-H$188)/(H$186-H$188*COUNT(Table2[OBP Diff])))</f>
        <v>11.528848741115361</v>
      </c>
      <c r="J22">
        <f>(Table2[[#This Row],[Crude PVM Value]]-I$188)*('SGP and PVM'!C$186-COUNT(Table2[Crude PVM Value]))/('SGP and PVM'!C$186-'SGP and PVM'!I$188*COUNT(Table2[Crude PVM Value]))+1</f>
        <v>12.272347998333272</v>
      </c>
      <c r="K22">
        <f>IF(Table1[[#This Row],[Included?]],Table2[[#This Row],[OBP Diff]],"")</f>
        <v>1.034123785199123</v>
      </c>
      <c r="L2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19.816041868923826</v>
      </c>
      <c r="M22" s="13">
        <f>IF(Table1[[#This Row],[Included?]], (Table2[[#This Row],[IC PVM]]-L$188)*('SGP and PVM'!C$186-COUNT(Table2[IC PVM]))/('SGP and PVM'!C$186-'SGP and PVM'!L$188*COUNT(Table2[IC PVM]))+1, "")</f>
        <v>19.518306897069586</v>
      </c>
      <c r="N22" s="13">
        <f ca="1">Table2[[#This Row],[SGP Value]]*N$192+N$193</f>
        <v>20.794832396483471</v>
      </c>
    </row>
    <row r="23" spans="2:14" hidden="1" x14ac:dyDescent="0.25">
      <c r="B2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10.642321502312818</v>
      </c>
      <c r="C23">
        <f>Data!D$186/'SGP and PVM'!B$186*Table2[[#This Row],[SGP]]</f>
        <v>12.429840830330308</v>
      </c>
      <c r="D23">
        <f>((Table2[[#This Row],[SGP]]-B$188)*(Data!D$186-COUNT(Table2[SGP])))/('SGP and PVM'!B$186-'SGP and PVM'!B$188*COUNT(Table2[SGP]))+1</f>
        <v>13.252569956168291</v>
      </c>
      <c r="E23">
        <f>IF(Table1[[#This Row],[Included?]],Table2[[#This Row],[SGP]],"")</f>
        <v>10.642321502312818</v>
      </c>
      <c r="F23">
        <f>IF(Table2[[#This Row],[Included SGP]]&lt;&gt;"", Data!D$186/'SGP and PVM'!E$186*Table2[[#This Row],[Included SGP]], "")</f>
        <v>20.93111454322003</v>
      </c>
      <c r="G23">
        <f>IF(Table2[[#This Row],[CI SGP]]&lt;&gt;"", ((Table2[[#This Row],[CI SGP]]-F$188)*(Data!D$186-COUNT(Table2[CI SGP])))/('SGP and PVM'!F$186-'SGP and PVM'!F$188*COUNT(Table2[CI SGP]))+1, "")</f>
        <v>22.59192827733693</v>
      </c>
      <c r="H23">
        <f>(Table1[[#This Row],[OBP]]-MEDIAN(Table1[OBP]))*Table1[[#This Row],[PA]]</f>
        <v>-0.2084730025716289</v>
      </c>
      <c r="I23">
        <f>360*(Table1[[#This Row],[R]]/Data!H$186+Table1[[#This Row],[HR]]/Data!I$186+Table1[[#This Row],[RBI]]/Data!J$186+Table1[[#This Row],[SB]]/Data!K$186+(Table2[[#This Row],[OBP Diff]]-H$188)/(H$186-H$188*COUNT(Table2[OBP Diff])))</f>
        <v>10.868391091409045</v>
      </c>
      <c r="J23">
        <f>(Table2[[#This Row],[Crude PVM Value]]-I$188)*('SGP and PVM'!C$186-COUNT(Table2[Crude PVM Value]))/('SGP and PVM'!C$186-'SGP and PVM'!I$188*COUNT(Table2[Crude PVM Value]))+1</f>
        <v>11.312239326330607</v>
      </c>
      <c r="K23">
        <f>IF(Table1[[#This Row],[Included?]],Table2[[#This Row],[OBP Diff]],"")</f>
        <v>-0.2084730025716289</v>
      </c>
      <c r="L2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18.088841612612214</v>
      </c>
      <c r="M23" s="13">
        <f>IF(Table1[[#This Row],[Included?]], (Table2[[#This Row],[IC PVM]]-L$188)*('SGP and PVM'!C$186-COUNT(Table2[IC PVM]))/('SGP and PVM'!C$186-'SGP and PVM'!L$188*COUNT(Table2[IC PVM]))+1, "")</f>
        <v>14.995644887090812</v>
      </c>
      <c r="N23" s="13">
        <f ca="1">Table2[[#This Row],[SGP Value]]*N$192+N$193</f>
        <v>22.111817200682651</v>
      </c>
    </row>
    <row r="24" spans="2:14" hidden="1" x14ac:dyDescent="0.25">
      <c r="B2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12.69632993725557</v>
      </c>
      <c r="C24">
        <f>Data!D$186/'SGP and PVM'!B$186*Table2[[#This Row],[SGP]]</f>
        <v>14.828847278777275</v>
      </c>
      <c r="D24">
        <f>((Table2[[#This Row],[SGP]]-B$188)*(Data!D$186-COUNT(Table2[SGP])))/('SGP and PVM'!B$186-'SGP and PVM'!B$188*COUNT(Table2[SGP]))+1</f>
        <v>16.428718757355647</v>
      </c>
      <c r="E24">
        <f>IF(Table1[[#This Row],[Included?]],Table2[[#This Row],[SGP]],"")</f>
        <v>12.69632993725557</v>
      </c>
      <c r="F24">
        <f>IF(Table2[[#This Row],[Included SGP]]&lt;&gt;"", Data!D$186/'SGP and PVM'!E$186*Table2[[#This Row],[Included SGP]], "")</f>
        <v>24.970899078500565</v>
      </c>
      <c r="G24">
        <f>IF(Table2[[#This Row],[CI SGP]]&lt;&gt;"", ((Table2[[#This Row],[CI SGP]]-F$188)*(Data!D$186-COUNT(Table2[CI SGP])))/('SGP and PVM'!F$186-'SGP and PVM'!F$188*COUNT(Table2[CI SGP]))+1, "")</f>
        <v>33.837410208197241</v>
      </c>
      <c r="H24">
        <f>(Table1[[#This Row],[OBP]]-MEDIAN(Table1[OBP]))*Table1[[#This Row],[PA]]</f>
        <v>0.40306870895496627</v>
      </c>
      <c r="I24">
        <f>360*(Table1[[#This Row],[R]]/Data!H$186+Table1[[#This Row],[HR]]/Data!I$186+Table1[[#This Row],[RBI]]/Data!J$186+Table1[[#This Row],[SB]]/Data!K$186+(Table2[[#This Row],[OBP Diff]]-H$188)/(H$186-H$188*COUNT(Table2[OBP Diff])))</f>
        <v>16.089776170097714</v>
      </c>
      <c r="J24">
        <f>(Table2[[#This Row],[Crude PVM Value]]-I$188)*('SGP and PVM'!C$186-COUNT(Table2[Crude PVM Value]))/('SGP and PVM'!C$186-'SGP and PVM'!I$188*COUNT(Table2[Crude PVM Value]))+1</f>
        <v>18.902577777468956</v>
      </c>
      <c r="K24">
        <f>IF(Table1[[#This Row],[Included?]],Table2[[#This Row],[OBP Diff]],"")</f>
        <v>0.40306870895496627</v>
      </c>
      <c r="L2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26.32290387493746</v>
      </c>
      <c r="M24" s="13">
        <f>IF(Table1[[#This Row],[Included?]], (Table2[[#This Row],[IC PVM]]-L$188)*('SGP and PVM'!C$186-COUNT(Table2[IC PVM]))/('SGP and PVM'!C$186-'SGP and PVM'!L$188*COUNT(Table2[IC PVM]))+1, "")</f>
        <v>36.556480375352614</v>
      </c>
      <c r="N24" s="13">
        <f ca="1">Table2[[#This Row],[SGP Value]]*N$192+N$193</f>
        <v>41.659653843381548</v>
      </c>
    </row>
    <row r="25" spans="2:14" hidden="1" x14ac:dyDescent="0.25">
      <c r="B2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9.3793371494826925</v>
      </c>
      <c r="C25">
        <f>Data!D$186/'SGP and PVM'!B$186*Table2[[#This Row],[SGP]]</f>
        <v>10.95472147094387</v>
      </c>
      <c r="D25">
        <f>((Table2[[#This Row],[SGP]]-B$188)*(Data!D$186-COUNT(Table2[SGP])))/('SGP and PVM'!B$186-'SGP and PVM'!B$188*COUNT(Table2[SGP]))+1</f>
        <v>11.299595387068434</v>
      </c>
      <c r="E25">
        <f>IF(Table1[[#This Row],[Included?]],Table2[[#This Row],[SGP]],"")</f>
        <v>9.3793371494826925</v>
      </c>
      <c r="F25">
        <f>IF(Table2[[#This Row],[Included SGP]]&lt;&gt;"", Data!D$186/'SGP and PVM'!E$186*Table2[[#This Row],[Included SGP]], "")</f>
        <v>18.447101055219605</v>
      </c>
      <c r="G25">
        <f>IF(Table2[[#This Row],[CI SGP]]&lt;&gt;"", ((Table2[[#This Row],[CI SGP]]-F$188)*(Data!D$186-COUNT(Table2[CI SGP])))/('SGP and PVM'!F$186-'SGP and PVM'!F$188*COUNT(Table2[CI SGP]))+1, "")</f>
        <v>15.677220685541501</v>
      </c>
      <c r="H25">
        <f>(Table1[[#This Row],[OBP]]-MEDIAN(Table1[OBP]))*Table1[[#This Row],[PA]]</f>
        <v>-3.5159819053869605E-2</v>
      </c>
      <c r="I25">
        <f>360*(Table1[[#This Row],[R]]/Data!H$186+Table1[[#This Row],[HR]]/Data!I$186+Table1[[#This Row],[RBI]]/Data!J$186+Table1[[#This Row],[SB]]/Data!K$186+(Table2[[#This Row],[OBP Diff]]-H$188)/(H$186-H$188*COUNT(Table2[OBP Diff])))</f>
        <v>9.9617600380261688</v>
      </c>
      <c r="J25">
        <f>(Table2[[#This Row],[Crude PVM Value]]-I$188)*('SGP and PVM'!C$186-COUNT(Table2[Crude PVM Value]))/('SGP and PVM'!C$186-'SGP and PVM'!I$188*COUNT(Table2[Crude PVM Value]))+1</f>
        <v>9.9942678605645892</v>
      </c>
      <c r="K25">
        <f>IF(Table1[[#This Row],[Included?]],Table2[[#This Row],[OBP Diff]],"")</f>
        <v>-3.5159819053869605E-2</v>
      </c>
      <c r="L2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16.593781451764897</v>
      </c>
      <c r="M25" s="13">
        <f>IF(Table1[[#This Row],[Included?]], (Table2[[#This Row],[IC PVM]]-L$188)*('SGP and PVM'!C$186-COUNT(Table2[IC PVM]))/('SGP and PVM'!C$186-'SGP and PVM'!L$188*COUNT(Table2[IC PVM]))+1, "")</f>
        <v>11.080840122913532</v>
      </c>
      <c r="N25" s="13">
        <f ca="1">Table2[[#This Row],[SGP Value]]*N$192+N$193</f>
        <v>10.092094500714197</v>
      </c>
    </row>
    <row r="26" spans="2:14" hidden="1" x14ac:dyDescent="0.25">
      <c r="B2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10.58971325189451</v>
      </c>
      <c r="C26">
        <f>Data!D$186/'SGP and PVM'!B$186*Table2[[#This Row],[SGP]]</f>
        <v>12.368396325114071</v>
      </c>
      <c r="D26">
        <f>((Table2[[#This Row],[SGP]]-B$188)*(Data!D$186-COUNT(Table2[SGP])))/('SGP and PVM'!B$186-'SGP and PVM'!B$188*COUNT(Table2[SGP]))+1</f>
        <v>13.171220907811863</v>
      </c>
      <c r="E26">
        <f>IF(Table1[[#This Row],[Included?]],Table2[[#This Row],[SGP]],"")</f>
        <v>10.58971325189451</v>
      </c>
      <c r="F26">
        <f>IF(Table2[[#This Row],[Included SGP]]&lt;&gt;"", Data!D$186/'SGP and PVM'!E$186*Table2[[#This Row],[Included SGP]], "")</f>
        <v>20.82764564170407</v>
      </c>
      <c r="G26">
        <f>IF(Table2[[#This Row],[CI SGP]]&lt;&gt;"", ((Table2[[#This Row],[CI SGP]]-F$188)*(Data!D$186-COUNT(Table2[CI SGP])))/('SGP and PVM'!F$186-'SGP and PVM'!F$188*COUNT(Table2[CI SGP]))+1, "")</f>
        <v>22.303903593782145</v>
      </c>
      <c r="H26">
        <f>(Table1[[#This Row],[OBP]]-MEDIAN(Table1[OBP]))*Table1[[#This Row],[PA]]</f>
        <v>0.86220204228965913</v>
      </c>
      <c r="I26">
        <f>360*(Table1[[#This Row],[R]]/Data!H$186+Table1[[#This Row],[HR]]/Data!I$186+Table1[[#This Row],[RBI]]/Data!J$186+Table1[[#This Row],[SB]]/Data!K$186+(Table2[[#This Row],[OBP Diff]]-H$188)/(H$186-H$188*COUNT(Table2[OBP Diff])))</f>
        <v>11.633563328440463</v>
      </c>
      <c r="J26">
        <f>(Table2[[#This Row],[Crude PVM Value]]-I$188)*('SGP and PVM'!C$186-COUNT(Table2[Crude PVM Value]))/('SGP and PVM'!C$186-'SGP and PVM'!I$188*COUNT(Table2[Crude PVM Value]))+1</f>
        <v>12.424571813775058</v>
      </c>
      <c r="K26">
        <f>IF(Table1[[#This Row],[Included?]],Table2[[#This Row],[OBP Diff]],"")</f>
        <v>0.86220204228965913</v>
      </c>
      <c r="L2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19.89618872898992</v>
      </c>
      <c r="M26" s="13">
        <f>IF(Table1[[#This Row],[Included?]], (Table2[[#This Row],[IC PVM]]-L$188)*('SGP and PVM'!C$186-COUNT(Table2[IC PVM]))/('SGP and PVM'!C$186-'SGP and PVM'!L$188*COUNT(Table2[IC PVM]))+1, "")</f>
        <v>19.728170899761476</v>
      </c>
      <c r="N26" s="13">
        <f ca="1">Table2[[#This Row],[SGP Value]]*N$192+N$193</f>
        <v>21.611148621264718</v>
      </c>
    </row>
    <row r="27" spans="2:14" hidden="1" x14ac:dyDescent="0.25">
      <c r="B2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9.1645593980115034</v>
      </c>
      <c r="C27">
        <f>Data!D$186/'SGP and PVM'!B$186*Table2[[#This Row],[SGP]]</f>
        <v>10.703868941812614</v>
      </c>
      <c r="D27">
        <f>((Table2[[#This Row],[SGP]]-B$188)*(Data!D$186-COUNT(Table2[SGP])))/('SGP and PVM'!B$186-'SGP and PVM'!B$188*COUNT(Table2[SGP]))+1</f>
        <v>10.967480831815429</v>
      </c>
      <c r="E27">
        <f>IF(Table1[[#This Row],[Included?]],Table2[[#This Row],[SGP]],"")</f>
        <v>9.1645593980115034</v>
      </c>
      <c r="F27">
        <f>IF(Table2[[#This Row],[Included SGP]]&lt;&gt;"", Data!D$186/'SGP and PVM'!E$186*Table2[[#This Row],[Included SGP]], "")</f>
        <v>18.024680278286517</v>
      </c>
      <c r="G27">
        <f>IF(Table2[[#This Row],[CI SGP]]&lt;&gt;"", ((Table2[[#This Row],[CI SGP]]-F$188)*(Data!D$186-COUNT(Table2[CI SGP])))/('SGP and PVM'!F$186-'SGP and PVM'!F$188*COUNT(Table2[CI SGP]))+1, "")</f>
        <v>14.501334899372678</v>
      </c>
      <c r="H27">
        <f>(Table1[[#This Row],[OBP]]-MEDIAN(Table1[OBP]))*Table1[[#This Row],[PA]]</f>
        <v>0.811071519196914</v>
      </c>
      <c r="I27">
        <f>360*(Table1[[#This Row],[R]]/Data!H$186+Table1[[#This Row],[HR]]/Data!I$186+Table1[[#This Row],[RBI]]/Data!J$186+Table1[[#This Row],[SB]]/Data!K$186+(Table2[[#This Row],[OBP Diff]]-H$188)/(H$186-H$188*COUNT(Table2[OBP Diff])))</f>
        <v>10.622331831070417</v>
      </c>
      <c r="J27">
        <f>(Table2[[#This Row],[Crude PVM Value]]-I$188)*('SGP and PVM'!C$186-COUNT(Table2[Crude PVM Value]))/('SGP and PVM'!C$186-'SGP and PVM'!I$188*COUNT(Table2[Crude PVM Value]))+1</f>
        <v>10.954542462977249</v>
      </c>
      <c r="K27">
        <f>IF(Table1[[#This Row],[Included?]],Table2[[#This Row],[OBP Diff]],"")</f>
        <v>0.811071519196914</v>
      </c>
      <c r="L2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17.959112845518703</v>
      </c>
      <c r="M27" s="13">
        <f>IF(Table1[[#This Row],[Included?]], (Table2[[#This Row],[IC PVM]]-L$188)*('SGP and PVM'!C$186-COUNT(Table2[IC PVM]))/('SGP and PVM'!C$186-'SGP and PVM'!L$188*COUNT(Table2[IC PVM]))+1, "")</f>
        <v>14.655951001340627</v>
      </c>
      <c r="N27" s="13">
        <f ca="1">Table2[[#This Row],[SGP Value]]*N$192+N$193</f>
        <v>8.0480715411093655</v>
      </c>
    </row>
    <row r="28" spans="2:14" hidden="1" x14ac:dyDescent="0.25">
      <c r="B2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9.7105554119680981</v>
      </c>
      <c r="C28">
        <f>Data!D$186/'SGP and PVM'!B$186*Table2[[#This Row],[SGP]]</f>
        <v>11.341572242356616</v>
      </c>
      <c r="D28">
        <f>((Table2[[#This Row],[SGP]]-B$188)*(Data!D$186-COUNT(Table2[SGP])))/('SGP and PVM'!B$186-'SGP and PVM'!B$188*COUNT(Table2[SGP]))+1</f>
        <v>11.811763920277842</v>
      </c>
      <c r="E28">
        <f>IF(Table1[[#This Row],[Included?]],Table2[[#This Row],[SGP]],"")</f>
        <v>9.7105554119680981</v>
      </c>
      <c r="F28">
        <f>IF(Table2[[#This Row],[Included SGP]]&lt;&gt;"", Data!D$186/'SGP and PVM'!E$186*Table2[[#This Row],[Included SGP]], "")</f>
        <v>19.098534803897628</v>
      </c>
      <c r="G28">
        <f>IF(Table2[[#This Row],[CI SGP]]&lt;&gt;"", ((Table2[[#This Row],[CI SGP]]-F$188)*(Data!D$186-COUNT(Table2[CI SGP])))/('SGP and PVM'!F$186-'SGP and PVM'!F$188*COUNT(Table2[CI SGP]))+1, "")</f>
        <v>17.490606123783095</v>
      </c>
      <c r="H28">
        <f>(Table1[[#This Row],[OBP]]-MEDIAN(Table1[OBP]))*Table1[[#This Row],[PA]]</f>
        <v>1.2510650663789402</v>
      </c>
      <c r="I28">
        <f>360*(Table1[[#This Row],[R]]/Data!H$186+Table1[[#This Row],[HR]]/Data!I$186+Table1[[#This Row],[RBI]]/Data!J$186+Table1[[#This Row],[SB]]/Data!K$186+(Table2[[#This Row],[OBP Diff]]-H$188)/(H$186-H$188*COUNT(Table2[OBP Diff])))</f>
        <v>11.500861728546889</v>
      </c>
      <c r="J28">
        <f>(Table2[[#This Row],[Crude PVM Value]]-I$188)*('SGP and PVM'!C$186-COUNT(Table2[Crude PVM Value]))/('SGP and PVM'!C$186-'SGP and PVM'!I$188*COUNT(Table2[Crude PVM Value]))+1</f>
        <v>12.231663219404016</v>
      </c>
      <c r="K28">
        <f>IF(Table1[[#This Row],[Included?]],Table2[[#This Row],[OBP Diff]],"")</f>
        <v>1.2510650663789402</v>
      </c>
      <c r="L2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19.666964134341463</v>
      </c>
      <c r="M28" s="13">
        <f>IF(Table1[[#This Row],[Included?]], (Table2[[#This Row],[IC PVM]]-L$188)*('SGP and PVM'!C$186-COUNT(Table2[IC PVM]))/('SGP and PVM'!C$186-'SGP and PVM'!L$188*COUNT(Table2[IC PVM]))+1, "")</f>
        <v>19.127947872824681</v>
      </c>
      <c r="N28" s="13">
        <f ca="1">Table2[[#This Row],[SGP Value]]*N$192+N$193</f>
        <v>13.24427264078291</v>
      </c>
    </row>
    <row r="29" spans="2:14" hidden="1" x14ac:dyDescent="0.25">
      <c r="B2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11.148692370355816</v>
      </c>
      <c r="C29">
        <f>Data!D$186/'SGP and PVM'!B$186*Table2[[#This Row],[SGP]]</f>
        <v>13.021263415104016</v>
      </c>
      <c r="D29">
        <f>((Table2[[#This Row],[SGP]]-B$188)*(Data!D$186-COUNT(Table2[SGP])))/('SGP and PVM'!B$186-'SGP and PVM'!B$188*COUNT(Table2[SGP]))+1</f>
        <v>14.03557999552862</v>
      </c>
      <c r="E29">
        <f>IF(Table1[[#This Row],[Included?]],Table2[[#This Row],[SGP]],"")</f>
        <v>11.148692370355816</v>
      </c>
      <c r="F29">
        <f>IF(Table2[[#This Row],[Included SGP]]&lt;&gt;"", Data!D$186/'SGP and PVM'!E$186*Table2[[#This Row],[Included SGP]], "")</f>
        <v>21.927035089132346</v>
      </c>
      <c r="G29">
        <f>IF(Table2[[#This Row],[CI SGP]]&lt;&gt;"", ((Table2[[#This Row],[CI SGP]]-F$188)*(Data!D$186-COUNT(Table2[CI SGP])))/('SGP and PVM'!F$186-'SGP and PVM'!F$188*COUNT(Table2[CI SGP]))+1, "")</f>
        <v>25.364255961108253</v>
      </c>
      <c r="H29">
        <f>(Table1[[#This Row],[OBP]]-MEDIAN(Table1[OBP]))*Table1[[#This Row],[PA]]</f>
        <v>0.17481220407773509</v>
      </c>
      <c r="I29">
        <f>360*(Table1[[#This Row],[R]]/Data!H$186+Table1[[#This Row],[HR]]/Data!I$186+Table1[[#This Row],[RBI]]/Data!J$186+Table1[[#This Row],[SB]]/Data!K$186+(Table2[[#This Row],[OBP Diff]]-H$188)/(H$186-H$188*COUNT(Table2[OBP Diff])))</f>
        <v>13.369273967279932</v>
      </c>
      <c r="J29">
        <f>(Table2[[#This Row],[Crude PVM Value]]-I$188)*('SGP and PVM'!C$186-COUNT(Table2[Crude PVM Value]))/('SGP and PVM'!C$186-'SGP and PVM'!I$188*COUNT(Table2[Crude PVM Value]))+1</f>
        <v>14.947778013564077</v>
      </c>
      <c r="K29">
        <f>IF(Table1[[#This Row],[Included?]],Table2[[#This Row],[OBP Diff]],"")</f>
        <v>0.17481220407773509</v>
      </c>
      <c r="L2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21.959936767195597</v>
      </c>
      <c r="M29" s="13">
        <f>IF(Table1[[#This Row],[Included?]], (Table2[[#This Row],[IC PVM]]-L$188)*('SGP and PVM'!C$186-COUNT(Table2[IC PVM]))/('SGP and PVM'!C$186-'SGP and PVM'!L$188*COUNT(Table2[IC PVM]))+1, "")</f>
        <v>25.132080965460958</v>
      </c>
      <c r="N29" s="13">
        <f ca="1">Table2[[#This Row],[SGP Value]]*N$192+N$193</f>
        <v>26.930908904851862</v>
      </c>
    </row>
    <row r="30" spans="2:14" hidden="1" x14ac:dyDescent="0.25">
      <c r="B3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8.9690626879643922</v>
      </c>
      <c r="C30">
        <f>Data!D$186/'SGP and PVM'!B$186*Table2[[#This Row],[SGP]]</f>
        <v>10.475535961249047</v>
      </c>
      <c r="D30">
        <f>((Table2[[#This Row],[SGP]]-B$188)*(Data!D$186-COUNT(Table2[SGP])))/('SGP and PVM'!B$186-'SGP and PVM'!B$188*COUNT(Table2[SGP]))+1</f>
        <v>10.665180884702743</v>
      </c>
      <c r="E30">
        <f>IF(Table1[[#This Row],[Included?]],Table2[[#This Row],[SGP]],"")</f>
        <v>8.9690626879643922</v>
      </c>
      <c r="F30">
        <f>IF(Table2[[#This Row],[Included SGP]]&lt;&gt;"", Data!D$186/'SGP and PVM'!E$186*Table2[[#This Row],[Included SGP]], "")</f>
        <v>17.640181085142476</v>
      </c>
      <c r="G30">
        <f>IF(Table2[[#This Row],[CI SGP]]&lt;&gt;"", ((Table2[[#This Row],[CI SGP]]-F$188)*(Data!D$186-COUNT(Table2[CI SGP])))/('SGP and PVM'!F$186-'SGP and PVM'!F$188*COUNT(Table2[CI SGP]))+1, "")</f>
        <v>13.431010803824989</v>
      </c>
      <c r="H30">
        <f>(Table1[[#This Row],[OBP]]-MEDIAN(Table1[OBP]))*Table1[[#This Row],[PA]]</f>
        <v>1.0283807176791675</v>
      </c>
      <c r="I30">
        <f>360*(Table1[[#This Row],[R]]/Data!H$186+Table1[[#This Row],[HR]]/Data!I$186+Table1[[#This Row],[RBI]]/Data!J$186+Table1[[#This Row],[SB]]/Data!K$186+(Table2[[#This Row],[OBP Diff]]-H$188)/(H$186-H$188*COUNT(Table2[OBP Diff])))</f>
        <v>10.41050810528589</v>
      </c>
      <c r="J30">
        <f>(Table2[[#This Row],[Crude PVM Value]]-I$188)*('SGP and PVM'!C$186-COUNT(Table2[Crude PVM Value]))/('SGP and PVM'!C$186-'SGP and PVM'!I$188*COUNT(Table2[Crude PVM Value]))+1</f>
        <v>10.646613868082373</v>
      </c>
      <c r="K30">
        <f>IF(Table1[[#This Row],[Included?]],Table2[[#This Row],[OBP Diff]],"")</f>
        <v>1.0283807176791675</v>
      </c>
      <c r="L3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17.757719456935742</v>
      </c>
      <c r="M30" s="13">
        <f>IF(Table1[[#This Row],[Included?]], (Table2[[#This Row],[IC PVM]]-L$188)*('SGP and PVM'!C$186-COUNT(Table2[IC PVM]))/('SGP and PVM'!C$186-'SGP and PVM'!L$188*COUNT(Table2[IC PVM]))+1, "")</f>
        <v>14.128603796361563</v>
      </c>
      <c r="N30" s="13">
        <f ca="1">Table2[[#This Row],[SGP Value]]*N$192+N$193</f>
        <v>6.1875447354867248</v>
      </c>
    </row>
    <row r="31" spans="2:14" hidden="1" x14ac:dyDescent="0.25">
      <c r="B3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10.329885779989665</v>
      </c>
      <c r="C31">
        <f>Data!D$186/'SGP and PVM'!B$186*Table2[[#This Row],[SGP]]</f>
        <v>12.064927376311644</v>
      </c>
      <c r="D31">
        <f>((Table2[[#This Row],[SGP]]-B$188)*(Data!D$186-COUNT(Table2[SGP])))/('SGP and PVM'!B$186-'SGP and PVM'!B$188*COUNT(Table2[SGP]))+1</f>
        <v>12.769445189968174</v>
      </c>
      <c r="E31">
        <f>IF(Table1[[#This Row],[Included?]],Table2[[#This Row],[SGP]],"")</f>
        <v>10.329885779989665</v>
      </c>
      <c r="F31">
        <f>IF(Table2[[#This Row],[Included SGP]]&lt;&gt;"", Data!D$186/'SGP and PVM'!E$186*Table2[[#This Row],[Included SGP]], "")</f>
        <v>20.316621935576258</v>
      </c>
      <c r="G31">
        <f>IF(Table2[[#This Row],[CI SGP]]&lt;&gt;"", ((Table2[[#This Row],[CI SGP]]-F$188)*(Data!D$186-COUNT(Table2[CI SGP])))/('SGP and PVM'!F$186-'SGP and PVM'!F$188*COUNT(Table2[CI SGP]))+1, "")</f>
        <v>20.88137528730589</v>
      </c>
      <c r="H31">
        <f>(Table1[[#This Row],[OBP]]-MEDIAN(Table1[OBP]))*Table1[[#This Row],[PA]]</f>
        <v>-0.26086884123578563</v>
      </c>
      <c r="I31">
        <f>360*(Table1[[#This Row],[R]]/Data!H$186+Table1[[#This Row],[HR]]/Data!I$186+Table1[[#This Row],[RBI]]/Data!J$186+Table1[[#This Row],[SB]]/Data!K$186+(Table2[[#This Row],[OBP Diff]]-H$188)/(H$186-H$188*COUNT(Table2[OBP Diff])))</f>
        <v>10.651546078046124</v>
      </c>
      <c r="J31">
        <f>(Table2[[#This Row],[Crude PVM Value]]-I$188)*('SGP and PVM'!C$186-COUNT(Table2[Crude PVM Value]))/('SGP and PVM'!C$186-'SGP and PVM'!I$188*COUNT(Table2[Crude PVM Value]))+1</f>
        <v>10.997011275140872</v>
      </c>
      <c r="K31">
        <f>IF(Table1[[#This Row],[Included?]],Table2[[#This Row],[OBP Diff]],"")</f>
        <v>-0.26086884123578563</v>
      </c>
      <c r="L3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17.711820347957996</v>
      </c>
      <c r="M31" s="13">
        <f>IF(Table1[[#This Row],[Included?]], (Table2[[#This Row],[IC PVM]]-L$188)*('SGP and PVM'!C$186-COUNT(Table2[IC PVM]))/('SGP and PVM'!C$186-'SGP and PVM'!L$188*COUNT(Table2[IC PVM]))+1, "")</f>
        <v>14.008417294705513</v>
      </c>
      <c r="N31" s="13">
        <f ca="1">Table2[[#This Row],[SGP Value]]*N$192+N$193</f>
        <v>19.138391017315087</v>
      </c>
    </row>
    <row r="32" spans="2:14" hidden="1" x14ac:dyDescent="0.25">
      <c r="B3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12.597399445015252</v>
      </c>
      <c r="C32">
        <f>Data!D$186/'SGP and PVM'!B$186*Table2[[#This Row],[SGP]]</f>
        <v>14.713300095623099</v>
      </c>
      <c r="D32">
        <f>((Table2[[#This Row],[SGP]]-B$188)*(Data!D$186-COUNT(Table2[SGP])))/('SGP and PVM'!B$186-'SGP and PVM'!B$188*COUNT(Table2[SGP]))+1</f>
        <v>16.275740824556305</v>
      </c>
      <c r="E32">
        <f>IF(Table1[[#This Row],[Included?]],Table2[[#This Row],[SGP]],"")</f>
        <v>12.597399445015252</v>
      </c>
      <c r="F32">
        <f>IF(Table2[[#This Row],[Included SGP]]&lt;&gt;"", Data!D$186/'SGP and PVM'!E$186*Table2[[#This Row],[Included SGP]], "")</f>
        <v>24.776324477042678</v>
      </c>
      <c r="G32">
        <f>IF(Table2[[#This Row],[CI SGP]]&lt;&gt;"", ((Table2[[#This Row],[CI SGP]]-F$188)*(Data!D$186-COUNT(Table2[CI SGP])))/('SGP and PVM'!F$186-'SGP and PVM'!F$188*COUNT(Table2[CI SGP]))+1, "")</f>
        <v>33.295776082468535</v>
      </c>
      <c r="H32">
        <f>(Table1[[#This Row],[OBP]]-MEDIAN(Table1[OBP]))*Table1[[#This Row],[PA]]</f>
        <v>7.4004517267009143E-2</v>
      </c>
      <c r="I32">
        <f>360*(Table1[[#This Row],[R]]/Data!H$186+Table1[[#This Row],[HR]]/Data!I$186+Table1[[#This Row],[RBI]]/Data!J$186+Table1[[#This Row],[SB]]/Data!K$186+(Table2[[#This Row],[OBP Diff]]-H$188)/(H$186-H$188*COUNT(Table2[OBP Diff])))</f>
        <v>15.986991481902443</v>
      </c>
      <c r="J32">
        <f>(Table2[[#This Row],[Crude PVM Value]]-I$188)*('SGP and PVM'!C$186-COUNT(Table2[Crude PVM Value]))/('SGP and PVM'!C$186-'SGP and PVM'!I$188*COUNT(Table2[Crude PVM Value]))+1</f>
        <v>18.75315946044401</v>
      </c>
      <c r="K32">
        <f>IF(Table1[[#This Row],[Included?]],Table2[[#This Row],[OBP Diff]],"")</f>
        <v>7.4004517267009143E-2</v>
      </c>
      <c r="L3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25.929846015317029</v>
      </c>
      <c r="M32" s="13">
        <f>IF(Table1[[#This Row],[Included?]], (Table2[[#This Row],[IC PVM]]-L$188)*('SGP and PVM'!C$186-COUNT(Table2[IC PVM]))/('SGP and PVM'!C$186-'SGP and PVM'!L$188*COUNT(Table2[IC PVM]))+1, "")</f>
        <v>35.527261069176127</v>
      </c>
      <c r="N32" s="13">
        <f ca="1">Table2[[#This Row],[SGP Value]]*N$192+N$193</f>
        <v>40.718140133702263</v>
      </c>
    </row>
    <row r="33" spans="2:14" hidden="1" x14ac:dyDescent="0.25">
      <c r="B3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10.430248302175247</v>
      </c>
      <c r="C33">
        <f>Data!D$186/'SGP and PVM'!B$186*Table2[[#This Row],[SGP]]</f>
        <v>12.182147117871432</v>
      </c>
      <c r="D33">
        <f>((Table2[[#This Row],[SGP]]-B$188)*(Data!D$186-COUNT(Table2[SGP])))/('SGP and PVM'!B$186-'SGP and PVM'!B$188*COUNT(Table2[SGP]))+1</f>
        <v>12.924637495462655</v>
      </c>
      <c r="E33">
        <f>IF(Table1[[#This Row],[Included?]],Table2[[#This Row],[SGP]],"")</f>
        <v>10.430248302175247</v>
      </c>
      <c r="F33">
        <f>IF(Table2[[#This Row],[Included SGP]]&lt;&gt;"", Data!D$186/'SGP and PVM'!E$186*Table2[[#This Row],[Included SGP]], "")</f>
        <v>20.514013026162683</v>
      </c>
      <c r="G33">
        <f>IF(Table2[[#This Row],[CI SGP]]&lt;&gt;"", ((Table2[[#This Row],[CI SGP]]-F$188)*(Data!D$186-COUNT(Table2[CI SGP])))/('SGP and PVM'!F$186-'SGP and PVM'!F$188*COUNT(Table2[CI SGP]))+1, "")</f>
        <v>21.430849627612087</v>
      </c>
      <c r="H33">
        <f>(Table1[[#This Row],[OBP]]-MEDIAN(Table1[OBP]))*Table1[[#This Row],[PA]]</f>
        <v>0.23380692508965825</v>
      </c>
      <c r="I33">
        <f>360*(Table1[[#This Row],[R]]/Data!H$186+Table1[[#This Row],[HR]]/Data!I$186+Table1[[#This Row],[RBI]]/Data!J$186+Table1[[#This Row],[SB]]/Data!K$186+(Table2[[#This Row],[OBP Diff]]-H$188)/(H$186-H$188*COUNT(Table2[OBP Diff])))</f>
        <v>10.895612058619882</v>
      </c>
      <c r="J33">
        <f>(Table2[[#This Row],[Crude PVM Value]]-I$188)*('SGP and PVM'!C$186-COUNT(Table2[Crude PVM Value]))/('SGP and PVM'!C$186-'SGP and PVM'!I$188*COUNT(Table2[Crude PVM Value]))+1</f>
        <v>11.351810503515162</v>
      </c>
      <c r="K33">
        <f>IF(Table1[[#This Row],[Included?]],Table2[[#This Row],[OBP Diff]],"")</f>
        <v>0.23380692508965825</v>
      </c>
      <c r="L3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18.420073531458158</v>
      </c>
      <c r="M33" s="13">
        <f>IF(Table1[[#This Row],[Included?]], (Table2[[#This Row],[IC PVM]]-L$188)*('SGP and PVM'!C$186-COUNT(Table2[IC PVM]))/('SGP and PVM'!C$186-'SGP and PVM'!L$188*COUNT(Table2[IC PVM]))+1, "")</f>
        <v>15.862973391925546</v>
      </c>
      <c r="N33" s="13">
        <f ca="1">Table2[[#This Row],[SGP Value]]*N$192+N$193</f>
        <v>20.093533243295127</v>
      </c>
    </row>
    <row r="34" spans="2:14" hidden="1" x14ac:dyDescent="0.25">
      <c r="B3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10.80290849445873</v>
      </c>
      <c r="C34">
        <f>Data!D$186/'SGP and PVM'!B$186*Table2[[#This Row],[SGP]]</f>
        <v>12.617400541936597</v>
      </c>
      <c r="D34">
        <f>((Table2[[#This Row],[SGP]]-B$188)*(Data!D$186-COUNT(Table2[SGP])))/('SGP and PVM'!B$186-'SGP and PVM'!B$188*COUNT(Table2[SGP]))+1</f>
        <v>13.500888402146211</v>
      </c>
      <c r="E34">
        <f>IF(Table1[[#This Row],[Included?]],Table2[[#This Row],[SGP]],"")</f>
        <v>10.80290849445873</v>
      </c>
      <c r="F34">
        <f>IF(Table2[[#This Row],[Included SGP]]&lt;&gt;"", Data!D$186/'SGP and PVM'!E$186*Table2[[#This Row],[Included SGP]], "")</f>
        <v>21.246953970362576</v>
      </c>
      <c r="G34">
        <f>IF(Table2[[#This Row],[CI SGP]]&lt;&gt;"", ((Table2[[#This Row],[CI SGP]]-F$188)*(Data!D$186-COUNT(Table2[CI SGP])))/('SGP and PVM'!F$186-'SGP and PVM'!F$188*COUNT(Table2[CI SGP]))+1, "")</f>
        <v>23.471125308754381</v>
      </c>
      <c r="H34">
        <f>(Table1[[#This Row],[OBP]]-MEDIAN(Table1[OBP]))*Table1[[#This Row],[PA]]</f>
        <v>0.24491467837927572</v>
      </c>
      <c r="I34">
        <f>360*(Table1[[#This Row],[R]]/Data!H$186+Table1[[#This Row],[HR]]/Data!I$186+Table1[[#This Row],[RBI]]/Data!J$186+Table1[[#This Row],[SB]]/Data!K$186+(Table2[[#This Row],[OBP Diff]]-H$188)/(H$186-H$188*COUNT(Table2[OBP Diff])))</f>
        <v>11.477299984537598</v>
      </c>
      <c r="J34">
        <f>(Table2[[#This Row],[Crude PVM Value]]-I$188)*('SGP and PVM'!C$186-COUNT(Table2[Crude PVM Value]))/('SGP and PVM'!C$186-'SGP and PVM'!I$188*COUNT(Table2[Crude PVM Value]))+1</f>
        <v>12.19741146267005</v>
      </c>
      <c r="K34">
        <f>IF(Table1[[#This Row],[Included?]],Table2[[#This Row],[OBP Diff]],"")</f>
        <v>0.24491467837927572</v>
      </c>
      <c r="L3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19.340418633573094</v>
      </c>
      <c r="M34" s="13">
        <f>IF(Table1[[#This Row],[Included?]], (Table2[[#This Row],[IC PVM]]-L$188)*('SGP and PVM'!C$186-COUNT(Table2[IC PVM]))/('SGP and PVM'!C$186-'SGP and PVM'!L$188*COUNT(Table2[IC PVM]))+1, "")</f>
        <v>18.272890721543117</v>
      </c>
      <c r="N34" s="13">
        <f ca="1">Table2[[#This Row],[SGP Value]]*N$192+N$193</f>
        <v>23.640110968131651</v>
      </c>
    </row>
    <row r="35" spans="2:14" hidden="1" x14ac:dyDescent="0.25">
      <c r="B3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9.4336208871778986</v>
      </c>
      <c r="C35">
        <f>Data!D$186/'SGP and PVM'!B$186*Table2[[#This Row],[SGP]]</f>
        <v>11.018122883791639</v>
      </c>
      <c r="D35">
        <f>((Table2[[#This Row],[SGP]]-B$188)*(Data!D$186-COUNT(Table2[SGP])))/('SGP and PVM'!B$186-'SGP and PVM'!B$188*COUNT(Table2[SGP]))+1</f>
        <v>11.383535270406547</v>
      </c>
      <c r="E35">
        <f>IF(Table1[[#This Row],[Included?]],Table2[[#This Row],[SGP]],"")</f>
        <v>9.4336208871778986</v>
      </c>
      <c r="F35">
        <f>IF(Table2[[#This Row],[Included SGP]]&lt;&gt;"", Data!D$186/'SGP and PVM'!E$186*Table2[[#This Row],[Included SGP]], "")</f>
        <v>18.553865273091198</v>
      </c>
      <c r="G35">
        <f>IF(Table2[[#This Row],[CI SGP]]&lt;&gt;"", ((Table2[[#This Row],[CI SGP]]-F$188)*(Data!D$186-COUNT(Table2[CI SGP])))/('SGP and PVM'!F$186-'SGP and PVM'!F$188*COUNT(Table2[CI SGP]))+1, "")</f>
        <v>15.974418487169816</v>
      </c>
      <c r="H35">
        <f>(Table1[[#This Row],[OBP]]-MEDIAN(Table1[OBP]))*Table1[[#This Row],[PA]]</f>
        <v>1.0061660196185003</v>
      </c>
      <c r="I35">
        <f>360*(Table1[[#This Row],[R]]/Data!H$186+Table1[[#This Row],[HR]]/Data!I$186+Table1[[#This Row],[RBI]]/Data!J$186+Table1[[#This Row],[SB]]/Data!K$186+(Table2[[#This Row],[OBP Diff]]-H$188)/(H$186-H$188*COUNT(Table2[OBP Diff])))</f>
        <v>10.654748953661397</v>
      </c>
      <c r="J35">
        <f>(Table2[[#This Row],[Crude PVM Value]]-I$188)*('SGP and PVM'!C$186-COUNT(Table2[Crude PVM Value]))/('SGP and PVM'!C$186-'SGP and PVM'!I$188*COUNT(Table2[Crude PVM Value]))+1</f>
        <v>11.001667302147201</v>
      </c>
      <c r="K35">
        <f>IF(Table1[[#This Row],[Included?]],Table2[[#This Row],[OBP Diff]],"")</f>
        <v>1.0061660196185003</v>
      </c>
      <c r="L3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18.265704982725779</v>
      </c>
      <c r="M35" s="13">
        <f>IF(Table1[[#This Row],[Included?]], (Table2[[#This Row],[IC PVM]]-L$188)*('SGP and PVM'!C$186-COUNT(Table2[IC PVM]))/('SGP and PVM'!C$186-'SGP and PVM'!L$188*COUNT(Table2[IC PVM]))+1, "")</f>
        <v>15.458760407162346</v>
      </c>
      <c r="N35" s="13">
        <f ca="1">Table2[[#This Row],[SGP Value]]*N$192+N$193</f>
        <v>10.608708560700066</v>
      </c>
    </row>
    <row r="36" spans="2:14" hidden="1" x14ac:dyDescent="0.25">
      <c r="B3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9.7547115206699608</v>
      </c>
      <c r="C36">
        <f>Data!D$186/'SGP and PVM'!B$186*Table2[[#This Row],[SGP]]</f>
        <v>11.393144956329937</v>
      </c>
      <c r="D36">
        <f>((Table2[[#This Row],[SGP]]-B$188)*(Data!D$186-COUNT(Table2[SGP])))/('SGP and PVM'!B$186-'SGP and PVM'!B$188*COUNT(Table2[SGP]))+1</f>
        <v>11.880043275577776</v>
      </c>
      <c r="E36" t="str">
        <f>IF(Table1[[#This Row],[Included?]],Table2[[#This Row],[SGP]],"")</f>
        <v/>
      </c>
      <c r="F36" t="str">
        <f>IF(Table2[[#This Row],[Included SGP]]&lt;&gt;"", Data!D$186/'SGP and PVM'!E$186*Table2[[#This Row],[Included SGP]], "")</f>
        <v/>
      </c>
      <c r="G36" t="str">
        <f>IF(Table2[[#This Row],[CI SGP]]&lt;&gt;"", ((Table2[[#This Row],[CI SGP]]-F$188)*(Data!D$186-COUNT(Table2[CI SGP])))/('SGP and PVM'!F$186-'SGP and PVM'!F$188*COUNT(Table2[CI SGP]))+1, "")</f>
        <v/>
      </c>
      <c r="H36">
        <f>(Table1[[#This Row],[OBP]]-MEDIAN(Table1[OBP]))*Table1[[#This Row],[PA]]</f>
        <v>-0.60886192984270904</v>
      </c>
      <c r="I36">
        <f>360*(Table1[[#This Row],[R]]/Data!H$186+Table1[[#This Row],[HR]]/Data!I$186+Table1[[#This Row],[RBI]]/Data!J$186+Table1[[#This Row],[SB]]/Data!K$186+(Table2[[#This Row],[OBP Diff]]-H$188)/(H$186-H$188*COUNT(Table2[OBP Diff])))</f>
        <v>11.013063133776079</v>
      </c>
      <c r="J36">
        <f>(Table2[[#This Row],[Crude PVM Value]]-I$188)*('SGP and PVM'!C$186-COUNT(Table2[Crude PVM Value]))/('SGP and PVM'!C$186-'SGP and PVM'!I$188*COUNT(Table2[Crude PVM Value]))+1</f>
        <v>11.52254937805715</v>
      </c>
      <c r="K36" t="str">
        <f>IF(Table1[[#This Row],[Included?]],Table2[[#This Row],[OBP Diff]],"")</f>
        <v/>
      </c>
      <c r="L3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36" s="13" t="str">
        <f>IF(Table1[[#This Row],[Included?]], (Table2[[#This Row],[IC PVM]]-L$188)*('SGP and PVM'!C$186-COUNT(Table2[IC PVM]))/('SGP and PVM'!C$186-'SGP and PVM'!L$188*COUNT(Table2[IC PVM]))+1, "")</f>
        <v/>
      </c>
      <c r="N36" s="13">
        <f ca="1">Table2[[#This Row],[SGP Value]]*N$192+N$193</f>
        <v>13.664502852595703</v>
      </c>
    </row>
    <row r="37" spans="2:14" hidden="1" x14ac:dyDescent="0.25">
      <c r="B3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9.1981190157712387</v>
      </c>
      <c r="C37">
        <f>Data!D$186/'SGP and PVM'!B$186*Table2[[#This Row],[SGP]]</f>
        <v>10.743065343367443</v>
      </c>
      <c r="D37">
        <f>((Table2[[#This Row],[SGP]]-B$188)*(Data!D$186-COUNT(Table2[SGP])))/('SGP and PVM'!B$186-'SGP and PVM'!B$188*COUNT(Table2[SGP]))+1</f>
        <v>11.019374649729015</v>
      </c>
      <c r="E37">
        <f>IF(Table1[[#This Row],[Included?]],Table2[[#This Row],[SGP]],"")</f>
        <v>9.1981190157712387</v>
      </c>
      <c r="F37">
        <f>IF(Table2[[#This Row],[Included SGP]]&lt;&gt;"", Data!D$186/'SGP and PVM'!E$186*Table2[[#This Row],[Included SGP]], "")</f>
        <v>18.090684693131816</v>
      </c>
      <c r="G37">
        <f>IF(Table2[[#This Row],[CI SGP]]&lt;&gt;"", ((Table2[[#This Row],[CI SGP]]-F$188)*(Data!D$186-COUNT(Table2[CI SGP])))/('SGP and PVM'!F$186-'SGP and PVM'!F$188*COUNT(Table2[CI SGP]))+1, "")</f>
        <v>14.685070306055271</v>
      </c>
      <c r="H37">
        <f>(Table1[[#This Row],[OBP]]-MEDIAN(Table1[OBP]))*Table1[[#This Row],[PA]]</f>
        <v>-0.22220389355017264</v>
      </c>
      <c r="I37">
        <f>360*(Table1[[#This Row],[R]]/Data!H$186+Table1[[#This Row],[HR]]/Data!I$186+Table1[[#This Row],[RBI]]/Data!J$186+Table1[[#This Row],[SB]]/Data!K$186+(Table2[[#This Row],[OBP Diff]]-H$188)/(H$186-H$188*COUNT(Table2[OBP Diff])))</f>
        <v>9.9776799341218734</v>
      </c>
      <c r="J37">
        <f>(Table2[[#This Row],[Crude PVM Value]]-I$188)*('SGP and PVM'!C$186-COUNT(Table2[Crude PVM Value]))/('SGP and PVM'!C$186-'SGP and PVM'!I$188*COUNT(Table2[Crude PVM Value]))+1</f>
        <v>10.017410646942587</v>
      </c>
      <c r="K37">
        <f>IF(Table1[[#This Row],[Included?]],Table2[[#This Row],[OBP Diff]],"")</f>
        <v>-0.22220389355017264</v>
      </c>
      <c r="L3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16.409298713989095</v>
      </c>
      <c r="M37" s="13">
        <f>IF(Table1[[#This Row],[Included?]], (Table2[[#This Row],[IC PVM]]-L$188)*('SGP and PVM'!C$186-COUNT(Table2[IC PVM]))/('SGP and PVM'!C$186-'SGP and PVM'!L$188*COUNT(Table2[IC PVM]))+1, "")</f>
        <v>10.597773340942785</v>
      </c>
      <c r="N37" s="13">
        <f ca="1">Table2[[#This Row],[SGP Value]]*N$192+N$193</f>
        <v>8.3674557824778759</v>
      </c>
    </row>
    <row r="38" spans="2:14" hidden="1" x14ac:dyDescent="0.25">
      <c r="B3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10.31548430671684</v>
      </c>
      <c r="C38">
        <f>Data!D$186/'SGP and PVM'!B$186*Table2[[#This Row],[SGP]]</f>
        <v>12.048106984213494</v>
      </c>
      <c r="D38">
        <f>((Table2[[#This Row],[SGP]]-B$188)*(Data!D$186-COUNT(Table2[SGP])))/('SGP and PVM'!B$186-'SGP and PVM'!B$188*COUNT(Table2[SGP]))+1</f>
        <v>12.747175942533419</v>
      </c>
      <c r="E38">
        <f>IF(Table1[[#This Row],[Included?]],Table2[[#This Row],[SGP]],"")</f>
        <v>10.31548430671684</v>
      </c>
      <c r="F38">
        <f>IF(Table2[[#This Row],[Included SGP]]&lt;&gt;"", Data!D$186/'SGP and PVM'!E$186*Table2[[#This Row],[Included SGP]], "")</f>
        <v>20.288297393172694</v>
      </c>
      <c r="G38">
        <f>IF(Table2[[#This Row],[CI SGP]]&lt;&gt;"", ((Table2[[#This Row],[CI SGP]]-F$188)*(Data!D$186-COUNT(Table2[CI SGP])))/('SGP and PVM'!F$186-'SGP and PVM'!F$188*COUNT(Table2[CI SGP]))+1, "")</f>
        <v>20.802528723332635</v>
      </c>
      <c r="H38">
        <f>(Table1[[#This Row],[OBP]]-MEDIAN(Table1[OBP]))*Table1[[#This Row],[PA]]</f>
        <v>0.84576073962464737</v>
      </c>
      <c r="I38">
        <f>360*(Table1[[#This Row],[R]]/Data!H$186+Table1[[#This Row],[HR]]/Data!I$186+Table1[[#This Row],[RBI]]/Data!J$186+Table1[[#This Row],[SB]]/Data!K$186+(Table2[[#This Row],[OBP Diff]]-H$188)/(H$186-H$188*COUNT(Table2[OBP Diff])))</f>
        <v>11.568401822022478</v>
      </c>
      <c r="J38">
        <f>(Table2[[#This Row],[Crude PVM Value]]-I$188)*('SGP and PVM'!C$186-COUNT(Table2[Crude PVM Value]))/('SGP and PVM'!C$186-'SGP and PVM'!I$188*COUNT(Table2[Crude PVM Value]))+1</f>
        <v>12.329846395089268</v>
      </c>
      <c r="K38">
        <f>IF(Table1[[#This Row],[Included?]],Table2[[#This Row],[OBP Diff]],"")</f>
        <v>0.84576073962464737</v>
      </c>
      <c r="L3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19.719018965336808</v>
      </c>
      <c r="M38" s="13">
        <f>IF(Table1[[#This Row],[Included?]], (Table2[[#This Row],[IC PVM]]-L$188)*('SGP and PVM'!C$186-COUNT(Table2[IC PVM]))/('SGP and PVM'!C$186-'SGP and PVM'!L$188*COUNT(Table2[IC PVM]))+1, "")</f>
        <v>19.264253090310731</v>
      </c>
      <c r="N38" s="13">
        <f ca="1">Table2[[#This Row],[SGP Value]]*N$192+N$193</f>
        <v>19.00133332944867</v>
      </c>
    </row>
    <row r="39" spans="2:14" hidden="1" x14ac:dyDescent="0.25">
      <c r="B3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11.958532599716074</v>
      </c>
      <c r="C39">
        <f>Data!D$186/'SGP and PVM'!B$186*Table2[[#This Row],[SGP]]</f>
        <v>13.967127073400619</v>
      </c>
      <c r="D39">
        <f>((Table2[[#This Row],[SGP]]-B$188)*(Data!D$186-COUNT(Table2[SGP])))/('SGP and PVM'!B$186-'SGP and PVM'!B$188*COUNT(Table2[SGP]))+1</f>
        <v>15.287849961843325</v>
      </c>
      <c r="E39">
        <f>IF(Table1[[#This Row],[Included?]],Table2[[#This Row],[SGP]],"")</f>
        <v>11.958532599716074</v>
      </c>
      <c r="F39">
        <f>IF(Table2[[#This Row],[Included SGP]]&lt;&gt;"", Data!D$186/'SGP and PVM'!E$186*Table2[[#This Row],[Included SGP]], "")</f>
        <v>23.519813375219957</v>
      </c>
      <c r="G39">
        <f>IF(Table2[[#This Row],[CI SGP]]&lt;&gt;"", ((Table2[[#This Row],[CI SGP]]-F$188)*(Data!D$186-COUNT(Table2[CI SGP])))/('SGP and PVM'!F$186-'SGP and PVM'!F$188*COUNT(Table2[CI SGP]))+1, "")</f>
        <v>29.798046743670628</v>
      </c>
      <c r="H39">
        <f>(Table1[[#This Row],[OBP]]-MEDIAN(Table1[OBP]))*Table1[[#This Row],[PA]]</f>
        <v>-0.23176476297092455</v>
      </c>
      <c r="I39">
        <f>360*(Table1[[#This Row],[R]]/Data!H$186+Table1[[#This Row],[HR]]/Data!I$186+Table1[[#This Row],[RBI]]/Data!J$186+Table1[[#This Row],[SB]]/Data!K$186+(Table2[[#This Row],[OBP Diff]]-H$188)/(H$186-H$188*COUNT(Table2[OBP Diff])))</f>
        <v>15.17819667402393</v>
      </c>
      <c r="J39">
        <f>(Table2[[#This Row],[Crude PVM Value]]-I$188)*('SGP and PVM'!C$186-COUNT(Table2[Crude PVM Value]))/('SGP and PVM'!C$186-'SGP and PVM'!I$188*COUNT(Table2[Crude PVM Value]))+1</f>
        <v>17.577412750173956</v>
      </c>
      <c r="K39">
        <f>IF(Table1[[#This Row],[Included?]],Table2[[#This Row],[OBP Diff]],"")</f>
        <v>-0.23176476297092455</v>
      </c>
      <c r="L3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24.402447879502251</v>
      </c>
      <c r="M39" s="13">
        <f>IF(Table1[[#This Row],[Included?]], (Table2[[#This Row],[IC PVM]]-L$188)*('SGP and PVM'!C$186-COUNT(Table2[IC PVM]))/('SGP and PVM'!C$186-'SGP and PVM'!L$188*COUNT(Table2[IC PVM]))+1, "")</f>
        <v>31.527779539620578</v>
      </c>
      <c r="N39" s="13">
        <f ca="1">Table2[[#This Row],[SGP Value]]*N$192+N$193</f>
        <v>34.638094640270396</v>
      </c>
    </row>
    <row r="40" spans="2:14" hidden="1" x14ac:dyDescent="0.25">
      <c r="B4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9.3718725789789001</v>
      </c>
      <c r="C40">
        <f>Data!D$186/'SGP and PVM'!B$186*Table2[[#This Row],[SGP]]</f>
        <v>10.946003126623156</v>
      </c>
      <c r="D40">
        <f>((Table2[[#This Row],[SGP]]-B$188)*(Data!D$186-COUNT(Table2[SGP])))/('SGP and PVM'!B$186-'SGP and PVM'!B$188*COUNT(Table2[SGP]))+1</f>
        <v>11.288052792474533</v>
      </c>
      <c r="E40">
        <f>IF(Table1[[#This Row],[Included?]],Table2[[#This Row],[SGP]],"")</f>
        <v>9.3718725789789001</v>
      </c>
      <c r="F40">
        <f>IF(Table2[[#This Row],[Included SGP]]&lt;&gt;"", Data!D$186/'SGP and PVM'!E$186*Table2[[#This Row],[Included SGP]], "")</f>
        <v>18.432419880609643</v>
      </c>
      <c r="G40">
        <f>IF(Table2[[#This Row],[CI SGP]]&lt;&gt;"", ((Table2[[#This Row],[CI SGP]]-F$188)*(Data!D$186-COUNT(Table2[CI SGP])))/('SGP and PVM'!F$186-'SGP and PVM'!F$188*COUNT(Table2[CI SGP]))+1, "")</f>
        <v>15.636352940651078</v>
      </c>
      <c r="H40">
        <f>(Table1[[#This Row],[OBP]]-MEDIAN(Table1[OBP]))*Table1[[#This Row],[PA]]</f>
        <v>0.11416211155988761</v>
      </c>
      <c r="I40">
        <f>360*(Table1[[#This Row],[R]]/Data!H$186+Table1[[#This Row],[HR]]/Data!I$186+Table1[[#This Row],[RBI]]/Data!J$186+Table1[[#This Row],[SB]]/Data!K$186+(Table2[[#This Row],[OBP Diff]]-H$188)/(H$186-H$188*COUNT(Table2[OBP Diff])))</f>
        <v>10.462522843604482</v>
      </c>
      <c r="J40">
        <f>(Table2[[#This Row],[Crude PVM Value]]-I$188)*('SGP and PVM'!C$186-COUNT(Table2[Crude PVM Value]))/('SGP and PVM'!C$186-'SGP and PVM'!I$188*COUNT(Table2[Crude PVM Value]))+1</f>
        <v>10.722227802380562</v>
      </c>
      <c r="K40">
        <f>IF(Table1[[#This Row],[Included?]],Table2[[#This Row],[OBP Diff]],"")</f>
        <v>0.11416211155988761</v>
      </c>
      <c r="L4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17.374136533135403</v>
      </c>
      <c r="M40" s="13">
        <f>IF(Table1[[#This Row],[Included?]], (Table2[[#This Row],[IC PVM]]-L$188)*('SGP and PVM'!C$186-COUNT(Table2[IC PVM]))/('SGP and PVM'!C$186-'SGP and PVM'!L$188*COUNT(Table2[IC PVM]))+1, "")</f>
        <v>13.124194544562915</v>
      </c>
      <c r="N40" s="13">
        <f ca="1">Table2[[#This Row],[SGP Value]]*N$192+N$193</f>
        <v>10.021054770626577</v>
      </c>
    </row>
    <row r="41" spans="2:14" hidden="1" x14ac:dyDescent="0.25">
      <c r="B4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9.1564759515880141</v>
      </c>
      <c r="C41">
        <f>Data!D$186/'SGP and PVM'!B$186*Table2[[#This Row],[SGP]]</f>
        <v>10.694427773136903</v>
      </c>
      <c r="D41">
        <f>((Table2[[#This Row],[SGP]]-B$188)*(Data!D$186-COUNT(Table2[SGP])))/('SGP and PVM'!B$186-'SGP and PVM'!B$188*COUNT(Table2[SGP]))+1</f>
        <v>10.954981258673149</v>
      </c>
      <c r="E41">
        <f>IF(Table1[[#This Row],[Included?]],Table2[[#This Row],[SGP]],"")</f>
        <v>9.1564759515880141</v>
      </c>
      <c r="F41">
        <f>IF(Table2[[#This Row],[Included SGP]]&lt;&gt;"", Data!D$186/'SGP and PVM'!E$186*Table2[[#This Row],[Included SGP]], "")</f>
        <v>18.008781910345153</v>
      </c>
      <c r="G41">
        <f>IF(Table2[[#This Row],[CI SGP]]&lt;&gt;"", ((Table2[[#This Row],[CI SGP]]-F$188)*(Data!D$186-COUNT(Table2[CI SGP])))/('SGP and PVM'!F$186-'SGP and PVM'!F$188*COUNT(Table2[CI SGP]))+1, "")</f>
        <v>14.457078873375895</v>
      </c>
      <c r="H41">
        <f>(Table1[[#This Row],[OBP]]-MEDIAN(Table1[OBP]))*Table1[[#This Row],[PA]]</f>
        <v>1.4172743243522983</v>
      </c>
      <c r="I41">
        <f>360*(Table1[[#This Row],[R]]/Data!H$186+Table1[[#This Row],[HR]]/Data!I$186+Table1[[#This Row],[RBI]]/Data!J$186+Table1[[#This Row],[SB]]/Data!K$186+(Table2[[#This Row],[OBP Diff]]-H$188)/(H$186-H$188*COUNT(Table2[OBP Diff])))</f>
        <v>10.734745609754277</v>
      </c>
      <c r="J41">
        <f>(Table2[[#This Row],[Crude PVM Value]]-I$188)*('SGP and PVM'!C$186-COUNT(Table2[Crude PVM Value]))/('SGP and PVM'!C$186-'SGP and PVM'!I$188*COUNT(Table2[Crude PVM Value]))+1</f>
        <v>11.117958609061645</v>
      </c>
      <c r="K41">
        <f>IF(Table1[[#This Row],[Included?]],Table2[[#This Row],[OBP Diff]],"")</f>
        <v>1.4172743243522983</v>
      </c>
      <c r="L4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18.562599165815197</v>
      </c>
      <c r="M41" s="13">
        <f>IF(Table1[[#This Row],[Included?]], (Table2[[#This Row],[IC PVM]]-L$188)*('SGP and PVM'!C$186-COUNT(Table2[IC PVM]))/('SGP and PVM'!C$186-'SGP and PVM'!L$188*COUNT(Table2[IC PVM]))+1, "")</f>
        <v>16.236175786725571</v>
      </c>
      <c r="N41" s="13">
        <f ca="1">Table2[[#This Row],[SGP Value]]*N$192+N$193</f>
        <v>7.971142017594147</v>
      </c>
    </row>
    <row r="42" spans="2:14" hidden="1" x14ac:dyDescent="0.25">
      <c r="B4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9.9923522708607244</v>
      </c>
      <c r="C42">
        <f>Data!D$186/'SGP and PVM'!B$186*Table2[[#This Row],[SGP]]</f>
        <v>11.670700628654773</v>
      </c>
      <c r="D42">
        <f>((Table2[[#This Row],[SGP]]-B$188)*(Data!D$186-COUNT(Table2[SGP])))/('SGP and PVM'!B$186-'SGP and PVM'!B$188*COUNT(Table2[SGP]))+1</f>
        <v>12.24751128154665</v>
      </c>
      <c r="E42">
        <f>IF(Table1[[#This Row],[Included?]],Table2[[#This Row],[SGP]],"")</f>
        <v>9.9923522708607244</v>
      </c>
      <c r="F42">
        <f>IF(Table2[[#This Row],[Included SGP]]&lt;&gt;"", Data!D$186/'SGP and PVM'!E$186*Table2[[#This Row],[Included SGP]], "")</f>
        <v>19.652767480491669</v>
      </c>
      <c r="G42">
        <f>IF(Table2[[#This Row],[CI SGP]]&lt;&gt;"", ((Table2[[#This Row],[CI SGP]]-F$188)*(Data!D$186-COUNT(Table2[CI SGP])))/('SGP and PVM'!F$186-'SGP and PVM'!F$188*COUNT(Table2[CI SGP]))+1, "")</f>
        <v>19.033414532424576</v>
      </c>
      <c r="H42">
        <f>(Table1[[#This Row],[OBP]]-MEDIAN(Table1[OBP]))*Table1[[#This Row],[PA]]</f>
        <v>9.9409312600464733E-2</v>
      </c>
      <c r="I42">
        <f>360*(Table1[[#This Row],[R]]/Data!H$186+Table1[[#This Row],[HR]]/Data!I$186+Table1[[#This Row],[RBI]]/Data!J$186+Table1[[#This Row],[SB]]/Data!K$186+(Table2[[#This Row],[OBP Diff]]-H$188)/(H$186-H$188*COUNT(Table2[OBP Diff])))</f>
        <v>10.735270991752303</v>
      </c>
      <c r="J42">
        <f>(Table2[[#This Row],[Crude PVM Value]]-I$188)*('SGP and PVM'!C$186-COUNT(Table2[Crude PVM Value]))/('SGP and PVM'!C$186-'SGP and PVM'!I$188*COUNT(Table2[Crude PVM Value]))+1</f>
        <v>11.118722357975209</v>
      </c>
      <c r="K42">
        <f>IF(Table1[[#This Row],[Included?]],Table2[[#This Row],[OBP Diff]],"")</f>
        <v>9.9409312600464733E-2</v>
      </c>
      <c r="L4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17.947341661365499</v>
      </c>
      <c r="M42" s="13">
        <f>IF(Table1[[#This Row],[Included?]], (Table2[[#This Row],[IC PVM]]-L$188)*('SGP and PVM'!C$186-COUNT(Table2[IC PVM]))/('SGP and PVM'!C$186-'SGP and PVM'!L$188*COUNT(Table2[IC PVM]))+1, "")</f>
        <v>14.625128236471516</v>
      </c>
      <c r="N42" s="13">
        <f ca="1">Table2[[#This Row],[SGP Value]]*N$192+N$193</f>
        <v>15.926111171895002</v>
      </c>
    </row>
    <row r="43" spans="2:14" hidden="1" x14ac:dyDescent="0.25">
      <c r="B4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10.308692925324136</v>
      </c>
      <c r="C43">
        <f>Data!D$186/'SGP and PVM'!B$186*Table2[[#This Row],[SGP]]</f>
        <v>12.040174900061457</v>
      </c>
      <c r="D43">
        <f>((Table2[[#This Row],[SGP]]-B$188)*(Data!D$186-COUNT(Table2[SGP])))/('SGP and PVM'!B$186-'SGP and PVM'!B$188*COUNT(Table2[SGP]))+1</f>
        <v>12.736674311915994</v>
      </c>
      <c r="E43">
        <f>IF(Table1[[#This Row],[Included?]],Table2[[#This Row],[SGP]],"")</f>
        <v>10.308692925324136</v>
      </c>
      <c r="F43">
        <f>IF(Table2[[#This Row],[Included SGP]]&lt;&gt;"", Data!D$186/'SGP and PVM'!E$186*Table2[[#This Row],[Included SGP]], "")</f>
        <v>20.274940234040969</v>
      </c>
      <c r="G43">
        <f>IF(Table2[[#This Row],[CI SGP]]&lt;&gt;"", ((Table2[[#This Row],[CI SGP]]-F$188)*(Data!D$186-COUNT(Table2[CI SGP])))/('SGP and PVM'!F$186-'SGP and PVM'!F$188*COUNT(Table2[CI SGP]))+1, "")</f>
        <v>20.765346618606099</v>
      </c>
      <c r="H43">
        <f>(Table1[[#This Row],[OBP]]-MEDIAN(Table1[OBP]))*Table1[[#This Row],[PA]]</f>
        <v>0.14906126843204803</v>
      </c>
      <c r="I43">
        <f>360*(Table1[[#This Row],[R]]/Data!H$186+Table1[[#This Row],[HR]]/Data!I$186+Table1[[#This Row],[RBI]]/Data!J$186+Table1[[#This Row],[SB]]/Data!K$186+(Table2[[#This Row],[OBP Diff]]-H$188)/(H$186-H$188*COUNT(Table2[OBP Diff])))</f>
        <v>11.277270003960282</v>
      </c>
      <c r="J43">
        <f>(Table2[[#This Row],[Crude PVM Value]]-I$188)*('SGP and PVM'!C$186-COUNT(Table2[Crude PVM Value]))/('SGP and PVM'!C$186-'SGP and PVM'!I$188*COUNT(Table2[Crude PVM Value]))+1</f>
        <v>11.906627459943753</v>
      </c>
      <c r="K43">
        <f>IF(Table1[[#This Row],[Included?]],Table2[[#This Row],[OBP Diff]],"")</f>
        <v>0.14906126843204803</v>
      </c>
      <c r="L4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18.816755669556766</v>
      </c>
      <c r="M43" s="13">
        <f>IF(Table1[[#This Row],[Included?]], (Table2[[#This Row],[IC PVM]]-L$188)*('SGP and PVM'!C$186-COUNT(Table2[IC PVM]))/('SGP and PVM'!C$186-'SGP and PVM'!L$188*COUNT(Table2[IC PVM]))+1, "")</f>
        <v>16.9016828464082</v>
      </c>
      <c r="N43" s="13">
        <f ca="1">Table2[[#This Row],[SGP Value]]*N$192+N$193</f>
        <v>18.936700287157123</v>
      </c>
    </row>
    <row r="44" spans="2:14" hidden="1" x14ac:dyDescent="0.25">
      <c r="B4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10.655777410352924</v>
      </c>
      <c r="C44">
        <f>Data!D$186/'SGP and PVM'!B$186*Table2[[#This Row],[SGP]]</f>
        <v>12.445556836948763</v>
      </c>
      <c r="D44">
        <f>((Table2[[#This Row],[SGP]]-B$188)*(Data!D$186-COUNT(Table2[SGP])))/('SGP and PVM'!B$186-'SGP and PVM'!B$188*COUNT(Table2[SGP]))+1</f>
        <v>13.273377059714417</v>
      </c>
      <c r="E44">
        <f>IF(Table1[[#This Row],[Included?]],Table2[[#This Row],[SGP]],"")</f>
        <v>10.655777410352924</v>
      </c>
      <c r="F44">
        <f>IF(Table2[[#This Row],[Included SGP]]&lt;&gt;"", Data!D$186/'SGP and PVM'!E$186*Table2[[#This Row],[Included SGP]], "")</f>
        <v>20.957579365994768</v>
      </c>
      <c r="G44">
        <f>IF(Table2[[#This Row],[CI SGP]]&lt;&gt;"", ((Table2[[#This Row],[CI SGP]]-F$188)*(Data!D$186-COUNT(Table2[CI SGP])))/('SGP and PVM'!F$186-'SGP and PVM'!F$188*COUNT(Table2[CI SGP]))+1, "")</f>
        <v>22.6655979702915</v>
      </c>
      <c r="H44">
        <f>(Table1[[#This Row],[OBP]]-MEDIAN(Table1[OBP]))*Table1[[#This Row],[PA]]</f>
        <v>0.64759366938373597</v>
      </c>
      <c r="I44">
        <f>360*(Table1[[#This Row],[R]]/Data!H$186+Table1[[#This Row],[HR]]/Data!I$186+Table1[[#This Row],[RBI]]/Data!J$186+Table1[[#This Row],[SB]]/Data!K$186+(Table2[[#This Row],[OBP Diff]]-H$188)/(H$186-H$188*COUNT(Table2[OBP Diff])))</f>
        <v>12.302971992634909</v>
      </c>
      <c r="J44">
        <f>(Table2[[#This Row],[Crude PVM Value]]-I$188)*('SGP and PVM'!C$186-COUNT(Table2[Crude PVM Value]))/('SGP and PVM'!C$186-'SGP and PVM'!I$188*COUNT(Table2[Crude PVM Value]))+1</f>
        <v>13.397692594331691</v>
      </c>
      <c r="K44">
        <f>IF(Table1[[#This Row],[Included?]],Table2[[#This Row],[OBP Diff]],"")</f>
        <v>0.64759366938373597</v>
      </c>
      <c r="L4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20.703550751682737</v>
      </c>
      <c r="M44" s="13">
        <f>IF(Table1[[#This Row],[Included?]], (Table2[[#This Row],[IC PVM]]-L$188)*('SGP and PVM'!C$186-COUNT(Table2[IC PVM]))/('SGP and PVM'!C$186-'SGP and PVM'!L$188*COUNT(Table2[IC PVM]))+1, "")</f>
        <v>21.842242811799021</v>
      </c>
      <c r="N44" s="13">
        <f ca="1">Table2[[#This Row],[SGP Value]]*N$192+N$193</f>
        <v>22.239876018637077</v>
      </c>
    </row>
    <row r="45" spans="2:14" hidden="1" x14ac:dyDescent="0.25">
      <c r="B4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10.014554337098348</v>
      </c>
      <c r="C45">
        <f>Data!D$186/'SGP and PVM'!B$186*Table2[[#This Row],[SGP]]</f>
        <v>11.696631826972558</v>
      </c>
      <c r="D45">
        <f>((Table2[[#This Row],[SGP]]-B$188)*(Data!D$186-COUNT(Table2[SGP])))/('SGP and PVM'!B$186-'SGP and PVM'!B$188*COUNT(Table2[SGP]))+1</f>
        <v>12.281842720923857</v>
      </c>
      <c r="E45">
        <f>IF(Table1[[#This Row],[Included?]],Table2[[#This Row],[SGP]],"")</f>
        <v>10.014554337098348</v>
      </c>
      <c r="F45">
        <f>IF(Table2[[#This Row],[Included SGP]]&lt;&gt;"", Data!D$186/'SGP and PVM'!E$186*Table2[[#This Row],[Included SGP]], "")</f>
        <v>19.69643408005971</v>
      </c>
      <c r="G45">
        <f>IF(Table2[[#This Row],[CI SGP]]&lt;&gt;"", ((Table2[[#This Row],[CI SGP]]-F$188)*(Data!D$186-COUNT(Table2[CI SGP])))/('SGP and PVM'!F$186-'SGP and PVM'!F$188*COUNT(Table2[CI SGP]))+1, "")</f>
        <v>19.154968529212287</v>
      </c>
      <c r="H45">
        <f>(Table1[[#This Row],[OBP]]-MEDIAN(Table1[OBP]))*Table1[[#This Row],[PA]]</f>
        <v>1.1625088829749113</v>
      </c>
      <c r="I45">
        <f>360*(Table1[[#This Row],[R]]/Data!H$186+Table1[[#This Row],[HR]]/Data!I$186+Table1[[#This Row],[RBI]]/Data!J$186+Table1[[#This Row],[SB]]/Data!K$186+(Table2[[#This Row],[OBP Diff]]-H$188)/(H$186-H$188*COUNT(Table2[OBP Diff])))</f>
        <v>12.851899402231458</v>
      </c>
      <c r="J45">
        <f>(Table2[[#This Row],[Crude PVM Value]]-I$188)*('SGP and PVM'!C$186-COUNT(Table2[Crude PVM Value]))/('SGP and PVM'!C$186-'SGP and PVM'!I$188*COUNT(Table2[Crude PVM Value]))+1</f>
        <v>14.195669522130101</v>
      </c>
      <c r="K45">
        <f>IF(Table1[[#This Row],[Included?]],Table2[[#This Row],[OBP Diff]],"")</f>
        <v>1.1625088829749113</v>
      </c>
      <c r="L4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21.551294074969945</v>
      </c>
      <c r="M45" s="13">
        <f>IF(Table1[[#This Row],[Included?]], (Table2[[#This Row],[IC PVM]]-L$188)*('SGP and PVM'!C$186-COUNT(Table2[IC PVM]))/('SGP and PVM'!C$186-'SGP and PVM'!L$188*COUNT(Table2[IC PVM]))+1, "")</f>
        <v>24.062052882133155</v>
      </c>
      <c r="N45" s="13">
        <f ca="1">Table2[[#This Row],[SGP Value]]*N$192+N$193</f>
        <v>16.137406489168384</v>
      </c>
    </row>
    <row r="46" spans="2:14" hidden="1" x14ac:dyDescent="0.25">
      <c r="B4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9.2051523931199952</v>
      </c>
      <c r="C46">
        <f>Data!D$186/'SGP and PVM'!B$186*Table2[[#This Row],[SGP]]</f>
        <v>10.751280069912369</v>
      </c>
      <c r="D46">
        <f>((Table2[[#This Row],[SGP]]-B$188)*(Data!D$186-COUNT(Table2[SGP])))/('SGP and PVM'!B$186-'SGP and PVM'!B$188*COUNT(Table2[SGP]))+1</f>
        <v>11.030250482882629</v>
      </c>
      <c r="E46">
        <f>IF(Table1[[#This Row],[Included?]],Table2[[#This Row],[SGP]],"")</f>
        <v>9.2051523931199952</v>
      </c>
      <c r="F46">
        <f>IF(Table2[[#This Row],[Included SGP]]&lt;&gt;"", Data!D$186/'SGP and PVM'!E$186*Table2[[#This Row],[Included SGP]], "")</f>
        <v>18.104517805285074</v>
      </c>
      <c r="G46">
        <f>IF(Table2[[#This Row],[CI SGP]]&lt;&gt;"", ((Table2[[#This Row],[CI SGP]]-F$188)*(Data!D$186-COUNT(Table2[CI SGP])))/('SGP and PVM'!F$186-'SGP and PVM'!F$188*COUNT(Table2[CI SGP]))+1, "")</f>
        <v>14.723577313398971</v>
      </c>
      <c r="H46">
        <f>(Table1[[#This Row],[OBP]]-MEDIAN(Table1[OBP]))*Table1[[#This Row],[PA]]</f>
        <v>0.1639906159957143</v>
      </c>
      <c r="I46">
        <f>360*(Table1[[#This Row],[R]]/Data!H$186+Table1[[#This Row],[HR]]/Data!I$186+Table1[[#This Row],[RBI]]/Data!J$186+Table1[[#This Row],[SB]]/Data!K$186+(Table2[[#This Row],[OBP Diff]]-H$188)/(H$186-H$188*COUNT(Table2[OBP Diff])))</f>
        <v>9.9332310823035392</v>
      </c>
      <c r="J46">
        <f>(Table2[[#This Row],[Crude PVM Value]]-I$188)*('SGP and PVM'!C$186-COUNT(Table2[Crude PVM Value]))/('SGP and PVM'!C$186-'SGP and PVM'!I$188*COUNT(Table2[Crude PVM Value]))+1</f>
        <v>9.9527952577343317</v>
      </c>
      <c r="K46">
        <f>IF(Table1[[#This Row],[Included?]],Table2[[#This Row],[OBP Diff]],"")</f>
        <v>0.1639906159957143</v>
      </c>
      <c r="L4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16.628852263706367</v>
      </c>
      <c r="M46" s="13">
        <f>IF(Table1[[#This Row],[Included?]], (Table2[[#This Row],[IC PVM]]-L$188)*('SGP and PVM'!C$186-COUNT(Table2[IC PVM]))/('SGP and PVM'!C$186-'SGP and PVM'!L$188*COUNT(Table2[IC PVM]))+1, "")</f>
        <v>11.172672803141074</v>
      </c>
      <c r="N46" s="13">
        <f ca="1">Table2[[#This Row],[SGP Value]]*N$192+N$193</f>
        <v>8.4343918812401881</v>
      </c>
    </row>
    <row r="47" spans="2:14" hidden="1" x14ac:dyDescent="0.25">
      <c r="B4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11.861212769127485</v>
      </c>
      <c r="C47">
        <f>Data!D$186/'SGP and PVM'!B$186*Table2[[#This Row],[SGP]]</f>
        <v>13.853461083927552</v>
      </c>
      <c r="D47">
        <f>((Table2[[#This Row],[SGP]]-B$188)*(Data!D$186-COUNT(Table2[SGP])))/('SGP and PVM'!B$186-'SGP and PVM'!B$188*COUNT(Table2[SGP]))+1</f>
        <v>15.137362623039227</v>
      </c>
      <c r="E47">
        <f>IF(Table1[[#This Row],[Included?]],Table2[[#This Row],[SGP]],"")</f>
        <v>11.861212769127485</v>
      </c>
      <c r="F47">
        <f>IF(Table2[[#This Row],[Included SGP]]&lt;&gt;"", Data!D$186/'SGP and PVM'!E$186*Table2[[#This Row],[Included SGP]], "")</f>
        <v>23.328406592317013</v>
      </c>
      <c r="G47">
        <f>IF(Table2[[#This Row],[CI SGP]]&lt;&gt;"", ((Table2[[#This Row],[CI SGP]]-F$188)*(Data!D$186-COUNT(Table2[CI SGP])))/('SGP and PVM'!F$186-'SGP and PVM'!F$188*COUNT(Table2[CI SGP]))+1, "")</f>
        <v>29.265230822479502</v>
      </c>
      <c r="H47">
        <f>(Table1[[#This Row],[OBP]]-MEDIAN(Table1[OBP]))*Table1[[#This Row],[PA]]</f>
        <v>0.2831970619317824</v>
      </c>
      <c r="I47">
        <f>360*(Table1[[#This Row],[R]]/Data!H$186+Table1[[#This Row],[HR]]/Data!I$186+Table1[[#This Row],[RBI]]/Data!J$186+Table1[[#This Row],[SB]]/Data!K$186+(Table2[[#This Row],[OBP Diff]]-H$188)/(H$186-H$188*COUNT(Table2[OBP Diff])))</f>
        <v>14.216171404482145</v>
      </c>
      <c r="J47">
        <f>(Table2[[#This Row],[Crude PVM Value]]-I$188)*('SGP and PVM'!C$186-COUNT(Table2[Crude PVM Value]))/('SGP and PVM'!C$186-'SGP and PVM'!I$188*COUNT(Table2[Crude PVM Value]))+1</f>
        <v>16.178914596078101</v>
      </c>
      <c r="K47">
        <f>IF(Table1[[#This Row],[Included?]],Table2[[#This Row],[OBP Diff]],"")</f>
        <v>0.2831970619317824</v>
      </c>
      <c r="L4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23.445737035021185</v>
      </c>
      <c r="M47" s="13">
        <f>IF(Table1[[#This Row],[Included?]], (Table2[[#This Row],[IC PVM]]-L$188)*('SGP and PVM'!C$186-COUNT(Table2[IC PVM]))/('SGP and PVM'!C$186-'SGP and PVM'!L$188*COUNT(Table2[IC PVM]))+1, "")</f>
        <v>29.022638763351154</v>
      </c>
      <c r="N47" s="13">
        <f ca="1">Table2[[#This Row],[SGP Value]]*N$192+N$193</f>
        <v>33.711909470785486</v>
      </c>
    </row>
    <row r="48" spans="2:14" hidden="1" x14ac:dyDescent="0.25">
      <c r="B4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9.312142805151117</v>
      </c>
      <c r="C48">
        <f>Data!D$186/'SGP and PVM'!B$186*Table2[[#This Row],[SGP]]</f>
        <v>10.876240943498953</v>
      </c>
      <c r="D48">
        <f>((Table2[[#This Row],[SGP]]-B$188)*(Data!D$186-COUNT(Table2[SGP])))/('SGP and PVM'!B$186-'SGP and PVM'!B$188*COUNT(Table2[SGP]))+1</f>
        <v>11.195691609184848</v>
      </c>
      <c r="E48">
        <f>IF(Table1[[#This Row],[Included?]],Table2[[#This Row],[SGP]],"")</f>
        <v>9.312142805151117</v>
      </c>
      <c r="F48">
        <f>IF(Table2[[#This Row],[Included SGP]]&lt;&gt;"", Data!D$186/'SGP and PVM'!E$186*Table2[[#This Row],[Included SGP]], "")</f>
        <v>18.31494450295278</v>
      </c>
      <c r="G48">
        <f>IF(Table2[[#This Row],[CI SGP]]&lt;&gt;"", ((Table2[[#This Row],[CI SGP]]-F$188)*(Data!D$186-COUNT(Table2[CI SGP])))/('SGP and PVM'!F$186-'SGP and PVM'!F$188*COUNT(Table2[CI SGP]))+1, "")</f>
        <v>15.309338659264531</v>
      </c>
      <c r="H48">
        <f>(Table1[[#This Row],[OBP]]-MEDIAN(Table1[OBP]))*Table1[[#This Row],[PA]]</f>
        <v>0.35437613309551719</v>
      </c>
      <c r="I48">
        <f>360*(Table1[[#This Row],[R]]/Data!H$186+Table1[[#This Row],[HR]]/Data!I$186+Table1[[#This Row],[RBI]]/Data!J$186+Table1[[#This Row],[SB]]/Data!K$186+(Table2[[#This Row],[OBP Diff]]-H$188)/(H$186-H$188*COUNT(Table2[OBP Diff])))</f>
        <v>10.496474234085193</v>
      </c>
      <c r="J48">
        <f>(Table2[[#This Row],[Crude PVM Value]]-I$188)*('SGP and PVM'!C$186-COUNT(Table2[Crude PVM Value]))/('SGP and PVM'!C$186-'SGP and PVM'!I$188*COUNT(Table2[Crude PVM Value]))+1</f>
        <v>10.771583010002995</v>
      </c>
      <c r="K48">
        <f>IF(Table1[[#This Row],[Included?]],Table2[[#This Row],[OBP Diff]],"")</f>
        <v>0.35437613309551719</v>
      </c>
      <c r="L4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17.568397837654288</v>
      </c>
      <c r="M48" s="13">
        <f>IF(Table1[[#This Row],[Included?]], (Table2[[#This Row],[IC PVM]]-L$188)*('SGP and PVM'!C$186-COUNT(Table2[IC PVM]))/('SGP and PVM'!C$186-'SGP and PVM'!L$188*COUNT(Table2[IC PVM]))+1, "")</f>
        <v>13.632866436398237</v>
      </c>
      <c r="N48" s="13">
        <f ca="1">Table2[[#This Row],[SGP Value]]*N$192+N$193</f>
        <v>9.4526112133227826</v>
      </c>
    </row>
    <row r="49" spans="2:14" hidden="1" x14ac:dyDescent="0.25">
      <c r="B4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10.087223243353142</v>
      </c>
      <c r="C49">
        <f>Data!D$186/'SGP and PVM'!B$186*Table2[[#This Row],[SGP]]</f>
        <v>11.781506441770183</v>
      </c>
      <c r="D49">
        <f>((Table2[[#This Row],[SGP]]-B$188)*(Data!D$186-COUNT(Table2[SGP])))/('SGP and PVM'!B$186-'SGP and PVM'!B$188*COUNT(Table2[SGP]))+1</f>
        <v>12.394211908682911</v>
      </c>
      <c r="E49">
        <f>IF(Table1[[#This Row],[Included?]],Table2[[#This Row],[SGP]],"")</f>
        <v>10.087223243353142</v>
      </c>
      <c r="F49">
        <f>IF(Table2[[#This Row],[Included SGP]]&lt;&gt;"", Data!D$186/'SGP and PVM'!E$186*Table2[[#This Row],[Included SGP]], "")</f>
        <v>19.839357896091681</v>
      </c>
      <c r="G49">
        <f>IF(Table2[[#This Row],[CI SGP]]&lt;&gt;"", ((Table2[[#This Row],[CI SGP]]-F$188)*(Data!D$186-COUNT(Table2[CI SGP])))/('SGP and PVM'!F$186-'SGP and PVM'!F$188*COUNT(Table2[CI SGP]))+1, "")</f>
        <v>19.552823210975781</v>
      </c>
      <c r="H49">
        <f>(Table1[[#This Row],[OBP]]-MEDIAN(Table1[OBP]))*Table1[[#This Row],[PA]]</f>
        <v>0.24104246563986725</v>
      </c>
      <c r="I49">
        <f>360*(Table1[[#This Row],[R]]/Data!H$186+Table1[[#This Row],[HR]]/Data!I$186+Table1[[#This Row],[RBI]]/Data!J$186+Table1[[#This Row],[SB]]/Data!K$186+(Table2[[#This Row],[OBP Diff]]-H$188)/(H$186-H$188*COUNT(Table2[OBP Diff])))</f>
        <v>10.952653329661636</v>
      </c>
      <c r="J49">
        <f>(Table2[[#This Row],[Crude PVM Value]]-I$188)*('SGP and PVM'!C$186-COUNT(Table2[Crude PVM Value]))/('SGP and PVM'!C$186-'SGP and PVM'!I$188*COUNT(Table2[Crude PVM Value]))+1</f>
        <v>11.434731518986171</v>
      </c>
      <c r="K49">
        <f>IF(Table1[[#This Row],[Included?]],Table2[[#This Row],[OBP Diff]],"")</f>
        <v>0.24104246563986725</v>
      </c>
      <c r="L4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18.390649258438554</v>
      </c>
      <c r="M49" s="13">
        <f>IF(Table1[[#This Row],[Included?]], (Table2[[#This Row],[IC PVM]]-L$188)*('SGP and PVM'!C$186-COUNT(Table2[IC PVM]))/('SGP and PVM'!C$186-'SGP and PVM'!L$188*COUNT(Table2[IC PVM]))+1, "")</f>
        <v>15.785926135088529</v>
      </c>
      <c r="N49" s="13">
        <f ca="1">Table2[[#This Row],[SGP Value]]*N$192+N$193</f>
        <v>16.828990751582538</v>
      </c>
    </row>
    <row r="50" spans="2:14" hidden="1" x14ac:dyDescent="0.25">
      <c r="B5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9.9025988215371648</v>
      </c>
      <c r="C50">
        <f>Data!D$186/'SGP and PVM'!B$186*Table2[[#This Row],[SGP]]</f>
        <v>11.565871894734029</v>
      </c>
      <c r="D50">
        <f>((Table2[[#This Row],[SGP]]-B$188)*(Data!D$186-COUNT(Table2[SGP])))/('SGP and PVM'!B$186-'SGP and PVM'!B$188*COUNT(Table2[SGP]))+1</f>
        <v>12.108723969079065</v>
      </c>
      <c r="E50">
        <f>IF(Table1[[#This Row],[Included?]],Table2[[#This Row],[SGP]],"")</f>
        <v>9.9025988215371648</v>
      </c>
      <c r="F50">
        <f>IF(Table2[[#This Row],[Included SGP]]&lt;&gt;"", Data!D$186/'SGP and PVM'!E$186*Table2[[#This Row],[Included SGP]], "")</f>
        <v>19.476242111658163</v>
      </c>
      <c r="G50">
        <f>IF(Table2[[#This Row],[CI SGP]]&lt;&gt;"", ((Table2[[#This Row],[CI SGP]]-F$188)*(Data!D$186-COUNT(Table2[CI SGP])))/('SGP and PVM'!F$186-'SGP and PVM'!F$188*COUNT(Table2[CI SGP]))+1, "")</f>
        <v>18.54202375942193</v>
      </c>
      <c r="H50">
        <f>(Table1[[#This Row],[OBP]]-MEDIAN(Table1[OBP]))*Table1[[#This Row],[PA]]</f>
        <v>-0.10805364995824755</v>
      </c>
      <c r="I50">
        <f>360*(Table1[[#This Row],[R]]/Data!H$186+Table1[[#This Row],[HR]]/Data!I$186+Table1[[#This Row],[RBI]]/Data!J$186+Table1[[#This Row],[SB]]/Data!K$186+(Table2[[#This Row],[OBP Diff]]-H$188)/(H$186-H$188*COUNT(Table2[OBP Diff])))</f>
        <v>10.344489106503303</v>
      </c>
      <c r="J50">
        <f>(Table2[[#This Row],[Crude PVM Value]]-I$188)*('SGP and PVM'!C$186-COUNT(Table2[Crude PVM Value]))/('SGP and PVM'!C$186-'SGP and PVM'!I$188*COUNT(Table2[Crude PVM Value]))+1</f>
        <v>10.550641910945863</v>
      </c>
      <c r="K50">
        <f>IF(Table1[[#This Row],[Included?]],Table2[[#This Row],[OBP Diff]],"")</f>
        <v>-0.10805364995824755</v>
      </c>
      <c r="L5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17.242103155559285</v>
      </c>
      <c r="M50" s="13">
        <f>IF(Table1[[#This Row],[Included?]], (Table2[[#This Row],[IC PVM]]-L$188)*('SGP and PVM'!C$186-COUNT(Table2[IC PVM]))/('SGP and PVM'!C$186-'SGP and PVM'!L$188*COUNT(Table2[IC PVM]))+1, "")</f>
        <v>12.778466052090437</v>
      </c>
      <c r="N50" s="13">
        <f ca="1">Table2[[#This Row],[SGP Value]]*N$192+N$193</f>
        <v>15.071934657500805</v>
      </c>
    </row>
    <row r="51" spans="2:14" hidden="1" x14ac:dyDescent="0.25">
      <c r="B5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9.4700219841155686</v>
      </c>
      <c r="C51">
        <f>Data!D$186/'SGP and PVM'!B$186*Table2[[#This Row],[SGP]]</f>
        <v>11.060638028714326</v>
      </c>
      <c r="D51">
        <f>((Table2[[#This Row],[SGP]]-B$188)*(Data!D$186-COUNT(Table2[SGP])))/('SGP and PVM'!B$186-'SGP and PVM'!B$188*COUNT(Table2[SGP]))+1</f>
        <v>11.439822916763614</v>
      </c>
      <c r="E51" t="str">
        <f>IF(Table1[[#This Row],[Included?]],Table2[[#This Row],[SGP]],"")</f>
        <v/>
      </c>
      <c r="F51" t="str">
        <f>IF(Table2[[#This Row],[Included SGP]]&lt;&gt;"", Data!D$186/'SGP and PVM'!E$186*Table2[[#This Row],[Included SGP]], "")</f>
        <v/>
      </c>
      <c r="G51" t="str">
        <f>IF(Table2[[#This Row],[CI SGP]]&lt;&gt;"", ((Table2[[#This Row],[CI SGP]]-F$188)*(Data!D$186-COUNT(Table2[CI SGP])))/('SGP and PVM'!F$186-'SGP and PVM'!F$188*COUNT(Table2[CI SGP]))+1, "")</f>
        <v/>
      </c>
      <c r="H51">
        <f>(Table1[[#This Row],[OBP]]-MEDIAN(Table1[OBP]))*Table1[[#This Row],[PA]]</f>
        <v>-0.31723893717253027</v>
      </c>
      <c r="I51">
        <f>360*(Table1[[#This Row],[R]]/Data!H$186+Table1[[#This Row],[HR]]/Data!I$186+Table1[[#This Row],[RBI]]/Data!J$186+Table1[[#This Row],[SB]]/Data!K$186+(Table2[[#This Row],[OBP Diff]]-H$188)/(H$186-H$188*COUNT(Table2[OBP Diff])))</f>
        <v>9.7093635013463455</v>
      </c>
      <c r="J51">
        <f>(Table2[[#This Row],[Crude PVM Value]]-I$188)*('SGP and PVM'!C$186-COUNT(Table2[Crude PVM Value]))/('SGP and PVM'!C$186-'SGP and PVM'!I$188*COUNT(Table2[Crude PVM Value]))+1</f>
        <v>9.6273584852889869</v>
      </c>
      <c r="K51" t="str">
        <f>IF(Table1[[#This Row],[Included?]],Table2[[#This Row],[OBP Diff]],"")</f>
        <v/>
      </c>
      <c r="L5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51" s="13" t="str">
        <f>IF(Table1[[#This Row],[Included?]], (Table2[[#This Row],[IC PVM]]-L$188)*('SGP and PVM'!C$186-COUNT(Table2[IC PVM]))/('SGP and PVM'!C$186-'SGP and PVM'!L$188*COUNT(Table2[IC PVM]))+1, "")</f>
        <v/>
      </c>
      <c r="N51" s="13">
        <f ca="1">Table2[[#This Row],[SGP Value]]*N$192+N$193</f>
        <v>10.955134935805233</v>
      </c>
    </row>
    <row r="52" spans="2:14" hidden="1" x14ac:dyDescent="0.25">
      <c r="B5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9.8523843749129441</v>
      </c>
      <c r="C52">
        <f>Data!D$186/'SGP and PVM'!B$186*Table2[[#This Row],[SGP]]</f>
        <v>11.50722326447168</v>
      </c>
      <c r="D52">
        <f>((Table2[[#This Row],[SGP]]-B$188)*(Data!D$186-COUNT(Table2[SGP])))/('SGP and PVM'!B$186-'SGP and PVM'!B$188*COUNT(Table2[SGP]))+1</f>
        <v>12.03107650097008</v>
      </c>
      <c r="E52" t="str">
        <f>IF(Table1[[#This Row],[Included?]],Table2[[#This Row],[SGP]],"")</f>
        <v/>
      </c>
      <c r="F52" t="str">
        <f>IF(Table2[[#This Row],[Included SGP]]&lt;&gt;"", Data!D$186/'SGP and PVM'!E$186*Table2[[#This Row],[Included SGP]], "")</f>
        <v/>
      </c>
      <c r="G52" t="str">
        <f>IF(Table2[[#This Row],[CI SGP]]&lt;&gt;"", ((Table2[[#This Row],[CI SGP]]-F$188)*(Data!D$186-COUNT(Table2[CI SGP])))/('SGP and PVM'!F$186-'SGP and PVM'!F$188*COUNT(Table2[CI SGP]))+1, "")</f>
        <v/>
      </c>
      <c r="H52">
        <f>(Table1[[#This Row],[OBP]]-MEDIAN(Table1[OBP]))*Table1[[#This Row],[PA]]</f>
        <v>-0.24292173207115542</v>
      </c>
      <c r="I52">
        <f>360*(Table1[[#This Row],[R]]/Data!H$186+Table1[[#This Row],[HR]]/Data!I$186+Table1[[#This Row],[RBI]]/Data!J$186+Table1[[#This Row],[SB]]/Data!K$186+(Table2[[#This Row],[OBP Diff]]-H$188)/(H$186-H$188*COUNT(Table2[OBP Diff])))</f>
        <v>10.825941219805586</v>
      </c>
      <c r="J52">
        <f>(Table2[[#This Row],[Crude PVM Value]]-I$188)*('SGP and PVM'!C$186-COUNT(Table2[Crude PVM Value]))/('SGP and PVM'!C$186-'SGP and PVM'!I$188*COUNT(Table2[Crude PVM Value]))+1</f>
        <v>11.250529858857552</v>
      </c>
      <c r="K52" t="str">
        <f>IF(Table1[[#This Row],[Included?]],Table2[[#This Row],[OBP Diff]],"")</f>
        <v/>
      </c>
      <c r="L5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52" s="13" t="str">
        <f>IF(Table1[[#This Row],[Included?]], (Table2[[#This Row],[IC PVM]]-L$188)*('SGP and PVM'!C$186-COUNT(Table2[IC PVM]))/('SGP and PVM'!C$186-'SGP and PVM'!L$188*COUNT(Table2[IC PVM]))+1, "")</f>
        <v/>
      </c>
      <c r="N52" s="13">
        <f ca="1">Table2[[#This Row],[SGP Value]]*N$192+N$193</f>
        <v>14.594047720419582</v>
      </c>
    </row>
    <row r="53" spans="2:14" hidden="1" x14ac:dyDescent="0.25">
      <c r="B5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9.2200245748633041</v>
      </c>
      <c r="C53">
        <f>Data!D$186/'SGP and PVM'!B$186*Table2[[#This Row],[SGP]]</f>
        <v>10.768650232224125</v>
      </c>
      <c r="D53">
        <f>((Table2[[#This Row],[SGP]]-B$188)*(Data!D$186-COUNT(Table2[SGP])))/('SGP and PVM'!B$186-'SGP and PVM'!B$188*COUNT(Table2[SGP]))+1</f>
        <v>11.053247594974023</v>
      </c>
      <c r="E53">
        <f>IF(Table1[[#This Row],[Included?]],Table2[[#This Row],[SGP]],"")</f>
        <v>9.2200245748633041</v>
      </c>
      <c r="F53">
        <f>IF(Table2[[#This Row],[Included SGP]]&lt;&gt;"", Data!D$186/'SGP and PVM'!E$186*Table2[[#This Row],[Included SGP]], "")</f>
        <v>18.133768128112582</v>
      </c>
      <c r="G53">
        <f>IF(Table2[[#This Row],[CI SGP]]&lt;&gt;"", ((Table2[[#This Row],[CI SGP]]-F$188)*(Data!D$186-COUNT(Table2[CI SGP])))/('SGP and PVM'!F$186-'SGP and PVM'!F$188*COUNT(Table2[CI SGP]))+1, "")</f>
        <v>14.805000957149252</v>
      </c>
      <c r="H53">
        <f>(Table1[[#This Row],[OBP]]-MEDIAN(Table1[OBP]))*Table1[[#This Row],[PA]]</f>
        <v>4.570865162373422E-2</v>
      </c>
      <c r="I53">
        <f>360*(Table1[[#This Row],[R]]/Data!H$186+Table1[[#This Row],[HR]]/Data!I$186+Table1[[#This Row],[RBI]]/Data!J$186+Table1[[#This Row],[SB]]/Data!K$186+(Table2[[#This Row],[OBP Diff]]-H$188)/(H$186-H$188*COUNT(Table2[OBP Diff])))</f>
        <v>10.125879635828873</v>
      </c>
      <c r="J53">
        <f>(Table2[[#This Row],[Crude PVM Value]]-I$188)*('SGP and PVM'!C$186-COUNT(Table2[Crude PVM Value]))/('SGP and PVM'!C$186-'SGP and PVM'!I$188*COUNT(Table2[Crude PVM Value]))+1</f>
        <v>10.232848864457928</v>
      </c>
      <c r="K53">
        <f>IF(Table1[[#This Row],[Included?]],Table2[[#This Row],[OBP Diff]],"")</f>
        <v>4.570865162373422E-2</v>
      </c>
      <c r="L5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16.824610011879283</v>
      </c>
      <c r="M53" s="13">
        <f>IF(Table1[[#This Row],[Included?]], (Table2[[#This Row],[IC PVM]]-L$188)*('SGP and PVM'!C$186-COUNT(Table2[IC PVM]))/('SGP and PVM'!C$186-'SGP and PVM'!L$188*COUNT(Table2[IC PVM]))+1, "")</f>
        <v>11.685263122407974</v>
      </c>
      <c r="N53" s="13">
        <f ca="1">Table2[[#This Row],[SGP Value]]*N$192+N$193</f>
        <v>8.5759292645795284</v>
      </c>
    </row>
    <row r="54" spans="2:14" hidden="1" x14ac:dyDescent="0.25">
      <c r="B5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8.5171532784017696</v>
      </c>
      <c r="C54">
        <f>Data!D$186/'SGP and PVM'!B$186*Table2[[#This Row],[SGP]]</f>
        <v>9.947722360675975</v>
      </c>
      <c r="D54">
        <f>((Table2[[#This Row],[SGP]]-B$188)*(Data!D$186-COUNT(Table2[SGP])))/('SGP and PVM'!B$186-'SGP and PVM'!B$188*COUNT(Table2[SGP]))+1</f>
        <v>9.9663855414072735</v>
      </c>
      <c r="E54">
        <f>IF(Table1[[#This Row],[Included?]],Table2[[#This Row],[SGP]],"")</f>
        <v>8.5171532784017696</v>
      </c>
      <c r="F54">
        <f>IF(Table2[[#This Row],[Included SGP]]&lt;&gt;"", Data!D$186/'SGP and PVM'!E$186*Table2[[#This Row],[Included SGP]], "")</f>
        <v>16.751374294945567</v>
      </c>
      <c r="G54">
        <f>IF(Table2[[#This Row],[CI SGP]]&lt;&gt;"", ((Table2[[#This Row],[CI SGP]]-F$188)*(Data!D$186-COUNT(Table2[CI SGP])))/('SGP and PVM'!F$186-'SGP and PVM'!F$188*COUNT(Table2[CI SGP]))+1, "")</f>
        <v>10.956853924443001</v>
      </c>
      <c r="H54">
        <f>(Table1[[#This Row],[OBP]]-MEDIAN(Table1[OBP]))*Table1[[#This Row],[PA]]</f>
        <v>-8.0397078437591959E-2</v>
      </c>
      <c r="I54">
        <f>360*(Table1[[#This Row],[R]]/Data!H$186+Table1[[#This Row],[HR]]/Data!I$186+Table1[[#This Row],[RBI]]/Data!J$186+Table1[[#This Row],[SB]]/Data!K$186+(Table2[[#This Row],[OBP Diff]]-H$188)/(H$186-H$188*COUNT(Table2[OBP Diff])))</f>
        <v>9.682426812449993</v>
      </c>
      <c r="J54">
        <f>(Table2[[#This Row],[Crude PVM Value]]-I$188)*('SGP and PVM'!C$186-COUNT(Table2[Crude PVM Value]))/('SGP and PVM'!C$186-'SGP and PVM'!I$188*COUNT(Table2[Crude PVM Value]))+1</f>
        <v>9.5882005640870354</v>
      </c>
      <c r="K54">
        <f>IF(Table1[[#This Row],[Included?]],Table2[[#This Row],[OBP Diff]],"")</f>
        <v>-8.0397078437591959E-2</v>
      </c>
      <c r="L5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15.856720599112194</v>
      </c>
      <c r="M54" s="13">
        <f>IF(Table1[[#This Row],[Included?]], (Table2[[#This Row],[IC PVM]]-L$188)*('SGP and PVM'!C$186-COUNT(Table2[IC PVM]))/('SGP and PVM'!C$186-'SGP and PVM'!L$188*COUNT(Table2[IC PVM]))+1, "")</f>
        <v>9.150851341847984</v>
      </c>
      <c r="N54" s="13">
        <f ca="1">Table2[[#This Row],[SGP Value]]*N$192+N$193</f>
        <v>1.8867584460307754</v>
      </c>
    </row>
    <row r="55" spans="2:14" hidden="1" x14ac:dyDescent="0.25">
      <c r="B5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8.2183589717978833</v>
      </c>
      <c r="C55">
        <f>Data!D$186/'SGP and PVM'!B$186*Table2[[#This Row],[SGP]]</f>
        <v>9.5987415794349573</v>
      </c>
      <c r="D55">
        <f>((Table2[[#This Row],[SGP]]-B$188)*(Data!D$186-COUNT(Table2[SGP])))/('SGP and PVM'!B$186-'SGP and PVM'!B$188*COUNT(Table2[SGP]))+1</f>
        <v>9.5043547324890074</v>
      </c>
      <c r="E55">
        <f>IF(Table1[[#This Row],[Included?]],Table2[[#This Row],[SGP]],"")</f>
        <v>8.2183589717978833</v>
      </c>
      <c r="F55">
        <f>IF(Table2[[#This Row],[Included SGP]]&lt;&gt;"", Data!D$186/'SGP and PVM'!E$186*Table2[[#This Row],[Included SGP]], "")</f>
        <v>16.163711363034633</v>
      </c>
      <c r="G55">
        <f>IF(Table2[[#This Row],[CI SGP]]&lt;&gt;"", ((Table2[[#This Row],[CI SGP]]-F$188)*(Data!D$186-COUNT(Table2[CI SGP])))/('SGP and PVM'!F$186-'SGP and PVM'!F$188*COUNT(Table2[CI SGP]))+1, "")</f>
        <v>9.32098626255992</v>
      </c>
      <c r="H55">
        <f>(Table1[[#This Row],[OBP]]-MEDIAN(Table1[OBP]))*Table1[[#This Row],[PA]]</f>
        <v>-0.35054605492242918</v>
      </c>
      <c r="I55">
        <f>360*(Table1[[#This Row],[R]]/Data!H$186+Table1[[#This Row],[HR]]/Data!I$186+Table1[[#This Row],[RBI]]/Data!J$186+Table1[[#This Row],[SB]]/Data!K$186+(Table2[[#This Row],[OBP Diff]]-H$188)/(H$186-H$188*COUNT(Table2[OBP Diff])))</f>
        <v>9.6187178862488345</v>
      </c>
      <c r="J55">
        <f>(Table2[[#This Row],[Crude PVM Value]]-I$188)*('SGP and PVM'!C$186-COUNT(Table2[Crude PVM Value]))/('SGP and PVM'!C$186-'SGP and PVM'!I$188*COUNT(Table2[Crude PVM Value]))+1</f>
        <v>9.4955867643121241</v>
      </c>
      <c r="K55">
        <f>IF(Table1[[#This Row],[Included?]],Table2[[#This Row],[OBP Diff]],"")</f>
        <v>-0.35054605492242918</v>
      </c>
      <c r="L5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15.500806249306253</v>
      </c>
      <c r="M55" s="13">
        <f>IF(Table1[[#This Row],[Included?]], (Table2[[#This Row],[IC PVM]]-L$188)*('SGP and PVM'!C$186-COUNT(Table2[IC PVM]))/('SGP and PVM'!C$186-'SGP and PVM'!L$188*COUNT(Table2[IC PVM]))+1, "")</f>
        <v>8.2188920610457359</v>
      </c>
      <c r="N55" s="13">
        <f ca="1">Table2[[#This Row],[SGP Value]]*N$192+N$193</f>
        <v>-0.9568434573976603</v>
      </c>
    </row>
    <row r="56" spans="2:14" hidden="1" x14ac:dyDescent="0.25">
      <c r="B5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9.8175998589700395</v>
      </c>
      <c r="C56">
        <f>Data!D$186/'SGP and PVM'!B$186*Table2[[#This Row],[SGP]]</f>
        <v>11.46659622680547</v>
      </c>
      <c r="D56">
        <f>((Table2[[#This Row],[SGP]]-B$188)*(Data!D$186-COUNT(Table2[SGP])))/('SGP and PVM'!B$186-'SGP and PVM'!B$188*COUNT(Table2[SGP]))+1</f>
        <v>11.977288601790873</v>
      </c>
      <c r="E56">
        <f>IF(Table1[[#This Row],[Included?]],Table2[[#This Row],[SGP]],"")</f>
        <v>9.8175998589700395</v>
      </c>
      <c r="F56">
        <f>IF(Table2[[#This Row],[Included SGP]]&lt;&gt;"", Data!D$186/'SGP and PVM'!E$186*Table2[[#This Row],[Included SGP]], "")</f>
        <v>19.309067776513267</v>
      </c>
      <c r="G56">
        <f>IF(Table2[[#This Row],[CI SGP]]&lt;&gt;"", ((Table2[[#This Row],[CI SGP]]-F$188)*(Data!D$186-COUNT(Table2[CI SGP])))/('SGP and PVM'!F$186-'SGP and PVM'!F$188*COUNT(Table2[CI SGP]))+1, "")</f>
        <v>18.076663305477581</v>
      </c>
      <c r="H56">
        <f>(Table1[[#This Row],[OBP]]-MEDIAN(Table1[OBP]))*Table1[[#This Row],[PA]]</f>
        <v>0.69571803853733394</v>
      </c>
      <c r="I56">
        <f>360*(Table1[[#This Row],[R]]/Data!H$186+Table1[[#This Row],[HR]]/Data!I$186+Table1[[#This Row],[RBI]]/Data!J$186+Table1[[#This Row],[SB]]/Data!K$186+(Table2[[#This Row],[OBP Diff]]-H$188)/(H$186-H$188*COUNT(Table2[OBP Diff])))</f>
        <v>11.475326021002767</v>
      </c>
      <c r="J56">
        <f>(Table2[[#This Row],[Crude PVM Value]]-I$188)*('SGP and PVM'!C$186-COUNT(Table2[Crude PVM Value]))/('SGP and PVM'!C$186-'SGP and PVM'!I$188*COUNT(Table2[Crude PVM Value]))+1</f>
        <v>12.194541907735148</v>
      </c>
      <c r="K56">
        <f>IF(Table1[[#This Row],[Included?]],Table2[[#This Row],[OBP Diff]],"")</f>
        <v>0.69571803853733394</v>
      </c>
      <c r="L5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19.317721764984679</v>
      </c>
      <c r="M56" s="13">
        <f>IF(Table1[[#This Row],[Included?]], (Table2[[#This Row],[IC PVM]]-L$188)*('SGP and PVM'!C$186-COUNT(Table2[IC PVM]))/('SGP and PVM'!C$186-'SGP and PVM'!L$188*COUNT(Table2[IC PVM]))+1, "")</f>
        <v>18.213459127010175</v>
      </c>
      <c r="N56" s="13">
        <f ca="1">Table2[[#This Row],[SGP Value]]*N$192+N$193</f>
        <v>14.263006219430693</v>
      </c>
    </row>
    <row r="57" spans="2:14" hidden="1" x14ac:dyDescent="0.25">
      <c r="B5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9.7191957621327223</v>
      </c>
      <c r="C57">
        <f>Data!D$186/'SGP and PVM'!B$186*Table2[[#This Row],[SGP]]</f>
        <v>11.351663854157787</v>
      </c>
      <c r="D57">
        <f>((Table2[[#This Row],[SGP]]-B$188)*(Data!D$186-COUNT(Table2[SGP])))/('SGP and PVM'!B$186-'SGP and PVM'!B$188*COUNT(Table2[SGP]))+1</f>
        <v>11.825124643315952</v>
      </c>
      <c r="E57">
        <f>IF(Table1[[#This Row],[Included?]],Table2[[#This Row],[SGP]],"")</f>
        <v>9.7191957621327223</v>
      </c>
      <c r="F57">
        <f>IF(Table2[[#This Row],[Included SGP]]&lt;&gt;"", Data!D$186/'SGP and PVM'!E$186*Table2[[#This Row],[Included SGP]], "")</f>
        <v>19.115528479473955</v>
      </c>
      <c r="G57">
        <f>IF(Table2[[#This Row],[CI SGP]]&lt;&gt;"", ((Table2[[#This Row],[CI SGP]]-F$188)*(Data!D$186-COUNT(Table2[CI SGP])))/('SGP and PVM'!F$186-'SGP and PVM'!F$188*COUNT(Table2[CI SGP]))+1, "")</f>
        <v>17.537911139672815</v>
      </c>
      <c r="H57">
        <f>(Table1[[#This Row],[OBP]]-MEDIAN(Table1[OBP]))*Table1[[#This Row],[PA]]</f>
        <v>-0.20743751896748702</v>
      </c>
      <c r="I57">
        <f>360*(Table1[[#This Row],[R]]/Data!H$186+Table1[[#This Row],[HR]]/Data!I$186+Table1[[#This Row],[RBI]]/Data!J$186+Table1[[#This Row],[SB]]/Data!K$186+(Table2[[#This Row],[OBP Diff]]-H$188)/(H$186-H$188*COUNT(Table2[OBP Diff])))</f>
        <v>10.057566292638279</v>
      </c>
      <c r="J57">
        <f>(Table2[[#This Row],[Crude PVM Value]]-I$188)*('SGP and PVM'!C$186-COUNT(Table2[Crude PVM Value]))/('SGP and PVM'!C$186-'SGP and PVM'!I$188*COUNT(Table2[Crude PVM Value]))+1</f>
        <v>10.133541614038542</v>
      </c>
      <c r="K57">
        <f>IF(Table1[[#This Row],[Included?]],Table2[[#This Row],[OBP Diff]],"")</f>
        <v>-0.20743751896748702</v>
      </c>
      <c r="L5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16.734630351581895</v>
      </c>
      <c r="M57" s="13">
        <f>IF(Table1[[#This Row],[Included?]], (Table2[[#This Row],[IC PVM]]-L$188)*('SGP and PVM'!C$186-COUNT(Table2[IC PVM]))/('SGP and PVM'!C$186-'SGP and PVM'!L$188*COUNT(Table2[IC PVM]))+1, "")</f>
        <v>11.449651999835067</v>
      </c>
      <c r="N57" s="13">
        <f ca="1">Table2[[#This Row],[SGP Value]]*N$192+N$193</f>
        <v>13.326502173379012</v>
      </c>
    </row>
    <row r="58" spans="2:14" hidden="1" x14ac:dyDescent="0.25">
      <c r="B5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8.3259804025963167</v>
      </c>
      <c r="C58">
        <f>Data!D$186/'SGP and PVM'!B$186*Table2[[#This Row],[SGP]]</f>
        <v>9.7244394597767805</v>
      </c>
      <c r="D58">
        <f>((Table2[[#This Row],[SGP]]-B$188)*(Data!D$186-COUNT(Table2[SGP])))/('SGP and PVM'!B$186-'SGP and PVM'!B$188*COUNT(Table2[SGP]))+1</f>
        <v>9.6707716140350843</v>
      </c>
      <c r="E58">
        <f>IF(Table1[[#This Row],[Included?]],Table2[[#This Row],[SGP]],"")</f>
        <v>8.3259804025963167</v>
      </c>
      <c r="F58">
        <f>IF(Table2[[#This Row],[Included SGP]]&lt;&gt;"", Data!D$186/'SGP and PVM'!E$186*Table2[[#This Row],[Included SGP]], "")</f>
        <v>16.375379136354361</v>
      </c>
      <c r="G58">
        <f>IF(Table2[[#This Row],[CI SGP]]&lt;&gt;"", ((Table2[[#This Row],[CI SGP]]-F$188)*(Data!D$186-COUNT(Table2[CI SGP])))/('SGP and PVM'!F$186-'SGP and PVM'!F$188*COUNT(Table2[CI SGP]))+1, "")</f>
        <v>9.910202370355913</v>
      </c>
      <c r="H58">
        <f>(Table1[[#This Row],[OBP]]-MEDIAN(Table1[OBP]))*Table1[[#This Row],[PA]]</f>
        <v>0.66975357498897925</v>
      </c>
      <c r="I58">
        <f>360*(Table1[[#This Row],[R]]/Data!H$186+Table1[[#This Row],[HR]]/Data!I$186+Table1[[#This Row],[RBI]]/Data!J$186+Table1[[#This Row],[SB]]/Data!K$186+(Table2[[#This Row],[OBP Diff]]-H$188)/(H$186-H$188*COUNT(Table2[OBP Diff])))</f>
        <v>9.6022201549772639</v>
      </c>
      <c r="J58">
        <f>(Table2[[#This Row],[Crude PVM Value]]-I$188)*('SGP and PVM'!C$186-COUNT(Table2[Crude PVM Value]))/('SGP and PVM'!C$186-'SGP and PVM'!I$188*COUNT(Table2[Crude PVM Value]))+1</f>
        <v>9.4716039777258096</v>
      </c>
      <c r="K58">
        <f>IF(Table1[[#This Row],[Included?]],Table2[[#This Row],[OBP Diff]],"")</f>
        <v>0.66975357498897925</v>
      </c>
      <c r="L5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16.21888954261188</v>
      </c>
      <c r="M58" s="13">
        <f>IF(Table1[[#This Row],[Included?]], (Table2[[#This Row],[IC PVM]]-L$188)*('SGP and PVM'!C$186-COUNT(Table2[IC PVM]))/('SGP and PVM'!C$186-'SGP and PVM'!L$188*COUNT(Table2[IC PVM]))+1, "")</f>
        <v>10.099188233285238</v>
      </c>
      <c r="N58" s="13">
        <f ca="1">Table2[[#This Row],[SGP Value]]*N$192+N$193</f>
        <v>6.7381230637728606E-2</v>
      </c>
    </row>
    <row r="59" spans="2:14" hidden="1" x14ac:dyDescent="0.25">
      <c r="B5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8.495068914485632</v>
      </c>
      <c r="C59">
        <f>Data!D$186/'SGP and PVM'!B$186*Table2[[#This Row],[SGP]]</f>
        <v>9.9219286343487809</v>
      </c>
      <c r="D59">
        <f>((Table2[[#This Row],[SGP]]-B$188)*(Data!D$186-COUNT(Table2[SGP])))/('SGP and PVM'!B$186-'SGP and PVM'!B$188*COUNT(Table2[SGP]))+1</f>
        <v>9.9322361071673981</v>
      </c>
      <c r="E59">
        <f>IF(Table1[[#This Row],[Included?]],Table2[[#This Row],[SGP]],"")</f>
        <v>8.495068914485632</v>
      </c>
      <c r="F59">
        <f>IF(Table2[[#This Row],[Included SGP]]&lt;&gt;"", Data!D$186/'SGP and PVM'!E$186*Table2[[#This Row],[Included SGP]], "")</f>
        <v>16.707939190053992</v>
      </c>
      <c r="G59">
        <f>IF(Table2[[#This Row],[CI SGP]]&lt;&gt;"", ((Table2[[#This Row],[CI SGP]]-F$188)*(Data!D$186-COUNT(Table2[CI SGP])))/('SGP and PVM'!F$186-'SGP and PVM'!F$188*COUNT(Table2[CI SGP]))+1, "")</f>
        <v>10.835944335588083</v>
      </c>
      <c r="H59">
        <f>(Table1[[#This Row],[OBP]]-MEDIAN(Table1[OBP]))*Table1[[#This Row],[PA]]</f>
        <v>0.56493797387679712</v>
      </c>
      <c r="I59">
        <f>360*(Table1[[#This Row],[R]]/Data!H$186+Table1[[#This Row],[HR]]/Data!I$186+Table1[[#This Row],[RBI]]/Data!J$186+Table1[[#This Row],[SB]]/Data!K$186+(Table2[[#This Row],[OBP Diff]]-H$188)/(H$186-H$188*COUNT(Table2[OBP Diff])))</f>
        <v>9.7935094476857998</v>
      </c>
      <c r="J59">
        <f>(Table2[[#This Row],[Crude PVM Value]]-I$188)*('SGP and PVM'!C$186-COUNT(Table2[Crude PVM Value]))/('SGP and PVM'!C$186-'SGP and PVM'!I$188*COUNT(Table2[Crude PVM Value]))+1</f>
        <v>9.7496816241462714</v>
      </c>
      <c r="K59">
        <f>IF(Table1[[#This Row],[Included?]],Table2[[#This Row],[OBP Diff]],"")</f>
        <v>0.56493797387679712</v>
      </c>
      <c r="L5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16.474165259131059</v>
      </c>
      <c r="M59" s="13">
        <f>IF(Table1[[#This Row],[Included?]], (Table2[[#This Row],[IC PVM]]-L$188)*('SGP and PVM'!C$186-COUNT(Table2[IC PVM]))/('SGP and PVM'!C$186-'SGP and PVM'!L$188*COUNT(Table2[IC PVM]))+1, "")</f>
        <v>10.767625943940088</v>
      </c>
      <c r="N59" s="13">
        <f ca="1">Table2[[#This Row],[SGP Value]]*N$192+N$193</f>
        <v>1.6765832924888073</v>
      </c>
    </row>
    <row r="60" spans="2:14" hidden="1" x14ac:dyDescent="0.25">
      <c r="B6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9.9461816124354119</v>
      </c>
      <c r="C60">
        <f>Data!D$186/'SGP and PVM'!B$186*Table2[[#This Row],[SGP]]</f>
        <v>11.61677499455948</v>
      </c>
      <c r="D60">
        <f>((Table2[[#This Row],[SGP]]-B$188)*(Data!D$186-COUNT(Table2[SGP])))/('SGP and PVM'!B$186-'SGP and PVM'!B$188*COUNT(Table2[SGP]))+1</f>
        <v>12.176116793134202</v>
      </c>
      <c r="E60">
        <f>IF(Table1[[#This Row],[Included?]],Table2[[#This Row],[SGP]],"")</f>
        <v>9.9461816124354119</v>
      </c>
      <c r="F60">
        <f>IF(Table2[[#This Row],[Included SGP]]&lt;&gt;"", Data!D$186/'SGP and PVM'!E$186*Table2[[#This Row],[Included SGP]], "")</f>
        <v>19.561959911877427</v>
      </c>
      <c r="G60">
        <f>IF(Table2[[#This Row],[CI SGP]]&lt;&gt;"", ((Table2[[#This Row],[CI SGP]]-F$188)*(Data!D$186-COUNT(Table2[CI SGP])))/('SGP and PVM'!F$186-'SGP and PVM'!F$188*COUNT(Table2[CI SGP]))+1, "")</f>
        <v>18.78063499353615</v>
      </c>
      <c r="H60">
        <f>(Table1[[#This Row],[OBP]]-MEDIAN(Table1[OBP]))*Table1[[#This Row],[PA]]</f>
        <v>1.3274180347111433</v>
      </c>
      <c r="I60">
        <f>360*(Table1[[#This Row],[R]]/Data!H$186+Table1[[#This Row],[HR]]/Data!I$186+Table1[[#This Row],[RBI]]/Data!J$186+Table1[[#This Row],[SB]]/Data!K$186+(Table2[[#This Row],[OBP Diff]]-H$188)/(H$186-H$188*COUNT(Table2[OBP Diff])))</f>
        <v>11.850976060241939</v>
      </c>
      <c r="J60">
        <f>(Table2[[#This Row],[Crude PVM Value]]-I$188)*('SGP and PVM'!C$186-COUNT(Table2[Crude PVM Value]))/('SGP and PVM'!C$186-'SGP and PVM'!I$188*COUNT(Table2[Crude PVM Value]))+1</f>
        <v>12.74062515845084</v>
      </c>
      <c r="K60">
        <f>IF(Table1[[#This Row],[Included?]],Table2[[#This Row],[OBP Diff]],"")</f>
        <v>1.3274180347111433</v>
      </c>
      <c r="L6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20.301269678503704</v>
      </c>
      <c r="M60" s="13">
        <f>IF(Table1[[#This Row],[Included?]], (Table2[[#This Row],[IC PVM]]-L$188)*('SGP and PVM'!C$186-COUNT(Table2[IC PVM]))/('SGP and PVM'!C$186-'SGP and PVM'!L$188*COUNT(Table2[IC PVM]))+1, "")</f>
        <v>20.788872584257749</v>
      </c>
      <c r="N60" s="13">
        <f ca="1">Table2[[#This Row],[SGP Value]]*N$192+N$193</f>
        <v>15.486708648891721</v>
      </c>
    </row>
    <row r="61" spans="2:14" hidden="1" x14ac:dyDescent="0.25">
      <c r="B6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8.1354172869697674</v>
      </c>
      <c r="C61">
        <f>Data!D$186/'SGP and PVM'!B$186*Table2[[#This Row],[SGP]]</f>
        <v>9.5018687363819758</v>
      </c>
      <c r="D61">
        <f>((Table2[[#This Row],[SGP]]-B$188)*(Data!D$186-COUNT(Table2[SGP])))/('SGP and PVM'!B$186-'SGP and PVM'!B$188*COUNT(Table2[SGP]))+1</f>
        <v>9.3761005693834782</v>
      </c>
      <c r="E61">
        <f>IF(Table1[[#This Row],[Included?]],Table2[[#This Row],[SGP]],"")</f>
        <v>8.1354172869697674</v>
      </c>
      <c r="F61">
        <f>IF(Table2[[#This Row],[Included SGP]]&lt;&gt;"", Data!D$186/'SGP and PVM'!E$186*Table2[[#This Row],[Included SGP]], "")</f>
        <v>16.000583242429773</v>
      </c>
      <c r="G61">
        <f>IF(Table2[[#This Row],[CI SGP]]&lt;&gt;"", ((Table2[[#This Row],[CI SGP]]-F$188)*(Data!D$186-COUNT(Table2[CI SGP])))/('SGP and PVM'!F$186-'SGP and PVM'!F$188*COUNT(Table2[CI SGP]))+1, "")</f>
        <v>8.8668891896451747</v>
      </c>
      <c r="H61">
        <f>(Table1[[#This Row],[OBP]]-MEDIAN(Table1[OBP]))*Table1[[#This Row],[PA]]</f>
        <v>0.60473231888805634</v>
      </c>
      <c r="I61">
        <f>360*(Table1[[#This Row],[R]]/Data!H$186+Table1[[#This Row],[HR]]/Data!I$186+Table1[[#This Row],[RBI]]/Data!J$186+Table1[[#This Row],[SB]]/Data!K$186+(Table2[[#This Row],[OBP Diff]]-H$188)/(H$186-H$188*COUNT(Table2[OBP Diff])))</f>
        <v>9.2288852970788025</v>
      </c>
      <c r="J61">
        <f>(Table2[[#This Row],[Crude PVM Value]]-I$188)*('SGP and PVM'!C$186-COUNT(Table2[Crude PVM Value]))/('SGP and PVM'!C$186-'SGP and PVM'!I$188*COUNT(Table2[Crude PVM Value]))+1</f>
        <v>8.9288863109858116</v>
      </c>
      <c r="K61">
        <f>IF(Table1[[#This Row],[Included?]],Table2[[#This Row],[OBP Diff]],"")</f>
        <v>0.60473231888805634</v>
      </c>
      <c r="L6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15.630907360628358</v>
      </c>
      <c r="M61" s="13">
        <f>IF(Table1[[#This Row],[Included?]], (Table2[[#This Row],[IC PVM]]-L$188)*('SGP and PVM'!C$186-COUNT(Table2[IC PVM]))/('SGP and PVM'!C$186-'SGP and PVM'!L$188*COUNT(Table2[IC PVM]))+1, "")</f>
        <v>8.5595609276015026</v>
      </c>
      <c r="N61" s="13">
        <f ca="1">Table2[[#This Row],[SGP Value]]*N$192+N$193</f>
        <v>-1.7461929451155171</v>
      </c>
    </row>
    <row r="62" spans="2:14" hidden="1" x14ac:dyDescent="0.25">
      <c r="B6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8.7414719229762703</v>
      </c>
      <c r="C62">
        <f>Data!D$186/'SGP and PVM'!B$186*Table2[[#This Row],[SGP]]</f>
        <v>10.209718302701456</v>
      </c>
      <c r="D62">
        <f>((Table2[[#This Row],[SGP]]-B$188)*(Data!D$186-COUNT(Table2[SGP])))/('SGP and PVM'!B$186-'SGP and PVM'!B$188*COUNT(Table2[SGP]))+1</f>
        <v>10.313253344834347</v>
      </c>
      <c r="E62">
        <f>IF(Table1[[#This Row],[Included?]],Table2[[#This Row],[SGP]],"")</f>
        <v>8.7414719229762703</v>
      </c>
      <c r="F62">
        <f>IF(Table2[[#This Row],[Included SGP]]&lt;&gt;"", Data!D$186/'SGP and PVM'!E$186*Table2[[#This Row],[Included SGP]], "")</f>
        <v>17.19255991809634</v>
      </c>
      <c r="G62">
        <f>IF(Table2[[#This Row],[CI SGP]]&lt;&gt;"", ((Table2[[#This Row],[CI SGP]]-F$188)*(Data!D$186-COUNT(Table2[CI SGP])))/('SGP and PVM'!F$186-'SGP and PVM'!F$188*COUNT(Table2[CI SGP]))+1, "")</f>
        <v>12.184975105156624</v>
      </c>
      <c r="H62">
        <f>(Table1[[#This Row],[OBP]]-MEDIAN(Table1[OBP]))*Table1[[#This Row],[PA]]</f>
        <v>0.52348578976140892</v>
      </c>
      <c r="I62">
        <f>360*(Table1[[#This Row],[R]]/Data!H$186+Table1[[#This Row],[HR]]/Data!I$186+Table1[[#This Row],[RBI]]/Data!J$186+Table1[[#This Row],[SB]]/Data!K$186+(Table2[[#This Row],[OBP Diff]]-H$188)/(H$186-H$188*COUNT(Table2[OBP Diff])))</f>
        <v>9.6228877687109104</v>
      </c>
      <c r="J62">
        <f>(Table2[[#This Row],[Crude PVM Value]]-I$188)*('SGP and PVM'!C$186-COUNT(Table2[Crude PVM Value]))/('SGP and PVM'!C$186-'SGP and PVM'!I$188*COUNT(Table2[Crude PVM Value]))+1</f>
        <v>9.501648531201873</v>
      </c>
      <c r="K62">
        <f>IF(Table1[[#This Row],[Included?]],Table2[[#This Row],[OBP Diff]],"")</f>
        <v>0.52348578976140892</v>
      </c>
      <c r="L6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16.322139209483328</v>
      </c>
      <c r="M62" s="13">
        <f>IF(Table1[[#This Row],[Included?]], (Table2[[#This Row],[IC PVM]]-L$188)*('SGP and PVM'!C$186-COUNT(Table2[IC PVM]))/('SGP and PVM'!C$186-'SGP and PVM'!L$188*COUNT(Table2[IC PVM]))+1, "")</f>
        <v>10.36954677694343</v>
      </c>
      <c r="N62" s="13">
        <f ca="1">Table2[[#This Row],[SGP Value]]*N$192+N$193</f>
        <v>4.0215813345142806</v>
      </c>
    </row>
    <row r="63" spans="2:14" hidden="1" x14ac:dyDescent="0.25">
      <c r="B6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9.4936575872872364</v>
      </c>
      <c r="C63">
        <f>Data!D$186/'SGP and PVM'!B$186*Table2[[#This Row],[SGP]]</f>
        <v>11.088243545545295</v>
      </c>
      <c r="D63">
        <f>((Table2[[#This Row],[SGP]]-B$188)*(Data!D$186-COUNT(Table2[SGP])))/('SGP and PVM'!B$186-'SGP and PVM'!B$188*COUNT(Table2[SGP]))+1</f>
        <v>11.476371059118796</v>
      </c>
      <c r="E63" t="str">
        <f>IF(Table1[[#This Row],[Included?]],Table2[[#This Row],[SGP]],"")</f>
        <v/>
      </c>
      <c r="F63" t="str">
        <f>IF(Table2[[#This Row],[Included SGP]]&lt;&gt;"", Data!D$186/'SGP and PVM'!E$186*Table2[[#This Row],[Included SGP]], "")</f>
        <v/>
      </c>
      <c r="G63" t="str">
        <f>IF(Table2[[#This Row],[CI SGP]]&lt;&gt;"", ((Table2[[#This Row],[CI SGP]]-F$188)*(Data!D$186-COUNT(Table2[CI SGP])))/('SGP and PVM'!F$186-'SGP and PVM'!F$188*COUNT(Table2[CI SGP]))+1, "")</f>
        <v/>
      </c>
      <c r="H63">
        <f>(Table1[[#This Row],[OBP]]-MEDIAN(Table1[OBP]))*Table1[[#This Row],[PA]]</f>
        <v>-0.5308968327287571</v>
      </c>
      <c r="I63">
        <f>360*(Table1[[#This Row],[R]]/Data!H$186+Table1[[#This Row],[HR]]/Data!I$186+Table1[[#This Row],[RBI]]/Data!J$186+Table1[[#This Row],[SB]]/Data!K$186+(Table2[[#This Row],[OBP Diff]]-H$188)/(H$186-H$188*COUNT(Table2[OBP Diff])))</f>
        <v>10.061075439686418</v>
      </c>
      <c r="J63">
        <f>(Table2[[#This Row],[Crude PVM Value]]-I$188)*('SGP and PVM'!C$186-COUNT(Table2[Crude PVM Value]))/('SGP and PVM'!C$186-'SGP and PVM'!I$188*COUNT(Table2[Crude PVM Value]))+1</f>
        <v>10.138642868469841</v>
      </c>
      <c r="K63" t="str">
        <f>IF(Table1[[#This Row],[Included?]],Table2[[#This Row],[OBP Diff]],"")</f>
        <v/>
      </c>
      <c r="L6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3" s="13" t="str">
        <f>IF(Table1[[#This Row],[Included?]], (Table2[[#This Row],[IC PVM]]-L$188)*('SGP and PVM'!C$186-COUNT(Table2[IC PVM]))/('SGP and PVM'!C$186-'SGP and PVM'!L$188*COUNT(Table2[IC PVM]))+1, "")</f>
        <v/>
      </c>
      <c r="N63" s="13">
        <f ca="1">Table2[[#This Row],[SGP Value]]*N$192+N$193</f>
        <v>11.180073111272989</v>
      </c>
    </row>
    <row r="64" spans="2:14" hidden="1" x14ac:dyDescent="0.25">
      <c r="B6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9.0999860112142823</v>
      </c>
      <c r="C64">
        <f>Data!D$186/'SGP and PVM'!B$186*Table2[[#This Row],[SGP]]</f>
        <v>10.628449596551302</v>
      </c>
      <c r="D64">
        <f>((Table2[[#This Row],[SGP]]-B$188)*(Data!D$186-COUNT(Table2[SGP])))/('SGP and PVM'!B$186-'SGP and PVM'!B$188*COUNT(Table2[SGP]))+1</f>
        <v>10.867629885940262</v>
      </c>
      <c r="E64">
        <f>IF(Table1[[#This Row],[Included?]],Table2[[#This Row],[SGP]],"")</f>
        <v>9.0999860112142823</v>
      </c>
      <c r="F64">
        <f>IF(Table2[[#This Row],[Included SGP]]&lt;&gt;"", Data!D$186/'SGP and PVM'!E$186*Table2[[#This Row],[Included SGP]], "")</f>
        <v>17.897678575208616</v>
      </c>
      <c r="G64">
        <f>IF(Table2[[#This Row],[CI SGP]]&lt;&gt;"", ((Table2[[#This Row],[CI SGP]]-F$188)*(Data!D$186-COUNT(Table2[CI SGP])))/('SGP and PVM'!F$186-'SGP and PVM'!F$188*COUNT(Table2[CI SGP]))+1, "")</f>
        <v>14.147802342208252</v>
      </c>
      <c r="H64">
        <f>(Table1[[#This Row],[OBP]]-MEDIAN(Table1[OBP]))*Table1[[#This Row],[PA]]</f>
        <v>0.3554925465274934</v>
      </c>
      <c r="I64">
        <f>360*(Table1[[#This Row],[R]]/Data!H$186+Table1[[#This Row],[HR]]/Data!I$186+Table1[[#This Row],[RBI]]/Data!J$186+Table1[[#This Row],[SB]]/Data!K$186+(Table2[[#This Row],[OBP Diff]]-H$188)/(H$186-H$188*COUNT(Table2[OBP Diff])))</f>
        <v>10.166804744165077</v>
      </c>
      <c r="J64">
        <f>(Table2[[#This Row],[Crude PVM Value]]-I$188)*('SGP and PVM'!C$186-COUNT(Table2[Crude PVM Value]))/('SGP and PVM'!C$186-'SGP and PVM'!I$188*COUNT(Table2[Crude PVM Value]))+1</f>
        <v>10.292341780368144</v>
      </c>
      <c r="K64">
        <f>IF(Table1[[#This Row],[Included?]],Table2[[#This Row],[OBP Diff]],"")</f>
        <v>0.3554925465274934</v>
      </c>
      <c r="L64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17.075426095877159</v>
      </c>
      <c r="M64" s="13">
        <f>IF(Table1[[#This Row],[Included?]], (Table2[[#This Row],[IC PVM]]-L$188)*('SGP and PVM'!C$186-COUNT(Table2[IC PVM]))/('SGP and PVM'!C$186-'SGP and PVM'!L$188*COUNT(Table2[IC PVM]))+1, "")</f>
        <v>12.34202331593135</v>
      </c>
      <c r="N64" s="13">
        <f ca="1">Table2[[#This Row],[SGP Value]]*N$192+N$193</f>
        <v>7.4335317003257586</v>
      </c>
    </row>
    <row r="65" spans="2:14" hidden="1" x14ac:dyDescent="0.25">
      <c r="B6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8.0169116822893685</v>
      </c>
      <c r="C65">
        <f>Data!D$186/'SGP and PVM'!B$186*Table2[[#This Row],[SGP]]</f>
        <v>9.3634585405088977</v>
      </c>
      <c r="D65">
        <f>((Table2[[#This Row],[SGP]]-B$188)*(Data!D$186-COUNT(Table2[SGP])))/('SGP and PVM'!B$186-'SGP and PVM'!B$188*COUNT(Table2[SGP]))+1</f>
        <v>9.1928533013409197</v>
      </c>
      <c r="E65" t="str">
        <f>IF(Table1[[#This Row],[Included?]],Table2[[#This Row],[SGP]],"")</f>
        <v/>
      </c>
      <c r="F65" t="str">
        <f>IF(Table2[[#This Row],[Included SGP]]&lt;&gt;"", Data!D$186/'SGP and PVM'!E$186*Table2[[#This Row],[Included SGP]], "")</f>
        <v/>
      </c>
      <c r="G65" t="str">
        <f>IF(Table2[[#This Row],[CI SGP]]&lt;&gt;"", ((Table2[[#This Row],[CI SGP]]-F$188)*(Data!D$186-COUNT(Table2[CI SGP])))/('SGP and PVM'!F$186-'SGP and PVM'!F$188*COUNT(Table2[CI SGP]))+1, "")</f>
        <v/>
      </c>
      <c r="H65">
        <f>(Table1[[#This Row],[OBP]]-MEDIAN(Table1[OBP]))*Table1[[#This Row],[PA]]</f>
        <v>-0.21948636594430945</v>
      </c>
      <c r="I65">
        <f>360*(Table1[[#This Row],[R]]/Data!H$186+Table1[[#This Row],[HR]]/Data!I$186+Table1[[#This Row],[RBI]]/Data!J$186+Table1[[#This Row],[SB]]/Data!K$186+(Table2[[#This Row],[OBP Diff]]-H$188)/(H$186-H$188*COUNT(Table2[OBP Diff])))</f>
        <v>8.3523690573824023</v>
      </c>
      <c r="J65">
        <f>(Table2[[#This Row],[Crude PVM Value]]-I$188)*('SGP and PVM'!C$186-COUNT(Table2[Crude PVM Value]))/('SGP and PVM'!C$186-'SGP and PVM'!I$188*COUNT(Table2[Crude PVM Value]))+1</f>
        <v>7.6546928131015921</v>
      </c>
      <c r="K65" t="str">
        <f>IF(Table1[[#This Row],[Included?]],Table2[[#This Row],[OBP Diff]],"")</f>
        <v/>
      </c>
      <c r="L6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5" s="13" t="str">
        <f>IF(Table1[[#This Row],[Included?]], (Table2[[#This Row],[IC PVM]]-L$188)*('SGP and PVM'!C$186-COUNT(Table2[IC PVM]))/('SGP and PVM'!C$186-'SGP and PVM'!L$188*COUNT(Table2[IC PVM]))+1, "")</f>
        <v/>
      </c>
      <c r="N65" s="13">
        <f ca="1">Table2[[#This Row],[SGP Value]]*N$192+N$193</f>
        <v>-2.8740014594954744</v>
      </c>
    </row>
    <row r="66" spans="2:14" hidden="1" x14ac:dyDescent="0.25">
      <c r="B6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9.1274829576069241</v>
      </c>
      <c r="C66">
        <f>Data!D$186/'SGP and PVM'!B$186*Table2[[#This Row],[SGP]]</f>
        <v>10.660565020512736</v>
      </c>
      <c r="D66">
        <f>((Table2[[#This Row],[SGP]]-B$188)*(Data!D$186-COUNT(Table2[SGP])))/('SGP and PVM'!B$186-'SGP and PVM'!B$188*COUNT(Table2[SGP]))+1</f>
        <v>10.910148890164185</v>
      </c>
      <c r="E66" t="str">
        <f>IF(Table1[[#This Row],[Included?]],Table2[[#This Row],[SGP]],"")</f>
        <v/>
      </c>
      <c r="F66" t="str">
        <f>IF(Table2[[#This Row],[Included SGP]]&lt;&gt;"", Data!D$186/'SGP and PVM'!E$186*Table2[[#This Row],[Included SGP]], "")</f>
        <v/>
      </c>
      <c r="G66" t="str">
        <f>IF(Table2[[#This Row],[CI SGP]]&lt;&gt;"", ((Table2[[#This Row],[CI SGP]]-F$188)*(Data!D$186-COUNT(Table2[CI SGP])))/('SGP and PVM'!F$186-'SGP and PVM'!F$188*COUNT(Table2[CI SGP]))+1, "")</f>
        <v/>
      </c>
      <c r="H66">
        <f>(Table1[[#This Row],[OBP]]-MEDIAN(Table1[OBP]))*Table1[[#This Row],[PA]]</f>
        <v>-0.20555963448798772</v>
      </c>
      <c r="I66">
        <f>360*(Table1[[#This Row],[R]]/Data!H$186+Table1[[#This Row],[HR]]/Data!I$186+Table1[[#This Row],[RBI]]/Data!J$186+Table1[[#This Row],[SB]]/Data!K$186+(Table2[[#This Row],[OBP Diff]]-H$188)/(H$186-H$188*COUNT(Table2[OBP Diff])))</f>
        <v>10.140771611844444</v>
      </c>
      <c r="J66">
        <f>(Table2[[#This Row],[Crude PVM Value]]-I$188)*('SGP and PVM'!C$186-COUNT(Table2[Crude PVM Value]))/('SGP and PVM'!C$186-'SGP and PVM'!I$188*COUNT(Table2[Crude PVM Value]))+1</f>
        <v>10.254497361257325</v>
      </c>
      <c r="K66" t="str">
        <f>IF(Table1[[#This Row],[Included?]],Table2[[#This Row],[OBP Diff]],"")</f>
        <v/>
      </c>
      <c r="L6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6" s="13" t="str">
        <f>IF(Table1[[#This Row],[Included?]], (Table2[[#This Row],[IC PVM]]-L$188)*('SGP and PVM'!C$186-COUNT(Table2[IC PVM]))/('SGP and PVM'!C$186-'SGP and PVM'!L$188*COUNT(Table2[IC PVM]))+1, "")</f>
        <v/>
      </c>
      <c r="N66" s="13">
        <f ca="1">Table2[[#This Row],[SGP Value]]*N$192+N$193</f>
        <v>7.6952179753733105</v>
      </c>
    </row>
    <row r="67" spans="2:14" hidden="1" x14ac:dyDescent="0.25">
      <c r="B6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8.7703831223878801</v>
      </c>
      <c r="C67">
        <f>Data!D$186/'SGP and PVM'!B$186*Table2[[#This Row],[SGP]]</f>
        <v>10.243485522271186</v>
      </c>
      <c r="D67">
        <f>((Table2[[#This Row],[SGP]]-B$188)*(Data!D$186-COUNT(Table2[SGP])))/('SGP and PVM'!B$186-'SGP and PVM'!B$188*COUNT(Table2[SGP]))+1</f>
        <v>10.357959232984525</v>
      </c>
      <c r="E67" t="str">
        <f>IF(Table1[[#This Row],[Included?]],Table2[[#This Row],[SGP]],"")</f>
        <v/>
      </c>
      <c r="F67" t="str">
        <f>IF(Table2[[#This Row],[Included SGP]]&lt;&gt;"", Data!D$186/'SGP and PVM'!E$186*Table2[[#This Row],[Included SGP]], "")</f>
        <v/>
      </c>
      <c r="G67" t="str">
        <f>IF(Table2[[#This Row],[CI SGP]]&lt;&gt;"", ((Table2[[#This Row],[CI SGP]]-F$188)*(Data!D$186-COUNT(Table2[CI SGP])))/('SGP and PVM'!F$186-'SGP and PVM'!F$188*COUNT(Table2[CI SGP]))+1, "")</f>
        <v/>
      </c>
      <c r="H67">
        <f>(Table1[[#This Row],[OBP]]-MEDIAN(Table1[OBP]))*Table1[[#This Row],[PA]]</f>
        <v>5.0426258104652497E-2</v>
      </c>
      <c r="I67">
        <f>360*(Table1[[#This Row],[R]]/Data!H$186+Table1[[#This Row],[HR]]/Data!I$186+Table1[[#This Row],[RBI]]/Data!J$186+Table1[[#This Row],[SB]]/Data!K$186+(Table2[[#This Row],[OBP Diff]]-H$188)/(H$186-H$188*COUNT(Table2[OBP Diff])))</f>
        <v>9.325316201230951</v>
      </c>
      <c r="J67">
        <f>(Table2[[#This Row],[Crude PVM Value]]-I$188)*('SGP and PVM'!C$186-COUNT(Table2[Crude PVM Value]))/('SGP and PVM'!C$186-'SGP and PVM'!I$188*COUNT(Table2[Crude PVM Value]))+1</f>
        <v>9.0690681188075608</v>
      </c>
      <c r="K67" t="str">
        <f>IF(Table1[[#This Row],[Included?]],Table2[[#This Row],[OBP Diff]],"")</f>
        <v/>
      </c>
      <c r="L6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7" s="13" t="str">
        <f>IF(Table1[[#This Row],[Included?]], (Table2[[#This Row],[IC PVM]]-L$188)*('SGP and PVM'!C$186-COUNT(Table2[IC PVM]))/('SGP and PVM'!C$186-'SGP and PVM'!L$188*COUNT(Table2[IC PVM]))+1, "")</f>
        <v/>
      </c>
      <c r="N67" s="13">
        <f ca="1">Table2[[#This Row],[SGP Value]]*N$192+N$193</f>
        <v>4.2967269442538978</v>
      </c>
    </row>
    <row r="68" spans="2:14" hidden="1" x14ac:dyDescent="0.25">
      <c r="B6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9.6889042371317675</v>
      </c>
      <c r="C68">
        <f>Data!D$186/'SGP and PVM'!B$186*Table2[[#This Row],[SGP]]</f>
        <v>11.316284464972071</v>
      </c>
      <c r="D68">
        <f>((Table2[[#This Row],[SGP]]-B$188)*(Data!D$186-COUNT(Table2[SGP])))/('SGP and PVM'!B$186-'SGP and PVM'!B$188*COUNT(Table2[SGP]))+1</f>
        <v>11.778284333811282</v>
      </c>
      <c r="E68">
        <f>IF(Table1[[#This Row],[Included?]],Table2[[#This Row],[SGP]],"")</f>
        <v>9.6889042371317675</v>
      </c>
      <c r="F68">
        <f>IF(Table2[[#This Row],[Included SGP]]&lt;&gt;"", Data!D$186/'SGP and PVM'!E$186*Table2[[#This Row],[Included SGP]], "")</f>
        <v>19.055951687009451</v>
      </c>
      <c r="G68">
        <f>IF(Table2[[#This Row],[CI SGP]]&lt;&gt;"", ((Table2[[#This Row],[CI SGP]]-F$188)*(Data!D$186-COUNT(Table2[CI SGP])))/('SGP and PVM'!F$186-'SGP and PVM'!F$188*COUNT(Table2[CI SGP]))+1, "")</f>
        <v>17.372068199954825</v>
      </c>
      <c r="H68">
        <f>(Table1[[#This Row],[OBP]]-MEDIAN(Table1[OBP]))*Table1[[#This Row],[PA]]</f>
        <v>1.0216911079997879</v>
      </c>
      <c r="I68">
        <f>360*(Table1[[#This Row],[R]]/Data!H$186+Table1[[#This Row],[HR]]/Data!I$186+Table1[[#This Row],[RBI]]/Data!J$186+Table1[[#This Row],[SB]]/Data!K$186+(Table2[[#This Row],[OBP Diff]]-H$188)/(H$186-H$188*COUNT(Table2[OBP Diff])))</f>
        <v>12.366918319002888</v>
      </c>
      <c r="J68">
        <f>(Table2[[#This Row],[Crude PVM Value]]-I$188)*('SGP and PVM'!C$186-COUNT(Table2[Crude PVM Value]))/('SGP and PVM'!C$186-'SGP and PVM'!I$188*COUNT(Table2[Crude PVM Value]))+1</f>
        <v>13.49065150322753</v>
      </c>
      <c r="K68">
        <f>IF(Table1[[#This Row],[Included?]],Table2[[#This Row],[OBP Diff]],"")</f>
        <v>1.0216911079997879</v>
      </c>
      <c r="L6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20.691604769440762</v>
      </c>
      <c r="M68" s="13">
        <f>IF(Table1[[#This Row],[Included?]], (Table2[[#This Row],[IC PVM]]-L$188)*('SGP and PVM'!C$186-COUNT(Table2[IC PVM]))/('SGP and PVM'!C$186-'SGP and PVM'!L$188*COUNT(Table2[IC PVM]))+1, "")</f>
        <v>21.81096233933485</v>
      </c>
      <c r="N68" s="13">
        <f ca="1">Table2[[#This Row],[SGP Value]]*N$192+N$193</f>
        <v>13.038220113625243</v>
      </c>
    </row>
    <row r="69" spans="2:14" hidden="1" x14ac:dyDescent="0.25">
      <c r="B6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9.624509754395886</v>
      </c>
      <c r="C69">
        <f>Data!D$186/'SGP and PVM'!B$186*Table2[[#This Row],[SGP]]</f>
        <v>11.241074073086756</v>
      </c>
      <c r="D69">
        <f>((Table2[[#This Row],[SGP]]-B$188)*(Data!D$186-COUNT(Table2[SGP])))/('SGP and PVM'!B$186-'SGP and PVM'!B$188*COUNT(Table2[SGP]))+1</f>
        <v>11.678710030383288</v>
      </c>
      <c r="E69" t="str">
        <f>IF(Table1[[#This Row],[Included?]],Table2[[#This Row],[SGP]],"")</f>
        <v/>
      </c>
      <c r="F69" t="str">
        <f>IF(Table2[[#This Row],[Included SGP]]&lt;&gt;"", Data!D$186/'SGP and PVM'!E$186*Table2[[#This Row],[Included SGP]], "")</f>
        <v/>
      </c>
      <c r="G69" t="str">
        <f>IF(Table2[[#This Row],[CI SGP]]&lt;&gt;"", ((Table2[[#This Row],[CI SGP]]-F$188)*(Data!D$186-COUNT(Table2[CI SGP])))/('SGP and PVM'!F$186-'SGP and PVM'!F$188*COUNT(Table2[CI SGP]))+1, "")</f>
        <v/>
      </c>
      <c r="H69">
        <f>(Table1[[#This Row],[OBP]]-MEDIAN(Table1[OBP]))*Table1[[#This Row],[PA]]</f>
        <v>-0.5602343434988164</v>
      </c>
      <c r="I69">
        <f>360*(Table1[[#This Row],[R]]/Data!H$186+Table1[[#This Row],[HR]]/Data!I$186+Table1[[#This Row],[RBI]]/Data!J$186+Table1[[#This Row],[SB]]/Data!K$186+(Table2[[#This Row],[OBP Diff]]-H$188)/(H$186-H$188*COUNT(Table2[OBP Diff])))</f>
        <v>11.632371570349017</v>
      </c>
      <c r="J69">
        <f>(Table2[[#This Row],[Crude PVM Value]]-I$188)*('SGP and PVM'!C$186-COUNT(Table2[Crude PVM Value]))/('SGP and PVM'!C$186-'SGP and PVM'!I$188*COUNT(Table2[Crude PVM Value]))+1</f>
        <v>12.422839352535439</v>
      </c>
      <c r="K69" t="str">
        <f>IF(Table1[[#This Row],[Included?]],Table2[[#This Row],[OBP Diff]],"")</f>
        <v/>
      </c>
      <c r="L6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69" s="13" t="str">
        <f>IF(Table1[[#This Row],[Included?]], (Table2[[#This Row],[IC PVM]]-L$188)*('SGP and PVM'!C$186-COUNT(Table2[IC PVM]))/('SGP and PVM'!C$186-'SGP and PVM'!L$188*COUNT(Table2[IC PVM]))+1, "")</f>
        <v/>
      </c>
      <c r="N69" s="13">
        <f ca="1">Table2[[#This Row],[SGP Value]]*N$192+N$193</f>
        <v>12.42538288871522</v>
      </c>
    </row>
    <row r="70" spans="2:14" hidden="1" x14ac:dyDescent="0.25">
      <c r="B7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9.8949342918335805</v>
      </c>
      <c r="C70">
        <f>Data!D$186/'SGP and PVM'!B$186*Table2[[#This Row],[SGP]]</f>
        <v>11.556920005408546</v>
      </c>
      <c r="D70">
        <f>((Table2[[#This Row],[SGP]]-B$188)*(Data!D$186-COUNT(Table2[SGP])))/('SGP and PVM'!B$186-'SGP and PVM'!B$188*COUNT(Table2[SGP]))+1</f>
        <v>12.096872174112905</v>
      </c>
      <c r="E70" t="str">
        <f>IF(Table1[[#This Row],[Included?]],Table2[[#This Row],[SGP]],"")</f>
        <v/>
      </c>
      <c r="F70" t="str">
        <f>IF(Table2[[#This Row],[Included SGP]]&lt;&gt;"", Data!D$186/'SGP and PVM'!E$186*Table2[[#This Row],[Included SGP]], "")</f>
        <v/>
      </c>
      <c r="G70" t="str">
        <f>IF(Table2[[#This Row],[CI SGP]]&lt;&gt;"", ((Table2[[#This Row],[CI SGP]]-F$188)*(Data!D$186-COUNT(Table2[CI SGP])))/('SGP and PVM'!F$186-'SGP and PVM'!F$188*COUNT(Table2[CI SGP]))+1, "")</f>
        <v/>
      </c>
      <c r="H70">
        <f>(Table1[[#This Row],[OBP]]-MEDIAN(Table1[OBP]))*Table1[[#This Row],[PA]]</f>
        <v>-0.92517951496265849</v>
      </c>
      <c r="I70">
        <f>360*(Table1[[#This Row],[R]]/Data!H$186+Table1[[#This Row],[HR]]/Data!I$186+Table1[[#This Row],[RBI]]/Data!J$186+Table1[[#This Row],[SB]]/Data!K$186+(Table2[[#This Row],[OBP Diff]]-H$188)/(H$186-H$188*COUNT(Table2[OBP Diff])))</f>
        <v>11.376911882074754</v>
      </c>
      <c r="J70">
        <f>(Table2[[#This Row],[Crude PVM Value]]-I$188)*('SGP and PVM'!C$186-COUNT(Table2[Crude PVM Value]))/('SGP and PVM'!C$186-'SGP and PVM'!I$188*COUNT(Table2[Crude PVM Value]))+1</f>
        <v>12.051477067355941</v>
      </c>
      <c r="K70" t="str">
        <f>IF(Table1[[#This Row],[Included?]],Table2[[#This Row],[OBP Diff]],"")</f>
        <v/>
      </c>
      <c r="L7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0" s="13" t="str">
        <f>IF(Table1[[#This Row],[Included?]], (Table2[[#This Row],[IC PVM]]-L$188)*('SGP and PVM'!C$186-COUNT(Table2[IC PVM]))/('SGP and PVM'!C$186-'SGP and PVM'!L$188*COUNT(Table2[IC PVM]))+1, "")</f>
        <v/>
      </c>
      <c r="N70" s="13">
        <f ca="1">Table2[[#This Row],[SGP Value]]*N$192+N$193</f>
        <v>14.998991931443811</v>
      </c>
    </row>
    <row r="71" spans="2:14" hidden="1" x14ac:dyDescent="0.25">
      <c r="B7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8.0446472302611376</v>
      </c>
      <c r="C71">
        <f>Data!D$186/'SGP and PVM'!B$186*Table2[[#This Row],[SGP]]</f>
        <v>9.3958526423555817</v>
      </c>
      <c r="D71">
        <f>((Table2[[#This Row],[SGP]]-B$188)*(Data!D$186-COUNT(Table2[SGP])))/('SGP and PVM'!B$186-'SGP and PVM'!B$188*COUNT(Table2[SGP]))+1</f>
        <v>9.2357412593172281</v>
      </c>
      <c r="E71">
        <f>IF(Table1[[#This Row],[Included?]],Table2[[#This Row],[SGP]],"")</f>
        <v>8.0446472302611376</v>
      </c>
      <c r="F71">
        <f>IF(Table2[[#This Row],[Included SGP]]&lt;&gt;"", Data!D$186/'SGP and PVM'!E$186*Table2[[#This Row],[Included SGP]], "")</f>
        <v>15.822058429619899</v>
      </c>
      <c r="G71">
        <f>IF(Table2[[#This Row],[CI SGP]]&lt;&gt;"", ((Table2[[#This Row],[CI SGP]]-F$188)*(Data!D$186-COUNT(Table2[CI SGP])))/('SGP and PVM'!F$186-'SGP and PVM'!F$188*COUNT(Table2[CI SGP]))+1, "")</f>
        <v>8.3699325972500169</v>
      </c>
      <c r="H71">
        <f>(Table1[[#This Row],[OBP]]-MEDIAN(Table1[OBP]))*Table1[[#This Row],[PA]]</f>
        <v>1.2917445443535704</v>
      </c>
      <c r="I71">
        <f>360*(Table1[[#This Row],[R]]/Data!H$186+Table1[[#This Row],[HR]]/Data!I$186+Table1[[#This Row],[RBI]]/Data!J$186+Table1[[#This Row],[SB]]/Data!K$186+(Table2[[#This Row],[OBP Diff]]-H$188)/(H$186-H$188*COUNT(Table2[OBP Diff])))</f>
        <v>10.076222855664206</v>
      </c>
      <c r="J71">
        <f>(Table2[[#This Row],[Crude PVM Value]]-I$188)*('SGP and PVM'!C$186-COUNT(Table2[Crude PVM Value]))/('SGP and PVM'!C$186-'SGP and PVM'!I$188*COUNT(Table2[Crude PVM Value]))+1</f>
        <v>10.160662698878609</v>
      </c>
      <c r="K71">
        <f>IF(Table1[[#This Row],[Included?]],Table2[[#This Row],[OBP Diff]],"")</f>
        <v>1.2917445443535704</v>
      </c>
      <c r="L7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17.219035799827719</v>
      </c>
      <c r="M71" s="13">
        <f>IF(Table1[[#This Row],[Included?]], (Table2[[#This Row],[IC PVM]]-L$188)*('SGP and PVM'!C$186-COUNT(Table2[IC PVM]))/('SGP and PVM'!C$186-'SGP and PVM'!L$188*COUNT(Table2[IC PVM]))+1, "")</f>
        <v>12.718064339517394</v>
      </c>
      <c r="N71" s="13">
        <f ca="1">Table2[[#This Row],[SGP Value]]*N$192+N$193</f>
        <v>-2.6100444319952558</v>
      </c>
    </row>
    <row r="72" spans="2:14" hidden="1" x14ac:dyDescent="0.25">
      <c r="B7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9.334846781786954</v>
      </c>
      <c r="C72">
        <f>Data!D$186/'SGP and PVM'!B$186*Table2[[#This Row],[SGP]]</f>
        <v>10.902758354736498</v>
      </c>
      <c r="D72">
        <f>((Table2[[#This Row],[SGP]]-B$188)*(Data!D$186-COUNT(Table2[SGP])))/('SGP and PVM'!B$186-'SGP and PVM'!B$188*COUNT(Table2[SGP]))+1</f>
        <v>11.2307991612997</v>
      </c>
      <c r="E72" t="str">
        <f>IF(Table1[[#This Row],[Included?]],Table2[[#This Row],[SGP]],"")</f>
        <v/>
      </c>
      <c r="F72" t="str">
        <f>IF(Table2[[#This Row],[Included SGP]]&lt;&gt;"", Data!D$186/'SGP and PVM'!E$186*Table2[[#This Row],[Included SGP]], "")</f>
        <v/>
      </c>
      <c r="G72" t="str">
        <f>IF(Table2[[#This Row],[CI SGP]]&lt;&gt;"", ((Table2[[#This Row],[CI SGP]]-F$188)*(Data!D$186-COUNT(Table2[CI SGP])))/('SGP and PVM'!F$186-'SGP and PVM'!F$188*COUNT(Table2[CI SGP]))+1, "")</f>
        <v/>
      </c>
      <c r="H72">
        <f>(Table1[[#This Row],[OBP]]-MEDIAN(Table1[OBP]))*Table1[[#This Row],[PA]]</f>
        <v>-0.46812971491852473</v>
      </c>
      <c r="I72">
        <f>360*(Table1[[#This Row],[R]]/Data!H$186+Table1[[#This Row],[HR]]/Data!I$186+Table1[[#This Row],[RBI]]/Data!J$186+Table1[[#This Row],[SB]]/Data!K$186+(Table2[[#This Row],[OBP Diff]]-H$188)/(H$186-H$188*COUNT(Table2[OBP Diff])))</f>
        <v>9.8529502630474859</v>
      </c>
      <c r="J72">
        <f>(Table2[[#This Row],[Crude PVM Value]]-I$188)*('SGP and PVM'!C$186-COUNT(Table2[Crude PVM Value]))/('SGP and PVM'!C$186-'SGP and PVM'!I$188*COUNT(Table2[Crude PVM Value]))+1</f>
        <v>9.8360908622329841</v>
      </c>
      <c r="K72" t="str">
        <f>IF(Table1[[#This Row],[Included?]],Table2[[#This Row],[OBP Diff]],"")</f>
        <v/>
      </c>
      <c r="L7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2" s="13" t="str">
        <f>IF(Table1[[#This Row],[Included?]], (Table2[[#This Row],[IC PVM]]-L$188)*('SGP and PVM'!C$186-COUNT(Table2[IC PVM]))/('SGP and PVM'!C$186-'SGP and PVM'!L$188*COUNT(Table2[IC PVM]))+1, "")</f>
        <v/>
      </c>
      <c r="N72" s="13">
        <f ca="1">Table2[[#This Row],[SGP Value]]*N$192+N$193</f>
        <v>9.6686831723599624</v>
      </c>
    </row>
    <row r="73" spans="2:14" hidden="1" x14ac:dyDescent="0.25">
      <c r="B7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8.0106327551537451</v>
      </c>
      <c r="C73">
        <f>Data!D$186/'SGP and PVM'!B$186*Table2[[#This Row],[SGP]]</f>
        <v>9.3561249841167058</v>
      </c>
      <c r="D73">
        <f>((Table2[[#This Row],[SGP]]-B$188)*(Data!D$186-COUNT(Table2[SGP])))/('SGP and PVM'!B$186-'SGP and PVM'!B$188*COUNT(Table2[SGP]))+1</f>
        <v>9.1831440876126376</v>
      </c>
      <c r="E73">
        <f>IF(Table1[[#This Row],[Included?]],Table2[[#This Row],[SGP]],"")</f>
        <v>8.0106327551537451</v>
      </c>
      <c r="F73">
        <f>IF(Table2[[#This Row],[Included SGP]]&lt;&gt;"", Data!D$186/'SGP and PVM'!E$186*Table2[[#This Row],[Included SGP]], "")</f>
        <v>15.755159410036098</v>
      </c>
      <c r="G73">
        <f>IF(Table2[[#This Row],[CI SGP]]&lt;&gt;"", ((Table2[[#This Row],[CI SGP]]-F$188)*(Data!D$186-COUNT(Table2[CI SGP])))/('SGP and PVM'!F$186-'SGP and PVM'!F$188*COUNT(Table2[CI SGP]))+1, "")</f>
        <v>8.1837068940344739</v>
      </c>
      <c r="H73">
        <f>(Table1[[#This Row],[OBP]]-MEDIAN(Table1[OBP]))*Table1[[#This Row],[PA]]</f>
        <v>0.49466613522286257</v>
      </c>
      <c r="I73">
        <f>360*(Table1[[#This Row],[R]]/Data!H$186+Table1[[#This Row],[HR]]/Data!I$186+Table1[[#This Row],[RBI]]/Data!J$186+Table1[[#This Row],[SB]]/Data!K$186+(Table2[[#This Row],[OBP Diff]]-H$188)/(H$186-H$188*COUNT(Table2[OBP Diff])))</f>
        <v>9.4849245008497753</v>
      </c>
      <c r="J73">
        <f>(Table2[[#This Row],[Crude PVM Value]]-I$188)*('SGP and PVM'!C$186-COUNT(Table2[Crude PVM Value]))/('SGP and PVM'!C$186-'SGP and PVM'!I$188*COUNT(Table2[Crude PVM Value]))+1</f>
        <v>9.301091039059564</v>
      </c>
      <c r="K73">
        <f>IF(Table1[[#This Row],[Included?]],Table2[[#This Row],[OBP Diff]],"")</f>
        <v>0.49466613522286257</v>
      </c>
      <c r="L7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15.860564008090586</v>
      </c>
      <c r="M73" s="13">
        <f>IF(Table1[[#This Row],[Included?]], (Table2[[#This Row],[IC PVM]]-L$188)*('SGP and PVM'!C$186-COUNT(Table2[IC PVM]))/('SGP and PVM'!C$186-'SGP and PVM'!L$188*COUNT(Table2[IC PVM]))+1, "")</f>
        <v>9.1609152818641277</v>
      </c>
      <c r="N73" s="13">
        <f ca="1">Table2[[#This Row],[SGP Value]]*N$192+N$193</f>
        <v>-2.9337575149480912</v>
      </c>
    </row>
    <row r="74" spans="2:14" hidden="1" x14ac:dyDescent="0.25">
      <c r="B7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8.8493854651423405</v>
      </c>
      <c r="C74">
        <f>Data!D$186/'SGP and PVM'!B$186*Table2[[#This Row],[SGP]]</f>
        <v>10.33575735839714</v>
      </c>
      <c r="D74">
        <f>((Table2[[#This Row],[SGP]]-B$188)*(Data!D$186-COUNT(Table2[SGP])))/('SGP and PVM'!B$186-'SGP and PVM'!B$188*COUNT(Table2[SGP]))+1</f>
        <v>10.480121923245125</v>
      </c>
      <c r="E74" t="str">
        <f>IF(Table1[[#This Row],[Included?]],Table2[[#This Row],[SGP]],"")</f>
        <v/>
      </c>
      <c r="F74" t="str">
        <f>IF(Table2[[#This Row],[Included SGP]]&lt;&gt;"", Data!D$186/'SGP and PVM'!E$186*Table2[[#This Row],[Included SGP]], "")</f>
        <v/>
      </c>
      <c r="G74" t="str">
        <f>IF(Table2[[#This Row],[CI SGP]]&lt;&gt;"", ((Table2[[#This Row],[CI SGP]]-F$188)*(Data!D$186-COUNT(Table2[CI SGP])))/('SGP and PVM'!F$186-'SGP and PVM'!F$188*COUNT(Table2[CI SGP]))+1, "")</f>
        <v/>
      </c>
      <c r="H74">
        <f>(Table1[[#This Row],[OBP]]-MEDIAN(Table1[OBP]))*Table1[[#This Row],[PA]]</f>
        <v>-0.15019404050042476</v>
      </c>
      <c r="I74">
        <f>360*(Table1[[#This Row],[R]]/Data!H$186+Table1[[#This Row],[HR]]/Data!I$186+Table1[[#This Row],[RBI]]/Data!J$186+Table1[[#This Row],[SB]]/Data!K$186+(Table2[[#This Row],[OBP Diff]]-H$188)/(H$186-H$188*COUNT(Table2[OBP Diff])))</f>
        <v>10.048845461227508</v>
      </c>
      <c r="J74">
        <f>(Table2[[#This Row],[Crude PVM Value]]-I$188)*('SGP and PVM'!C$186-COUNT(Table2[Crude PVM Value]))/('SGP and PVM'!C$186-'SGP and PVM'!I$188*COUNT(Table2[Crude PVM Value]))+1</f>
        <v>10.120864123107399</v>
      </c>
      <c r="K74" t="str">
        <f>IF(Table1[[#This Row],[Included?]],Table2[[#This Row],[OBP Diff]],"")</f>
        <v/>
      </c>
      <c r="L7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74" s="13" t="str">
        <f>IF(Table1[[#This Row],[Included?]], (Table2[[#This Row],[IC PVM]]-L$188)*('SGP and PVM'!C$186-COUNT(Table2[IC PVM]))/('SGP and PVM'!C$186-'SGP and PVM'!L$188*COUNT(Table2[IC PVM]))+1, "")</f>
        <v/>
      </c>
      <c r="N74" s="13">
        <f ca="1">Table2[[#This Row],[SGP Value]]*N$192+N$193</f>
        <v>5.0485860234488342</v>
      </c>
    </row>
    <row r="75" spans="2:14" hidden="1" x14ac:dyDescent="0.25">
      <c r="B7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8.8041892813694478</v>
      </c>
      <c r="C75">
        <f>Data!D$186/'SGP and PVM'!B$186*Table2[[#This Row],[SGP]]</f>
        <v>10.282969874922475</v>
      </c>
      <c r="D75">
        <f>((Table2[[#This Row],[SGP]]-B$188)*(Data!D$186-COUNT(Table2[SGP])))/('SGP and PVM'!B$186-'SGP and PVM'!B$188*COUNT(Table2[SGP]))+1</f>
        <v>10.410234281857461</v>
      </c>
      <c r="E75">
        <f>IF(Table1[[#This Row],[Included?]],Table2[[#This Row],[SGP]],"")</f>
        <v>8.8041892813694478</v>
      </c>
      <c r="F75">
        <f>IF(Table2[[#This Row],[Included SGP]]&lt;&gt;"", Data!D$186/'SGP and PVM'!E$186*Table2[[#This Row],[Included SGP]], "")</f>
        <v>17.315911219980094</v>
      </c>
      <c r="G75">
        <f>IF(Table2[[#This Row],[CI SGP]]&lt;&gt;"", ((Table2[[#This Row],[CI SGP]]-F$188)*(Data!D$186-COUNT(Table2[CI SGP])))/('SGP and PVM'!F$186-'SGP and PVM'!F$188*COUNT(Table2[CI SGP]))+1, "")</f>
        <v>12.528346100408363</v>
      </c>
      <c r="H75">
        <f>(Table1[[#This Row],[OBP]]-MEDIAN(Table1[OBP]))*Table1[[#This Row],[PA]]</f>
        <v>-1.7733870742950634E-2</v>
      </c>
      <c r="I75">
        <f>360*(Table1[[#This Row],[R]]/Data!H$186+Table1[[#This Row],[HR]]/Data!I$186+Table1[[#This Row],[RBI]]/Data!J$186+Table1[[#This Row],[SB]]/Data!K$186+(Table2[[#This Row],[OBP Diff]]-H$188)/(H$186-H$188*COUNT(Table2[OBP Diff])))</f>
        <v>10.359169796346279</v>
      </c>
      <c r="J75">
        <f>(Table2[[#This Row],[Crude PVM Value]]-I$188)*('SGP and PVM'!C$186-COUNT(Table2[Crude PVM Value]))/('SGP and PVM'!C$186-'SGP and PVM'!I$188*COUNT(Table2[Crude PVM Value]))+1</f>
        <v>10.571983260592567</v>
      </c>
      <c r="K75">
        <f>IF(Table1[[#This Row],[Included?]],Table2[[#This Row],[OBP Diff]],"")</f>
        <v>-1.7733870742950634E-2</v>
      </c>
      <c r="L7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16.964303669440767</v>
      </c>
      <c r="M75" s="13">
        <f>IF(Table1[[#This Row],[Included?]], (Table2[[#This Row],[IC PVM]]-L$188)*('SGP and PVM'!C$186-COUNT(Table2[IC PVM]))/('SGP and PVM'!C$186-'SGP and PVM'!L$188*COUNT(Table2[IC PVM]))+1, "")</f>
        <v>12.051050005416823</v>
      </c>
      <c r="N75" s="13">
        <f ca="1">Table2[[#This Row],[SGP Value]]*N$192+N$193</f>
        <v>4.6184574990299296</v>
      </c>
    </row>
    <row r="76" spans="2:14" hidden="1" x14ac:dyDescent="0.25">
      <c r="B7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10.327819285771293</v>
      </c>
      <c r="C76">
        <f>Data!D$186/'SGP and PVM'!B$186*Table2[[#This Row],[SGP]]</f>
        <v>12.062513786926511</v>
      </c>
      <c r="D76">
        <f>((Table2[[#This Row],[SGP]]-B$188)*(Data!D$186-COUNT(Table2[SGP])))/('SGP and PVM'!B$186-'SGP and PVM'!B$188*COUNT(Table2[SGP]))+1</f>
        <v>12.766249734183919</v>
      </c>
      <c r="E76">
        <f>IF(Table1[[#This Row],[Included?]],Table2[[#This Row],[SGP]],"")</f>
        <v>10.327819285771293</v>
      </c>
      <c r="F76">
        <f>IF(Table2[[#This Row],[Included SGP]]&lt;&gt;"", Data!D$186/'SGP and PVM'!E$186*Table2[[#This Row],[Included SGP]], "")</f>
        <v>20.312557594240744</v>
      </c>
      <c r="G76">
        <f>IF(Table2[[#This Row],[CI SGP]]&lt;&gt;"", ((Table2[[#This Row],[CI SGP]]-F$188)*(Data!D$186-COUNT(Table2[CI SGP])))/('SGP and PVM'!F$186-'SGP and PVM'!F$188*COUNT(Table2[CI SGP]))+1, "")</f>
        <v>20.870061447013118</v>
      </c>
      <c r="H76">
        <f>(Table1[[#This Row],[OBP]]-MEDIAN(Table1[OBP]))*Table1[[#This Row],[PA]]</f>
        <v>0.10264172762464246</v>
      </c>
      <c r="I76">
        <f>360*(Table1[[#This Row],[R]]/Data!H$186+Table1[[#This Row],[HR]]/Data!I$186+Table1[[#This Row],[RBI]]/Data!J$186+Table1[[#This Row],[SB]]/Data!K$186+(Table2[[#This Row],[OBP Diff]]-H$188)/(H$186-H$188*COUNT(Table2[OBP Diff])))</f>
        <v>14.372075554217384</v>
      </c>
      <c r="J76">
        <f>(Table2[[#This Row],[Crude PVM Value]]-I$188)*('SGP and PVM'!C$186-COUNT(Table2[Crude PVM Value]))/('SGP and PVM'!C$186-'SGP and PVM'!I$188*COUNT(Table2[Crude PVM Value]))+1</f>
        <v>16.405552785867506</v>
      </c>
      <c r="K76">
        <f>IF(Table1[[#This Row],[Included?]],Table2[[#This Row],[OBP Diff]],"")</f>
        <v>0.10264172762464246</v>
      </c>
      <c r="L7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23.001785372367092</v>
      </c>
      <c r="M76" s="13">
        <f>IF(Table1[[#This Row],[Included?]], (Table2[[#This Row],[IC PVM]]-L$188)*('SGP and PVM'!C$186-COUNT(Table2[IC PVM]))/('SGP and PVM'!C$186-'SGP and PVM'!L$188*COUNT(Table2[IC PVM]))+1, "")</f>
        <v>27.860154383433169</v>
      </c>
      <c r="N76" s="13">
        <f ca="1">Table2[[#This Row],[SGP Value]]*N$192+N$193</f>
        <v>19.118724354454017</v>
      </c>
    </row>
    <row r="77" spans="2:14" hidden="1" x14ac:dyDescent="0.25">
      <c r="B7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8.3353249198783459</v>
      </c>
      <c r="C77">
        <f>Data!D$186/'SGP and PVM'!B$186*Table2[[#This Row],[SGP]]</f>
        <v>9.735353512920792</v>
      </c>
      <c r="D77">
        <f>((Table2[[#This Row],[SGP]]-B$188)*(Data!D$186-COUNT(Table2[SGP])))/('SGP and PVM'!B$186-'SGP and PVM'!B$188*COUNT(Table2[SGP]))+1</f>
        <v>9.6852212028771181</v>
      </c>
      <c r="E77">
        <f>IF(Table1[[#This Row],[Included?]],Table2[[#This Row],[SGP]],"")</f>
        <v>8.3353249198783459</v>
      </c>
      <c r="F77">
        <f>IF(Table2[[#This Row],[Included SGP]]&lt;&gt;"", Data!D$186/'SGP and PVM'!E$186*Table2[[#This Row],[Included SGP]], "")</f>
        <v>16.393757754359722</v>
      </c>
      <c r="G77">
        <f>IF(Table2[[#This Row],[CI SGP]]&lt;&gt;"", ((Table2[[#This Row],[CI SGP]]-F$188)*(Data!D$186-COUNT(Table2[CI SGP])))/('SGP and PVM'!F$186-'SGP and PVM'!F$188*COUNT(Table2[CI SGP]))+1, "")</f>
        <v>9.9613626277628402</v>
      </c>
      <c r="H77">
        <f>(Table1[[#This Row],[OBP]]-MEDIAN(Table1[OBP]))*Table1[[#This Row],[PA]]</f>
        <v>0.58469511458764456</v>
      </c>
      <c r="I77">
        <f>360*(Table1[[#This Row],[R]]/Data!H$186+Table1[[#This Row],[HR]]/Data!I$186+Table1[[#This Row],[RBI]]/Data!J$186+Table1[[#This Row],[SB]]/Data!K$186+(Table2[[#This Row],[OBP Diff]]-H$188)/(H$186-H$188*COUNT(Table2[OBP Diff])))</f>
        <v>9.567823431313661</v>
      </c>
      <c r="J77">
        <f>(Table2[[#This Row],[Crude PVM Value]]-I$188)*('SGP and PVM'!C$186-COUNT(Table2[Crude PVM Value]))/('SGP and PVM'!C$186-'SGP and PVM'!I$188*COUNT(Table2[Crude PVM Value]))+1</f>
        <v>9.4216013883204344</v>
      </c>
      <c r="K77">
        <f>IF(Table1[[#This Row],[Included?]],Table2[[#This Row],[OBP Diff]],"")</f>
        <v>0.58469511458764456</v>
      </c>
      <c r="L7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16.164807423704943</v>
      </c>
      <c r="M77" s="13">
        <f>IF(Table1[[#This Row],[Included?]], (Table2[[#This Row],[IC PVM]]-L$188)*('SGP and PVM'!C$186-COUNT(Table2[IC PVM]))/('SGP and PVM'!C$186-'SGP and PVM'!L$188*COUNT(Table2[IC PVM]))+1, "")</f>
        <v>9.9575745763246459</v>
      </c>
      <c r="N77" s="13">
        <f ca="1">Table2[[#This Row],[SGP Value]]*N$192+N$193</f>
        <v>0.15631226627832717</v>
      </c>
    </row>
    <row r="78" spans="2:14" hidden="1" x14ac:dyDescent="0.25">
      <c r="B7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7.4578959748769478</v>
      </c>
      <c r="C78">
        <f>Data!D$186/'SGP and PVM'!B$186*Table2[[#This Row],[SGP]]</f>
        <v>8.7105487159672474</v>
      </c>
      <c r="D78">
        <f>((Table2[[#This Row],[SGP]]-B$188)*(Data!D$186-COUNT(Table2[SGP])))/('SGP and PVM'!B$186-'SGP and PVM'!B$188*COUNT(Table2[SGP]))+1</f>
        <v>8.3284376354956393</v>
      </c>
      <c r="E78">
        <f>IF(Table1[[#This Row],[Included?]],Table2[[#This Row],[SGP]],"")</f>
        <v>7.4578959748769478</v>
      </c>
      <c r="F78">
        <f>IF(Table2[[#This Row],[Included SGP]]&lt;&gt;"", Data!D$186/'SGP and PVM'!E$186*Table2[[#This Row],[Included SGP]], "")</f>
        <v>14.668047274050542</v>
      </c>
      <c r="G78">
        <f>IF(Table2[[#This Row],[CI SGP]]&lt;&gt;"", ((Table2[[#This Row],[CI SGP]]-F$188)*(Data!D$186-COUNT(Table2[CI SGP])))/('SGP and PVM'!F$186-'SGP and PVM'!F$188*COUNT(Table2[CI SGP]))+1, "")</f>
        <v>5.1575306771398806</v>
      </c>
      <c r="H78">
        <f>(Table1[[#This Row],[OBP]]-MEDIAN(Table1[OBP]))*Table1[[#This Row],[PA]]</f>
        <v>0.31799082452231958</v>
      </c>
      <c r="I78">
        <f>360*(Table1[[#This Row],[R]]/Data!H$186+Table1[[#This Row],[HR]]/Data!I$186+Table1[[#This Row],[RBI]]/Data!J$186+Table1[[#This Row],[SB]]/Data!K$186+(Table2[[#This Row],[OBP Diff]]-H$188)/(H$186-H$188*COUNT(Table2[OBP Diff])))</f>
        <v>8.4051648051298411</v>
      </c>
      <c r="J78">
        <f>(Table2[[#This Row],[Crude PVM Value]]-I$188)*('SGP and PVM'!C$186-COUNT(Table2[Crude PVM Value]))/('SGP and PVM'!C$186-'SGP and PVM'!I$188*COUNT(Table2[Crude PVM Value]))+1</f>
        <v>7.7314421024462172</v>
      </c>
      <c r="K78">
        <f>IF(Table1[[#This Row],[Included?]],Table2[[#This Row],[OBP Diff]],"")</f>
        <v>0.31799082452231958</v>
      </c>
      <c r="L7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14.093972328029489</v>
      </c>
      <c r="M78" s="13">
        <f>IF(Table1[[#This Row],[Included?]], (Table2[[#This Row],[IC PVM]]-L$188)*('SGP and PVM'!C$186-COUNT(Table2[IC PVM]))/('SGP and PVM'!C$186-'SGP and PVM'!L$188*COUNT(Table2[IC PVM]))+1, "")</f>
        <v>4.5351070993093829</v>
      </c>
      <c r="N78" s="13">
        <f ca="1">Table2[[#This Row],[SGP Value]]*N$192+N$193</f>
        <v>-8.1941099572511433</v>
      </c>
    </row>
    <row r="79" spans="2:14" hidden="1" x14ac:dyDescent="0.25">
      <c r="B7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11.199454032624425</v>
      </c>
      <c r="C79">
        <f>Data!D$186/'SGP and PVM'!B$186*Table2[[#This Row],[SGP]]</f>
        <v>13.080551173150479</v>
      </c>
      <c r="D79">
        <f>((Table2[[#This Row],[SGP]]-B$188)*(Data!D$186-COUNT(Table2[SGP])))/('SGP and PVM'!B$186-'SGP and PVM'!B$188*COUNT(Table2[SGP]))+1</f>
        <v>14.11407363266172</v>
      </c>
      <c r="E79">
        <f>IF(Table1[[#This Row],[Included?]],Table2[[#This Row],[SGP]],"")</f>
        <v>11.199454032624425</v>
      </c>
      <c r="F79">
        <f>IF(Table2[[#This Row],[Included SGP]]&lt;&gt;"", Data!D$186/'SGP and PVM'!E$186*Table2[[#This Row],[Included SGP]], "")</f>
        <v>22.026872156365993</v>
      </c>
      <c r="G79">
        <f>IF(Table2[[#This Row],[CI SGP]]&lt;&gt;"", ((Table2[[#This Row],[CI SGP]]-F$188)*(Data!D$186-COUNT(Table2[CI SGP])))/('SGP and PVM'!F$186-'SGP and PVM'!F$188*COUNT(Table2[CI SGP]))+1, "")</f>
        <v>25.642170767158198</v>
      </c>
      <c r="H79">
        <f>(Table1[[#This Row],[OBP]]-MEDIAN(Table1[OBP]))*Table1[[#This Row],[PA]]</f>
        <v>0.71981114680156133</v>
      </c>
      <c r="I79">
        <f>360*(Table1[[#This Row],[R]]/Data!H$186+Table1[[#This Row],[HR]]/Data!I$186+Table1[[#This Row],[RBI]]/Data!J$186+Table1[[#This Row],[SB]]/Data!K$186+(Table2[[#This Row],[OBP Diff]]-H$188)/(H$186-H$188*COUNT(Table2[OBP Diff])))</f>
        <v>15.612266509653628</v>
      </c>
      <c r="J79">
        <f>(Table2[[#This Row],[Crude PVM Value]]-I$188)*('SGP and PVM'!C$186-COUNT(Table2[Crude PVM Value]))/('SGP and PVM'!C$186-'SGP and PVM'!I$188*COUNT(Table2[Crude PVM Value]))+1</f>
        <v>18.208420981554365</v>
      </c>
      <c r="K79">
        <f>IF(Table1[[#This Row],[Included?]],Table2[[#This Row],[OBP Diff]],"")</f>
        <v>0.71981114680156133</v>
      </c>
      <c r="L7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25.411063738326426</v>
      </c>
      <c r="M79" s="13">
        <f>IF(Table1[[#This Row],[Included?]], (Table2[[#This Row],[IC PVM]]-L$188)*('SGP and PVM'!C$186-COUNT(Table2[IC PVM]))/('SGP and PVM'!C$186-'SGP and PVM'!L$188*COUNT(Table2[IC PVM]))+1, "")</f>
        <v>34.168833239501012</v>
      </c>
      <c r="N79" s="13">
        <f ca="1">Table2[[#This Row],[SGP Value]]*N$192+N$193</f>
        <v>27.4140036501596</v>
      </c>
    </row>
    <row r="80" spans="2:14" hidden="1" x14ac:dyDescent="0.25">
      <c r="B8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9.9934682514255897</v>
      </c>
      <c r="C80">
        <f>Data!D$186/'SGP and PVM'!B$186*Table2[[#This Row],[SGP]]</f>
        <v>11.67200405298639</v>
      </c>
      <c r="D80">
        <f>((Table2[[#This Row],[SGP]]-B$188)*(Data!D$186-COUNT(Table2[SGP])))/('SGP and PVM'!B$186-'SGP and PVM'!B$188*COUNT(Table2[SGP]))+1</f>
        <v>12.249236941613544</v>
      </c>
      <c r="E80">
        <f>IF(Table1[[#This Row],[Included?]],Table2[[#This Row],[SGP]],"")</f>
        <v>9.9934682514255897</v>
      </c>
      <c r="F80">
        <f>IF(Table2[[#This Row],[Included SGP]]&lt;&gt;"", Data!D$186/'SGP and PVM'!E$186*Table2[[#This Row],[Included SGP]], "")</f>
        <v>19.654962369738922</v>
      </c>
      <c r="G80">
        <f>IF(Table2[[#This Row],[CI SGP]]&lt;&gt;"", ((Table2[[#This Row],[CI SGP]]-F$188)*(Data!D$186-COUNT(Table2[CI SGP])))/('SGP and PVM'!F$186-'SGP and PVM'!F$188*COUNT(Table2[CI SGP]))+1, "")</f>
        <v>19.039524409611012</v>
      </c>
      <c r="H80">
        <f>(Table1[[#This Row],[OBP]]-MEDIAN(Table1[OBP]))*Table1[[#This Row],[PA]]</f>
        <v>0.17637923129754773</v>
      </c>
      <c r="I80">
        <f>360*(Table1[[#This Row],[R]]/Data!H$186+Table1[[#This Row],[HR]]/Data!I$186+Table1[[#This Row],[RBI]]/Data!J$186+Table1[[#This Row],[SB]]/Data!K$186+(Table2[[#This Row],[OBP Diff]]-H$188)/(H$186-H$188*COUNT(Table2[OBP Diff])))</f>
        <v>11.630371695453867</v>
      </c>
      <c r="J80">
        <f>(Table2[[#This Row],[Crude PVM Value]]-I$188)*('SGP and PVM'!C$186-COUNT(Table2[Crude PVM Value]))/('SGP and PVM'!C$186-'SGP and PVM'!I$188*COUNT(Table2[Crude PVM Value]))+1</f>
        <v>12.419932130201643</v>
      </c>
      <c r="K80">
        <f>IF(Table1[[#This Row],[Included?]],Table2[[#This Row],[OBP Diff]],"")</f>
        <v>0.17637923129754773</v>
      </c>
      <c r="L8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19.224652209371904</v>
      </c>
      <c r="M80" s="13">
        <f>IF(Table1[[#This Row],[Included?]], (Table2[[#This Row],[IC PVM]]-L$188)*('SGP and PVM'!C$186-COUNT(Table2[IC PVM]))/('SGP and PVM'!C$186-'SGP and PVM'!L$188*COUNT(Table2[IC PVM]))+1, "")</f>
        <v>17.969757134773111</v>
      </c>
      <c r="N80" s="13">
        <f ca="1">Table2[[#This Row],[SGP Value]]*N$192+N$193</f>
        <v>15.936731871112841</v>
      </c>
    </row>
    <row r="81" spans="2:14" hidden="1" x14ac:dyDescent="0.25">
      <c r="B8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8.4587334839915158</v>
      </c>
      <c r="C81">
        <f>Data!D$186/'SGP and PVM'!B$186*Table2[[#This Row],[SGP]]</f>
        <v>9.8794901854215187</v>
      </c>
      <c r="D81">
        <f>((Table2[[#This Row],[SGP]]-B$188)*(Data!D$186-COUNT(Table2[SGP])))/('SGP and PVM'!B$186-'SGP and PVM'!B$188*COUNT(Table2[SGP]))+1</f>
        <v>9.8760500019687942</v>
      </c>
      <c r="E81">
        <f>IF(Table1[[#This Row],[Included?]],Table2[[#This Row],[SGP]],"")</f>
        <v>8.4587334839915158</v>
      </c>
      <c r="F81">
        <f>IF(Table2[[#This Row],[Included SGP]]&lt;&gt;"", Data!D$186/'SGP and PVM'!E$186*Table2[[#This Row],[Included SGP]], "")</f>
        <v>16.636475359771822</v>
      </c>
      <c r="G81">
        <f>IF(Table2[[#This Row],[CI SGP]]&lt;&gt;"", ((Table2[[#This Row],[CI SGP]]-F$188)*(Data!D$186-COUNT(Table2[CI SGP])))/('SGP and PVM'!F$186-'SGP and PVM'!F$188*COUNT(Table2[CI SGP]))+1, "")</f>
        <v>10.637011643725497</v>
      </c>
      <c r="H81">
        <f>(Table1[[#This Row],[OBP]]-MEDIAN(Table1[OBP]))*Table1[[#This Row],[PA]]</f>
        <v>0.59577390836127242</v>
      </c>
      <c r="I81">
        <f>360*(Table1[[#This Row],[R]]/Data!H$186+Table1[[#This Row],[HR]]/Data!I$186+Table1[[#This Row],[RBI]]/Data!J$186+Table1[[#This Row],[SB]]/Data!K$186+(Table2[[#This Row],[OBP Diff]]-H$188)/(H$186-H$188*COUNT(Table2[OBP Diff])))</f>
        <v>10.632460782133021</v>
      </c>
      <c r="J81">
        <f>(Table2[[#This Row],[Crude PVM Value]]-I$188)*('SGP and PVM'!C$186-COUNT(Table2[Crude PVM Value]))/('SGP and PVM'!C$186-'SGP and PVM'!I$188*COUNT(Table2[Crude PVM Value]))+1</f>
        <v>10.969266940402596</v>
      </c>
      <c r="K81">
        <f>IF(Table1[[#This Row],[Included?]],Table2[[#This Row],[OBP Diff]],"")</f>
        <v>0.59577390836127242</v>
      </c>
      <c r="L8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17.659311201349336</v>
      </c>
      <c r="M81" s="13">
        <f>IF(Table1[[#This Row],[Included?]], (Table2[[#This Row],[IC PVM]]-L$188)*('SGP and PVM'!C$186-COUNT(Table2[IC PVM]))/('SGP and PVM'!C$186-'SGP and PVM'!L$188*COUNT(Table2[IC PVM]))+1, "")</f>
        <v>13.870922454905914</v>
      </c>
      <c r="N81" s="13">
        <f ca="1">Table2[[#This Row],[SGP Value]]*N$192+N$193</f>
        <v>1.3307818597595826</v>
      </c>
    </row>
    <row r="82" spans="2:14" hidden="1" x14ac:dyDescent="0.25">
      <c r="B8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7.7881878693626669</v>
      </c>
      <c r="C82">
        <f>Data!D$186/'SGP and PVM'!B$186*Table2[[#This Row],[SGP]]</f>
        <v>9.0963175235637408</v>
      </c>
      <c r="D82">
        <f>((Table2[[#This Row],[SGP]]-B$188)*(Data!D$186-COUNT(Table2[SGP])))/('SGP and PVM'!B$186-'SGP and PVM'!B$188*COUNT(Table2[SGP]))+1</f>
        <v>8.8391737098301881</v>
      </c>
      <c r="E82" t="str">
        <f>IF(Table1[[#This Row],[Included?]],Table2[[#This Row],[SGP]],"")</f>
        <v/>
      </c>
      <c r="F82" t="str">
        <f>IF(Table2[[#This Row],[Included SGP]]&lt;&gt;"", Data!D$186/'SGP and PVM'!E$186*Table2[[#This Row],[Included SGP]], "")</f>
        <v/>
      </c>
      <c r="G82" t="str">
        <f>IF(Table2[[#This Row],[CI SGP]]&lt;&gt;"", ((Table2[[#This Row],[CI SGP]]-F$188)*(Data!D$186-COUNT(Table2[CI SGP])))/('SGP and PVM'!F$186-'SGP and PVM'!F$188*COUNT(Table2[CI SGP]))+1, "")</f>
        <v/>
      </c>
      <c r="H82">
        <f>(Table1[[#This Row],[OBP]]-MEDIAN(Table1[OBP]))*Table1[[#This Row],[PA]]</f>
        <v>-0.48865665340658498</v>
      </c>
      <c r="I82">
        <f>360*(Table1[[#This Row],[R]]/Data!H$186+Table1[[#This Row],[HR]]/Data!I$186+Table1[[#This Row],[RBI]]/Data!J$186+Table1[[#This Row],[SB]]/Data!K$186+(Table2[[#This Row],[OBP Diff]]-H$188)/(H$186-H$188*COUNT(Table2[OBP Diff])))</f>
        <v>8.3607890587774882</v>
      </c>
      <c r="J82">
        <f>(Table2[[#This Row],[Crude PVM Value]]-I$188)*('SGP and PVM'!C$186-COUNT(Table2[Crude PVM Value]))/('SGP and PVM'!C$186-'SGP and PVM'!I$188*COUNT(Table2[Crude PVM Value]))+1</f>
        <v>7.6669329868073417</v>
      </c>
      <c r="K82" t="str">
        <f>IF(Table1[[#This Row],[Included?]],Table2[[#This Row],[OBP Diff]],"")</f>
        <v/>
      </c>
      <c r="L8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2" s="13" t="str">
        <f>IF(Table1[[#This Row],[Included?]], (Table2[[#This Row],[IC PVM]]-L$188)*('SGP and PVM'!C$186-COUNT(Table2[IC PVM]))/('SGP and PVM'!C$186-'SGP and PVM'!L$188*COUNT(Table2[IC PVM]))+1, "")</f>
        <v/>
      </c>
      <c r="N82" s="13">
        <f ca="1">Table2[[#This Row],[SGP Value]]*N$192+N$193</f>
        <v>-5.0507479885383475</v>
      </c>
    </row>
    <row r="83" spans="2:14" hidden="1" x14ac:dyDescent="0.25">
      <c r="B8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8.540923576972359</v>
      </c>
      <c r="C83">
        <f>Data!D$186/'SGP and PVM'!B$186*Table2[[#This Row],[SGP]]</f>
        <v>9.9754851967881564</v>
      </c>
      <c r="D83">
        <f>((Table2[[#This Row],[SGP]]-B$188)*(Data!D$186-COUNT(Table2[SGP])))/('SGP and PVM'!B$186-'SGP and PVM'!B$188*COUNT(Table2[SGP]))+1</f>
        <v>10.003141965589606</v>
      </c>
      <c r="E83" t="str">
        <f>IF(Table1[[#This Row],[Included?]],Table2[[#This Row],[SGP]],"")</f>
        <v/>
      </c>
      <c r="F83" t="str">
        <f>IF(Table2[[#This Row],[Included SGP]]&lt;&gt;"", Data!D$186/'SGP and PVM'!E$186*Table2[[#This Row],[Included SGP]], "")</f>
        <v/>
      </c>
      <c r="G83" t="str">
        <f>IF(Table2[[#This Row],[CI SGP]]&lt;&gt;"", ((Table2[[#This Row],[CI SGP]]-F$188)*(Data!D$186-COUNT(Table2[CI SGP])))/('SGP and PVM'!F$186-'SGP and PVM'!F$188*COUNT(Table2[CI SGP]))+1, "")</f>
        <v/>
      </c>
      <c r="H83">
        <f>(Table1[[#This Row],[OBP]]-MEDIAN(Table1[OBP]))*Table1[[#This Row],[PA]]</f>
        <v>-0.43330089531905858</v>
      </c>
      <c r="I83">
        <f>360*(Table1[[#This Row],[R]]/Data!H$186+Table1[[#This Row],[HR]]/Data!I$186+Table1[[#This Row],[RBI]]/Data!J$186+Table1[[#This Row],[SB]]/Data!K$186+(Table2[[#This Row],[OBP Diff]]-H$188)/(H$186-H$188*COUNT(Table2[OBP Diff])))</f>
        <v>8.8319633793285259</v>
      </c>
      <c r="J83">
        <f>(Table2[[#This Row],[Crude PVM Value]]-I$188)*('SGP and PVM'!C$186-COUNT(Table2[Crude PVM Value]))/('SGP and PVM'!C$186-'SGP and PVM'!I$188*COUNT(Table2[Crude PVM Value]))+1</f>
        <v>8.3518800858184186</v>
      </c>
      <c r="K83" t="str">
        <f>IF(Table1[[#This Row],[Included?]],Table2[[#This Row],[OBP Diff]],"")</f>
        <v/>
      </c>
      <c r="L8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3" s="13" t="str">
        <f>IF(Table1[[#This Row],[Included?]], (Table2[[#This Row],[IC PVM]]-L$188)*('SGP and PVM'!C$186-COUNT(Table2[IC PVM]))/('SGP and PVM'!C$186-'SGP and PVM'!L$188*COUNT(Table2[IC PVM]))+1, "")</f>
        <v/>
      </c>
      <c r="N83" s="13">
        <f ca="1">Table2[[#This Row],[SGP Value]]*N$192+N$193</f>
        <v>2.1129785070107161</v>
      </c>
    </row>
    <row r="84" spans="2:14" hidden="1" x14ac:dyDescent="0.25">
      <c r="B8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7.5780047107453248</v>
      </c>
      <c r="C84">
        <f>Data!D$186/'SGP and PVM'!B$186*Table2[[#This Row],[SGP]]</f>
        <v>8.8508313102162237</v>
      </c>
      <c r="D84">
        <f>((Table2[[#This Row],[SGP]]-B$188)*(Data!D$186-COUNT(Table2[SGP])))/('SGP and PVM'!B$186-'SGP and PVM'!B$188*COUNT(Table2[SGP]))+1</f>
        <v>8.5141638530469805</v>
      </c>
      <c r="E84" t="str">
        <f>IF(Table1[[#This Row],[Included?]],Table2[[#This Row],[SGP]],"")</f>
        <v/>
      </c>
      <c r="F84" t="str">
        <f>IF(Table2[[#This Row],[Included SGP]]&lt;&gt;"", Data!D$186/'SGP and PVM'!E$186*Table2[[#This Row],[Included SGP]], "")</f>
        <v/>
      </c>
      <c r="G84" t="str">
        <f>IF(Table2[[#This Row],[CI SGP]]&lt;&gt;"", ((Table2[[#This Row],[CI SGP]]-F$188)*(Data!D$186-COUNT(Table2[CI SGP])))/('SGP and PVM'!F$186-'SGP and PVM'!F$188*COUNT(Table2[CI SGP]))+1, "")</f>
        <v/>
      </c>
      <c r="H84">
        <f>(Table1[[#This Row],[OBP]]-MEDIAN(Table1[OBP]))*Table1[[#This Row],[PA]]</f>
        <v>0.1402602810334535</v>
      </c>
      <c r="I84">
        <f>360*(Table1[[#This Row],[R]]/Data!H$186+Table1[[#This Row],[HR]]/Data!I$186+Table1[[#This Row],[RBI]]/Data!J$186+Table1[[#This Row],[SB]]/Data!K$186+(Table2[[#This Row],[OBP Diff]]-H$188)/(H$186-H$188*COUNT(Table2[OBP Diff])))</f>
        <v>9.2819752907740138</v>
      </c>
      <c r="J84">
        <f>(Table2[[#This Row],[Crude PVM Value]]-I$188)*('SGP and PVM'!C$186-COUNT(Table2[Crude PVM Value]))/('SGP and PVM'!C$186-'SGP and PVM'!I$188*COUNT(Table2[Crude PVM Value]))+1</f>
        <v>9.0060633462824793</v>
      </c>
      <c r="K84" t="str">
        <f>IF(Table1[[#This Row],[Included?]],Table2[[#This Row],[OBP Diff]],"")</f>
        <v/>
      </c>
      <c r="L8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4" s="13" t="str">
        <f>IF(Table1[[#This Row],[Included?]], (Table2[[#This Row],[IC PVM]]-L$188)*('SGP and PVM'!C$186-COUNT(Table2[IC PVM]))/('SGP and PVM'!C$186-'SGP and PVM'!L$188*COUNT(Table2[IC PVM]))+1, "")</f>
        <v/>
      </c>
      <c r="N84" s="13">
        <f ca="1">Table2[[#This Row],[SGP Value]]*N$192+N$193</f>
        <v>-7.0510445695077379</v>
      </c>
    </row>
    <row r="85" spans="2:14" hidden="1" x14ac:dyDescent="0.25">
      <c r="B8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8.7748075942231711</v>
      </c>
      <c r="C85">
        <f>Data!D$186/'SGP and PVM'!B$186*Table2[[#This Row],[SGP]]</f>
        <v>10.24865314295047</v>
      </c>
      <c r="D85">
        <f>((Table2[[#This Row],[SGP]]-B$188)*(Data!D$186-COUNT(Table2[SGP])))/('SGP and PVM'!B$186-'SGP and PVM'!B$188*COUNT(Table2[SGP]))+1</f>
        <v>10.364800870378257</v>
      </c>
      <c r="E85">
        <f>IF(Table1[[#This Row],[Included?]],Table2[[#This Row],[SGP]],"")</f>
        <v>8.7748075942231711</v>
      </c>
      <c r="F85">
        <f>IF(Table2[[#This Row],[Included SGP]]&lt;&gt;"", Data!D$186/'SGP and PVM'!E$186*Table2[[#This Row],[Included SGP]], "")</f>
        <v>17.258123879220083</v>
      </c>
      <c r="G85">
        <f>IF(Table2[[#This Row],[CI SGP]]&lt;&gt;"", ((Table2[[#This Row],[CI SGP]]-F$188)*(Data!D$186-COUNT(Table2[CI SGP])))/('SGP and PVM'!F$186-'SGP and PVM'!F$188*COUNT(Table2[CI SGP]))+1, "")</f>
        <v>12.367484428040965</v>
      </c>
      <c r="H85">
        <f>(Table1[[#This Row],[OBP]]-MEDIAN(Table1[OBP]))*Table1[[#This Row],[PA]]</f>
        <v>0.75898032730819653</v>
      </c>
      <c r="I85">
        <f>360*(Table1[[#This Row],[R]]/Data!H$186+Table1[[#This Row],[HR]]/Data!I$186+Table1[[#This Row],[RBI]]/Data!J$186+Table1[[#This Row],[SB]]/Data!K$186+(Table2[[#This Row],[OBP Diff]]-H$188)/(H$186-H$188*COUNT(Table2[OBP Diff])))</f>
        <v>11.193806391041523</v>
      </c>
      <c r="J85">
        <f>(Table2[[#This Row],[Crude PVM Value]]-I$188)*('SGP and PVM'!C$186-COUNT(Table2[Crude PVM Value]))/('SGP and PVM'!C$186-'SGP and PVM'!I$188*COUNT(Table2[Crude PVM Value]))+1</f>
        <v>11.785296230612687</v>
      </c>
      <c r="K85">
        <f>IF(Table1[[#This Row],[Included?]],Table2[[#This Row],[OBP Diff]],"")</f>
        <v>0.75898032730819653</v>
      </c>
      <c r="L8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18.614683230351119</v>
      </c>
      <c r="M85" s="13">
        <f>IF(Table1[[#This Row],[Included?]], (Table2[[#This Row],[IC PVM]]-L$188)*('SGP and PVM'!C$186-COUNT(Table2[IC PVM]))/('SGP and PVM'!C$186-'SGP and PVM'!L$188*COUNT(Table2[IC PVM]))+1, "")</f>
        <v>16.372557552036866</v>
      </c>
      <c r="N85" s="13">
        <f ca="1">Table2[[#This Row],[SGP Value]]*N$192+N$193</f>
        <v>4.3388342945427922</v>
      </c>
    </row>
    <row r="86" spans="2:14" hidden="1" x14ac:dyDescent="0.25">
      <c r="B8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8.8979686333414119</v>
      </c>
      <c r="C86">
        <f>Data!D$186/'SGP and PVM'!B$186*Table2[[#This Row],[SGP]]</f>
        <v>10.392500715343873</v>
      </c>
      <c r="D86">
        <f>((Table2[[#This Row],[SGP]]-B$188)*(Data!D$186-COUNT(Table2[SGP])))/('SGP and PVM'!B$186-'SGP and PVM'!B$188*COUNT(Table2[SGP]))+1</f>
        <v>10.555246917285213</v>
      </c>
      <c r="E86">
        <f>IF(Table1[[#This Row],[Included?]],Table2[[#This Row],[SGP]],"")</f>
        <v>8.8979686333414119</v>
      </c>
      <c r="F86">
        <f>IF(Table2[[#This Row],[Included SGP]]&lt;&gt;"", Data!D$186/'SGP and PVM'!E$186*Table2[[#This Row],[Included SGP]], "")</f>
        <v>17.500354657202656</v>
      </c>
      <c r="G86">
        <f>IF(Table2[[#This Row],[CI SGP]]&lt;&gt;"", ((Table2[[#This Row],[CI SGP]]-F$188)*(Data!D$186-COUNT(Table2[CI SGP])))/('SGP and PVM'!F$186-'SGP and PVM'!F$188*COUNT(Table2[CI SGP]))+1, "")</f>
        <v>13.041778270475337</v>
      </c>
      <c r="H86">
        <f>(Table1[[#This Row],[OBP]]-MEDIAN(Table1[OBP]))*Table1[[#This Row],[PA]]</f>
        <v>0.76611033894959168</v>
      </c>
      <c r="I86">
        <f>360*(Table1[[#This Row],[R]]/Data!H$186+Table1[[#This Row],[HR]]/Data!I$186+Table1[[#This Row],[RBI]]/Data!J$186+Table1[[#This Row],[SB]]/Data!K$186+(Table2[[#This Row],[OBP Diff]]-H$188)/(H$186-H$188*COUNT(Table2[OBP Diff])))</f>
        <v>10.359995342086583</v>
      </c>
      <c r="J86">
        <f>(Table2[[#This Row],[Crude PVM Value]]-I$188)*('SGP and PVM'!C$186-COUNT(Table2[Crude PVM Value]))/('SGP and PVM'!C$186-'SGP and PVM'!I$188*COUNT(Table2[Crude PVM Value]))+1</f>
        <v>10.573183358168471</v>
      </c>
      <c r="K86">
        <f>IF(Table1[[#This Row],[Included?]],Table2[[#This Row],[OBP Diff]],"")</f>
        <v>0.76611033894959168</v>
      </c>
      <c r="L8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17.549844630940804</v>
      </c>
      <c r="M86" s="13">
        <f>IF(Table1[[#This Row],[Included?]], (Table2[[#This Row],[IC PVM]]-L$188)*('SGP and PVM'!C$186-COUNT(Table2[IC PVM]))/('SGP and PVM'!C$186-'SGP and PVM'!L$188*COUNT(Table2[IC PVM]))+1, "")</f>
        <v>13.584284992029104</v>
      </c>
      <c r="N86" s="13">
        <f ca="1">Table2[[#This Row],[SGP Value]]*N$192+N$193</f>
        <v>5.5109482121253848</v>
      </c>
    </row>
    <row r="87" spans="2:14" hidden="1" x14ac:dyDescent="0.25">
      <c r="B8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8.7374963984246499</v>
      </c>
      <c r="C87">
        <f>Data!D$186/'SGP and PVM'!B$186*Table2[[#This Row],[SGP]]</f>
        <v>10.205075035968443</v>
      </c>
      <c r="D87">
        <f>((Table2[[#This Row],[SGP]]-B$188)*(Data!D$186-COUNT(Table2[SGP])))/('SGP and PVM'!B$186-'SGP and PVM'!B$188*COUNT(Table2[SGP]))+1</f>
        <v>10.307105922397364</v>
      </c>
      <c r="E87">
        <f>IF(Table1[[#This Row],[Included?]],Table2[[#This Row],[SGP]],"")</f>
        <v>8.7374963984246499</v>
      </c>
      <c r="F87">
        <f>IF(Table2[[#This Row],[Included SGP]]&lt;&gt;"", Data!D$186/'SGP and PVM'!E$186*Table2[[#This Row],[Included SGP]], "")</f>
        <v>17.184740932385257</v>
      </c>
      <c r="G87">
        <f>IF(Table2[[#This Row],[CI SGP]]&lt;&gt;"", ((Table2[[#This Row],[CI SGP]]-F$188)*(Data!D$186-COUNT(Table2[CI SGP])))/('SGP and PVM'!F$186-'SGP and PVM'!F$188*COUNT(Table2[CI SGP]))+1, "")</f>
        <v>12.16320952291734</v>
      </c>
      <c r="H87">
        <f>(Table1[[#This Row],[OBP]]-MEDIAN(Table1[OBP]))*Table1[[#This Row],[PA]]</f>
        <v>0.3635964085211808</v>
      </c>
      <c r="I87">
        <f>360*(Table1[[#This Row],[R]]/Data!H$186+Table1[[#This Row],[HR]]/Data!I$186+Table1[[#This Row],[RBI]]/Data!J$186+Table1[[#This Row],[SB]]/Data!K$186+(Table2[[#This Row],[OBP Diff]]-H$188)/(H$186-H$188*COUNT(Table2[OBP Diff])))</f>
        <v>9.8289487783607186</v>
      </c>
      <c r="J87">
        <f>(Table2[[#This Row],[Crude PVM Value]]-I$188)*('SGP and PVM'!C$186-COUNT(Table2[Crude PVM Value]))/('SGP and PVM'!C$186-'SGP and PVM'!I$188*COUNT(Table2[Crude PVM Value]))+1</f>
        <v>9.8011998535529408</v>
      </c>
      <c r="K87">
        <f>IF(Table1[[#This Row],[Included?]],Table2[[#This Row],[OBP Diff]],"")</f>
        <v>0.3635964085211808</v>
      </c>
      <c r="L8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16.503753361234757</v>
      </c>
      <c r="M87" s="13">
        <f>IF(Table1[[#This Row],[Included?]], (Table2[[#This Row],[IC PVM]]-L$188)*('SGP and PVM'!C$186-COUNT(Table2[IC PVM]))/('SGP and PVM'!C$186-'SGP and PVM'!L$188*COUNT(Table2[IC PVM]))+1, "")</f>
        <v>10.845102186108747</v>
      </c>
      <c r="N87" s="13">
        <f ca="1">Table2[[#This Row],[SGP Value]]*N$192+N$193</f>
        <v>3.9837465801958132</v>
      </c>
    </row>
    <row r="88" spans="2:14" hidden="1" x14ac:dyDescent="0.25">
      <c r="B8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7.718708096511345</v>
      </c>
      <c r="C88">
        <f>Data!D$186/'SGP and PVM'!B$186*Table2[[#This Row],[SGP]]</f>
        <v>9.0151676995068613</v>
      </c>
      <c r="D88">
        <f>((Table2[[#This Row],[SGP]]-B$188)*(Data!D$186-COUNT(Table2[SGP])))/('SGP and PVM'!B$186-'SGP and PVM'!B$188*COUNT(Table2[SGP]))+1</f>
        <v>8.7317359342620229</v>
      </c>
      <c r="E88" t="str">
        <f>IF(Table1[[#This Row],[Included?]],Table2[[#This Row],[SGP]],"")</f>
        <v/>
      </c>
      <c r="F88" t="str">
        <f>IF(Table2[[#This Row],[Included SGP]]&lt;&gt;"", Data!D$186/'SGP and PVM'!E$186*Table2[[#This Row],[Included SGP]], "")</f>
        <v/>
      </c>
      <c r="G88" t="str">
        <f>IF(Table2[[#This Row],[CI SGP]]&lt;&gt;"", ((Table2[[#This Row],[CI SGP]]-F$188)*(Data!D$186-COUNT(Table2[CI SGP])))/('SGP and PVM'!F$186-'SGP and PVM'!F$188*COUNT(Table2[CI SGP]))+1, "")</f>
        <v/>
      </c>
      <c r="H88">
        <f>(Table1[[#This Row],[OBP]]-MEDIAN(Table1[OBP]))*Table1[[#This Row],[PA]]</f>
        <v>-8.5552924508647349E-2</v>
      </c>
      <c r="I88">
        <f>360*(Table1[[#This Row],[R]]/Data!H$186+Table1[[#This Row],[HR]]/Data!I$186+Table1[[#This Row],[RBI]]/Data!J$186+Table1[[#This Row],[SB]]/Data!K$186+(Table2[[#This Row],[OBP Diff]]-H$188)/(H$186-H$188*COUNT(Table2[OBP Diff])))</f>
        <v>8.3496238388248631</v>
      </c>
      <c r="J88">
        <f>(Table2[[#This Row],[Crude PVM Value]]-I$188)*('SGP and PVM'!C$186-COUNT(Table2[Crude PVM Value]))/('SGP and PVM'!C$186-'SGP and PVM'!I$188*COUNT(Table2[Crude PVM Value]))+1</f>
        <v>7.6507020831209367</v>
      </c>
      <c r="K88" t="str">
        <f>IF(Table1[[#This Row],[Included?]],Table2[[#This Row],[OBP Diff]],"")</f>
        <v/>
      </c>
      <c r="L8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8" s="13" t="str">
        <f>IF(Table1[[#This Row],[Included?]], (Table2[[#This Row],[IC PVM]]-L$188)*('SGP and PVM'!C$186-COUNT(Table2[IC PVM]))/('SGP and PVM'!C$186-'SGP and PVM'!L$188*COUNT(Table2[IC PVM]))+1, "")</f>
        <v/>
      </c>
      <c r="N88" s="13">
        <f ca="1">Table2[[#This Row],[SGP Value]]*N$192+N$193</f>
        <v>-5.7119815193087931</v>
      </c>
    </row>
    <row r="89" spans="2:14" hidden="1" x14ac:dyDescent="0.25">
      <c r="B8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8.4239762501097815</v>
      </c>
      <c r="C89">
        <f>Data!D$186/'SGP and PVM'!B$186*Table2[[#This Row],[SGP]]</f>
        <v>9.8388950122012186</v>
      </c>
      <c r="D89">
        <f>((Table2[[#This Row],[SGP]]-B$188)*(Data!D$186-COUNT(Table2[SGP])))/('SGP and PVM'!B$186-'SGP and PVM'!B$188*COUNT(Table2[SGP]))+1</f>
        <v>9.8223042895130721</v>
      </c>
      <c r="E89" t="str">
        <f>IF(Table1[[#This Row],[Included?]],Table2[[#This Row],[SGP]],"")</f>
        <v/>
      </c>
      <c r="F89" t="str">
        <f>IF(Table2[[#This Row],[Included SGP]]&lt;&gt;"", Data!D$186/'SGP and PVM'!E$186*Table2[[#This Row],[Included SGP]], "")</f>
        <v/>
      </c>
      <c r="G89" t="str">
        <f>IF(Table2[[#This Row],[CI SGP]]&lt;&gt;"", ((Table2[[#This Row],[CI SGP]]-F$188)*(Data!D$186-COUNT(Table2[CI SGP])))/('SGP and PVM'!F$186-'SGP and PVM'!F$188*COUNT(Table2[CI SGP]))+1, "")</f>
        <v/>
      </c>
      <c r="H89">
        <f>(Table1[[#This Row],[OBP]]-MEDIAN(Table1[OBP]))*Table1[[#This Row],[PA]]</f>
        <v>-0.10120199364435443</v>
      </c>
      <c r="I89">
        <f>360*(Table1[[#This Row],[R]]/Data!H$186+Table1[[#This Row],[HR]]/Data!I$186+Table1[[#This Row],[RBI]]/Data!J$186+Table1[[#This Row],[SB]]/Data!K$186+(Table2[[#This Row],[OBP Diff]]-H$188)/(H$186-H$188*COUNT(Table2[OBP Diff])))</f>
        <v>9.6475459165920636</v>
      </c>
      <c r="J89">
        <f>(Table2[[#This Row],[Crude PVM Value]]-I$188)*('SGP and PVM'!C$186-COUNT(Table2[Crude PVM Value]))/('SGP and PVM'!C$186-'SGP and PVM'!I$188*COUNT(Table2[Crude PVM Value]))+1</f>
        <v>9.5374941325462537</v>
      </c>
      <c r="K89" t="str">
        <f>IF(Table1[[#This Row],[Included?]],Table2[[#This Row],[OBP Diff]],"")</f>
        <v/>
      </c>
      <c r="L8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89" s="13" t="str">
        <f>IF(Table1[[#This Row],[Included?]], (Table2[[#This Row],[IC PVM]]-L$188)*('SGP and PVM'!C$186-COUNT(Table2[IC PVM]))/('SGP and PVM'!C$186-'SGP and PVM'!L$188*COUNT(Table2[IC PVM]))+1, "")</f>
        <v/>
      </c>
      <c r="N89" s="13">
        <f ca="1">Table2[[#This Row],[SGP Value]]*N$192+N$193</f>
        <v>1</v>
      </c>
    </row>
    <row r="90" spans="2:14" hidden="1" x14ac:dyDescent="0.25">
      <c r="B9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13.997980472212316</v>
      </c>
      <c r="C90">
        <f>Data!D$186/'SGP and PVM'!B$186*Table2[[#This Row],[SGP]]</f>
        <v>16.349127319434807</v>
      </c>
      <c r="D90">
        <f>((Table2[[#This Row],[SGP]]-B$188)*(Data!D$186-COUNT(Table2[SGP])))/('SGP and PVM'!B$186-'SGP and PVM'!B$188*COUNT(Table2[SGP]))+1</f>
        <v>18.441483513252564</v>
      </c>
      <c r="E90">
        <f>IF(Table1[[#This Row],[Included?]],Table2[[#This Row],[SGP]],"")</f>
        <v>13.997980472212316</v>
      </c>
      <c r="F90">
        <f>IF(Table2[[#This Row],[Included SGP]]&lt;&gt;"", Data!D$186/'SGP and PVM'!E$186*Table2[[#This Row],[Included SGP]], "")</f>
        <v>27.530960474550508</v>
      </c>
      <c r="G90">
        <f>IF(Table2[[#This Row],[CI SGP]]&lt;&gt;"", ((Table2[[#This Row],[CI SGP]]-F$188)*(Data!D$186-COUNT(Table2[CI SGP])))/('SGP and PVM'!F$186-'SGP and PVM'!F$188*COUNT(Table2[CI SGP]))+1, "")</f>
        <v>40.963811113926106</v>
      </c>
      <c r="H90">
        <f>(Table1[[#This Row],[OBP]]-MEDIAN(Table1[OBP]))*Table1[[#This Row],[PA]]</f>
        <v>-1.0210351702363007</v>
      </c>
      <c r="I90">
        <f>360*(Table1[[#This Row],[R]]/Data!H$186+Table1[[#This Row],[HR]]/Data!I$186+Table1[[#This Row],[RBI]]/Data!J$186+Table1[[#This Row],[SB]]/Data!K$186+(Table2[[#This Row],[OBP Diff]]-H$188)/(H$186-H$188*COUNT(Table2[OBP Diff])))</f>
        <v>20.138086629963905</v>
      </c>
      <c r="J90">
        <f>(Table2[[#This Row],[Crude PVM Value]]-I$188)*('SGP and PVM'!C$186-COUNT(Table2[Crude PVM Value]))/('SGP and PVM'!C$186-'SGP and PVM'!I$188*COUNT(Table2[Crude PVM Value]))+1</f>
        <v>24.78761519236599</v>
      </c>
      <c r="K90">
        <f>IF(Table1[[#This Row],[Included?]],Table2[[#This Row],[OBP Diff]],"")</f>
        <v>-1.0210351702363007</v>
      </c>
      <c r="L9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31.351135265451681</v>
      </c>
      <c r="M90" s="13">
        <f>IF(Table1[[#This Row],[Included?]], (Table2[[#This Row],[IC PVM]]-L$188)*('SGP and PVM'!C$186-COUNT(Table2[IC PVM]))/('SGP and PVM'!C$186-'SGP and PVM'!L$188*COUNT(Table2[IC PVM]))+1, "")</f>
        <v>49.722869741125507</v>
      </c>
      <c r="N90" s="13">
        <f ca="1">Table2[[#This Row],[SGP Value]]*N$192+N$193</f>
        <v>54.04735955595585</v>
      </c>
    </row>
    <row r="91" spans="2:14" hidden="1" x14ac:dyDescent="0.25">
      <c r="B9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8.2330456350508765</v>
      </c>
      <c r="C91">
        <f>Data!D$186/'SGP and PVM'!B$186*Table2[[#This Row],[SGP]]</f>
        <v>9.615895062960492</v>
      </c>
      <c r="D91">
        <f>((Table2[[#This Row],[SGP]]-B$188)*(Data!D$186-COUNT(Table2[SGP])))/('SGP and PVM'!B$186-'SGP and PVM'!B$188*COUNT(Table2[SGP]))+1</f>
        <v>9.5270649741272013</v>
      </c>
      <c r="E91">
        <f>IF(Table1[[#This Row],[Included?]],Table2[[#This Row],[SGP]],"")</f>
        <v>8.2330456350508765</v>
      </c>
      <c r="F91">
        <f>IF(Table2[[#This Row],[Included SGP]]&lt;&gt;"", Data!D$186/'SGP and PVM'!E$186*Table2[[#This Row],[Included SGP]], "")</f>
        <v>16.192596811640868</v>
      </c>
      <c r="G91">
        <f>IF(Table2[[#This Row],[CI SGP]]&lt;&gt;"", ((Table2[[#This Row],[CI SGP]]-F$188)*(Data!D$186-COUNT(Table2[CI SGP])))/('SGP and PVM'!F$186-'SGP and PVM'!F$188*COUNT(Table2[CI SGP]))+1, "")</f>
        <v>9.401394211926867</v>
      </c>
      <c r="H91">
        <f>(Table1[[#This Row],[OBP]]-MEDIAN(Table1[OBP]))*Table1[[#This Row],[PA]]</f>
        <v>0.13146234729913173</v>
      </c>
      <c r="I91">
        <f>360*(Table1[[#This Row],[R]]/Data!H$186+Table1[[#This Row],[HR]]/Data!I$186+Table1[[#This Row],[RBI]]/Data!J$186+Table1[[#This Row],[SB]]/Data!K$186+(Table2[[#This Row],[OBP Diff]]-H$188)/(H$186-H$188*COUNT(Table2[OBP Diff])))</f>
        <v>9.5422045708405197</v>
      </c>
      <c r="J91">
        <f>(Table2[[#This Row],[Crude PVM Value]]-I$188)*('SGP and PVM'!C$186-COUNT(Table2[Crude PVM Value]))/('SGP and PVM'!C$186-'SGP and PVM'!I$188*COUNT(Table2[Crude PVM Value]))+1</f>
        <v>9.3843591970640734</v>
      </c>
      <c r="K91">
        <f>IF(Table1[[#This Row],[Included?]],Table2[[#This Row],[OBP Diff]],"")</f>
        <v>0.13146234729913173</v>
      </c>
      <c r="L9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15.780044501030634</v>
      </c>
      <c r="M91" s="13">
        <f>IF(Table1[[#This Row],[Included?]], (Table2[[#This Row],[IC PVM]]-L$188)*('SGP and PVM'!C$186-COUNT(Table2[IC PVM]))/('SGP and PVM'!C$186-'SGP and PVM'!L$188*COUNT(Table2[IC PVM]))+1, "")</f>
        <v>8.950075505577896</v>
      </c>
      <c r="N91" s="13">
        <f ca="1">Table2[[#This Row],[SGP Value]]*N$192+N$193</f>
        <v>-0.81707163893194945</v>
      </c>
    </row>
    <row r="92" spans="2:14" hidden="1" x14ac:dyDescent="0.25">
      <c r="B9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8.8336881032663861</v>
      </c>
      <c r="C92">
        <f>Data!D$186/'SGP and PVM'!B$186*Table2[[#This Row],[SGP]]</f>
        <v>10.317423415983185</v>
      </c>
      <c r="D92">
        <f>((Table2[[#This Row],[SGP]]-B$188)*(Data!D$186-COUNT(Table2[SGP])))/('SGP and PVM'!B$186-'SGP and PVM'!B$188*COUNT(Table2[SGP]))+1</f>
        <v>10.455848820829406</v>
      </c>
      <c r="E92" t="str">
        <f>IF(Table1[[#This Row],[Included?]],Table2[[#This Row],[SGP]],"")</f>
        <v/>
      </c>
      <c r="F92" t="str">
        <f>IF(Table2[[#This Row],[Included SGP]]&lt;&gt;"", Data!D$186/'SGP and PVM'!E$186*Table2[[#This Row],[Included SGP]], "")</f>
        <v/>
      </c>
      <c r="G92" t="str">
        <f>IF(Table2[[#This Row],[CI SGP]]&lt;&gt;"", ((Table2[[#This Row],[CI SGP]]-F$188)*(Data!D$186-COUNT(Table2[CI SGP])))/('SGP and PVM'!F$186-'SGP and PVM'!F$188*COUNT(Table2[CI SGP]))+1, "")</f>
        <v/>
      </c>
      <c r="H92">
        <f>(Table1[[#This Row],[OBP]]-MEDIAN(Table1[OBP]))*Table1[[#This Row],[PA]]</f>
        <v>0.2550061631472984</v>
      </c>
      <c r="I92">
        <f>360*(Table1[[#This Row],[R]]/Data!H$186+Table1[[#This Row],[HR]]/Data!I$186+Table1[[#This Row],[RBI]]/Data!J$186+Table1[[#This Row],[SB]]/Data!K$186+(Table2[[#This Row],[OBP Diff]]-H$188)/(H$186-H$188*COUNT(Table2[OBP Diff])))</f>
        <v>9.6689026577217554</v>
      </c>
      <c r="J92">
        <f>(Table2[[#This Row],[Crude PVM Value]]-I$188)*('SGP and PVM'!C$186-COUNT(Table2[Crude PVM Value]))/('SGP and PVM'!C$186-'SGP and PVM'!I$188*COUNT(Table2[Crude PVM Value]))+1</f>
        <v>9.5685404719647629</v>
      </c>
      <c r="K92" t="str">
        <f>IF(Table1[[#This Row],[Included?]],Table2[[#This Row],[OBP Diff]],"")</f>
        <v/>
      </c>
      <c r="L9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2" s="13" t="str">
        <f>IF(Table1[[#This Row],[Included?]], (Table2[[#This Row],[IC PVM]]-L$188)*('SGP and PVM'!C$186-COUNT(Table2[IC PVM]))/('SGP and PVM'!C$186-'SGP and PVM'!L$188*COUNT(Table2[IC PVM]))+1, "")</f>
        <v/>
      </c>
      <c r="N92" s="13">
        <f ca="1">Table2[[#This Row],[SGP Value]]*N$192+N$193</f>
        <v>4.8991954657216326</v>
      </c>
    </row>
    <row r="93" spans="2:14" hidden="1" x14ac:dyDescent="0.25">
      <c r="B9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7.3659119761165517</v>
      </c>
      <c r="C93">
        <f>Data!D$186/'SGP and PVM'!B$186*Table2[[#This Row],[SGP]]</f>
        <v>8.6031147821887437</v>
      </c>
      <c r="D93">
        <f>((Table2[[#This Row],[SGP]]-B$188)*(Data!D$186-COUNT(Table2[SGP])))/('SGP and PVM'!B$186-'SGP and PVM'!B$188*COUNT(Table2[SGP]))+1</f>
        <v>8.1862011858194244</v>
      </c>
      <c r="E93" t="str">
        <f>IF(Table1[[#This Row],[Included?]],Table2[[#This Row],[SGP]],"")</f>
        <v/>
      </c>
      <c r="F93" t="str">
        <f>IF(Table2[[#This Row],[Included SGP]]&lt;&gt;"", Data!D$186/'SGP and PVM'!E$186*Table2[[#This Row],[Included SGP]], "")</f>
        <v/>
      </c>
      <c r="G93" t="str">
        <f>IF(Table2[[#This Row],[CI SGP]]&lt;&gt;"", ((Table2[[#This Row],[CI SGP]]-F$188)*(Data!D$186-COUNT(Table2[CI SGP])))/('SGP and PVM'!F$186-'SGP and PVM'!F$188*COUNT(Table2[CI SGP]))+1, "")</f>
        <v/>
      </c>
      <c r="H93">
        <f>(Table1[[#This Row],[OBP]]-MEDIAN(Table1[OBP]))*Table1[[#This Row],[PA]]</f>
        <v>-0.34826835326879146</v>
      </c>
      <c r="I93">
        <f>360*(Table1[[#This Row],[R]]/Data!H$186+Table1[[#This Row],[HR]]/Data!I$186+Table1[[#This Row],[RBI]]/Data!J$186+Table1[[#This Row],[SB]]/Data!K$186+(Table2[[#This Row],[OBP Diff]]-H$188)/(H$186-H$188*COUNT(Table2[OBP Diff])))</f>
        <v>8.3622308949115922</v>
      </c>
      <c r="J93">
        <f>(Table2[[#This Row],[Crude PVM Value]]-I$188)*('SGP and PVM'!C$186-COUNT(Table2[Crude PVM Value]))/('SGP and PVM'!C$186-'SGP and PVM'!I$188*COUNT(Table2[Crude PVM Value]))+1</f>
        <v>7.6690289870226103</v>
      </c>
      <c r="K93" t="str">
        <f>IF(Table1[[#This Row],[Included?]],Table2[[#This Row],[OBP Diff]],"")</f>
        <v/>
      </c>
      <c r="L9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3" s="13" t="str">
        <f>IF(Table1[[#This Row],[Included?]], (Table2[[#This Row],[IC PVM]]-L$188)*('SGP and PVM'!C$186-COUNT(Table2[IC PVM]))/('SGP and PVM'!C$186-'SGP and PVM'!L$188*COUNT(Table2[IC PVM]))+1, "")</f>
        <v/>
      </c>
      <c r="N93" s="13">
        <f ca="1">Table2[[#This Row],[SGP Value]]*N$192+N$193</f>
        <v>-9.0695144351108397</v>
      </c>
    </row>
    <row r="94" spans="2:14" hidden="1" x14ac:dyDescent="0.25">
      <c r="B9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7.7003246790323594</v>
      </c>
      <c r="C94">
        <f>Data!D$186/'SGP and PVM'!B$186*Table2[[#This Row],[SGP]]</f>
        <v>8.993696542754865</v>
      </c>
      <c r="D94">
        <f>((Table2[[#This Row],[SGP]]-B$188)*(Data!D$186-COUNT(Table2[SGP])))/('SGP and PVM'!B$186-'SGP and PVM'!B$188*COUNT(Table2[SGP]))+1</f>
        <v>8.7033093375673367</v>
      </c>
      <c r="E94" t="str">
        <f>IF(Table1[[#This Row],[Included?]],Table2[[#This Row],[SGP]],"")</f>
        <v/>
      </c>
      <c r="F94" t="str">
        <f>IF(Table2[[#This Row],[Included SGP]]&lt;&gt;"", Data!D$186/'SGP and PVM'!E$186*Table2[[#This Row],[Included SGP]], "")</f>
        <v/>
      </c>
      <c r="G94" t="str">
        <f>IF(Table2[[#This Row],[CI SGP]]&lt;&gt;"", ((Table2[[#This Row],[CI SGP]]-F$188)*(Data!D$186-COUNT(Table2[CI SGP])))/('SGP and PVM'!F$186-'SGP and PVM'!F$188*COUNT(Table2[CI SGP]))+1, "")</f>
        <v/>
      </c>
      <c r="H94">
        <f>(Table1[[#This Row],[OBP]]-MEDIAN(Table1[OBP]))*Table1[[#This Row],[PA]]</f>
        <v>0.33118873057679199</v>
      </c>
      <c r="I94">
        <f>360*(Table1[[#This Row],[R]]/Data!H$186+Table1[[#This Row],[HR]]/Data!I$186+Table1[[#This Row],[RBI]]/Data!J$186+Table1[[#This Row],[SB]]/Data!K$186+(Table2[[#This Row],[OBP Diff]]-H$188)/(H$186-H$188*COUNT(Table2[OBP Diff])))</f>
        <v>8.8535709992574674</v>
      </c>
      <c r="J94">
        <f>(Table2[[#This Row],[Crude PVM Value]]-I$188)*('SGP and PVM'!C$186-COUNT(Table2[Crude PVM Value]))/('SGP and PVM'!C$186-'SGP and PVM'!I$188*COUNT(Table2[Crude PVM Value]))+1</f>
        <v>8.3832911282741147</v>
      </c>
      <c r="K94" t="str">
        <f>IF(Table1[[#This Row],[Included?]],Table2[[#This Row],[OBP Diff]],"")</f>
        <v/>
      </c>
      <c r="L9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4" s="13" t="str">
        <f>IF(Table1[[#This Row],[Included?]], (Table2[[#This Row],[IC PVM]]-L$188)*('SGP and PVM'!C$186-COUNT(Table2[IC PVM]))/('SGP and PVM'!C$186-'SGP and PVM'!L$188*COUNT(Table2[IC PVM]))+1, "")</f>
        <v/>
      </c>
      <c r="N94" s="13">
        <f ca="1">Table2[[#This Row],[SGP Value]]*N$192+N$193</f>
        <v>-5.8869350568407484</v>
      </c>
    </row>
    <row r="95" spans="2:14" hidden="1" x14ac:dyDescent="0.25">
      <c r="B9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7.8306452353766973</v>
      </c>
      <c r="C95">
        <f>Data!D$186/'SGP and PVM'!B$186*Table2[[#This Row],[SGP]]</f>
        <v>9.1459061684392768</v>
      </c>
      <c r="D95">
        <f>((Table2[[#This Row],[SGP]]-B$188)*(Data!D$186-COUNT(Table2[SGP])))/('SGP and PVM'!B$186-'SGP and PVM'!B$188*COUNT(Table2[SGP]))+1</f>
        <v>8.9048262699039231</v>
      </c>
      <c r="E95" t="str">
        <f>IF(Table1[[#This Row],[Included?]],Table2[[#This Row],[SGP]],"")</f>
        <v/>
      </c>
      <c r="F95" t="str">
        <f>IF(Table2[[#This Row],[Included SGP]]&lt;&gt;"", Data!D$186/'SGP and PVM'!E$186*Table2[[#This Row],[Included SGP]], "")</f>
        <v/>
      </c>
      <c r="G95" t="str">
        <f>IF(Table2[[#This Row],[CI SGP]]&lt;&gt;"", ((Table2[[#This Row],[CI SGP]]-F$188)*(Data!D$186-COUNT(Table2[CI SGP])))/('SGP and PVM'!F$186-'SGP and PVM'!F$188*COUNT(Table2[CI SGP]))+1, "")</f>
        <v/>
      </c>
      <c r="H95">
        <f>(Table1[[#This Row],[OBP]]-MEDIAN(Table1[OBP]))*Table1[[#This Row],[PA]]</f>
        <v>-0.94593248508525141</v>
      </c>
      <c r="I95">
        <f>360*(Table1[[#This Row],[R]]/Data!H$186+Table1[[#This Row],[HR]]/Data!I$186+Table1[[#This Row],[RBI]]/Data!J$186+Table1[[#This Row],[SB]]/Data!K$186+(Table2[[#This Row],[OBP Diff]]-H$188)/(H$186-H$188*COUNT(Table2[OBP Diff])))</f>
        <v>7.8250120160259025</v>
      </c>
      <c r="J95">
        <f>(Table2[[#This Row],[Crude PVM Value]]-I$188)*('SGP and PVM'!C$186-COUNT(Table2[Crude PVM Value]))/('SGP and PVM'!C$186-'SGP and PVM'!I$188*COUNT(Table2[Crude PVM Value]))+1</f>
        <v>6.8880727749005235</v>
      </c>
      <c r="K95" t="str">
        <f>IF(Table1[[#This Row],[Included?]],Table2[[#This Row],[OBP Diff]],"")</f>
        <v/>
      </c>
      <c r="L9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5" s="13" t="str">
        <f>IF(Table1[[#This Row],[Included?]], (Table2[[#This Row],[IC PVM]]-L$188)*('SGP and PVM'!C$186-COUNT(Table2[IC PVM]))/('SGP and PVM'!C$186-'SGP and PVM'!L$188*COUNT(Table2[IC PVM]))+1, "")</f>
        <v/>
      </c>
      <c r="N95" s="13">
        <f ca="1">Table2[[#This Row],[SGP Value]]*N$192+N$193</f>
        <v>-4.6466845772093279</v>
      </c>
    </row>
    <row r="96" spans="2:14" hidden="1" x14ac:dyDescent="0.25">
      <c r="B9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10.388775471964568</v>
      </c>
      <c r="C96">
        <f>Data!D$186/'SGP and PVM'!B$186*Table2[[#This Row],[SGP]]</f>
        <v>12.13370837467146</v>
      </c>
      <c r="D96">
        <f>((Table2[[#This Row],[SGP]]-B$188)*(Data!D$186-COUNT(Table2[SGP])))/('SGP and PVM'!B$186-'SGP and PVM'!B$188*COUNT(Table2[SGP]))+1</f>
        <v>12.860507340145562</v>
      </c>
      <c r="E96">
        <f>IF(Table1[[#This Row],[Included?]],Table2[[#This Row],[SGP]],"")</f>
        <v>10.388775471964568</v>
      </c>
      <c r="F96">
        <f>IF(Table2[[#This Row],[Included SGP]]&lt;&gt;"", Data!D$186/'SGP and PVM'!E$186*Table2[[#This Row],[Included SGP]], "")</f>
        <v>20.432445056299848</v>
      </c>
      <c r="G96">
        <f>IF(Table2[[#This Row],[CI SGP]]&lt;&gt;"", ((Table2[[#This Row],[CI SGP]]-F$188)*(Data!D$186-COUNT(Table2[CI SGP])))/('SGP and PVM'!F$186-'SGP and PVM'!F$188*COUNT(Table2[CI SGP]))+1, "")</f>
        <v>21.203790208175558</v>
      </c>
      <c r="H96">
        <f>(Table1[[#This Row],[OBP]]-MEDIAN(Table1[OBP]))*Table1[[#This Row],[PA]]</f>
        <v>0.3170413777481017</v>
      </c>
      <c r="I96">
        <f>360*(Table1[[#This Row],[R]]/Data!H$186+Table1[[#This Row],[HR]]/Data!I$186+Table1[[#This Row],[RBI]]/Data!J$186+Table1[[#This Row],[SB]]/Data!K$186+(Table2[[#This Row],[OBP Diff]]-H$188)/(H$186-H$188*COUNT(Table2[OBP Diff])))</f>
        <v>14.02931129455192</v>
      </c>
      <c r="J96">
        <f>(Table2[[#This Row],[Crude PVM Value]]-I$188)*('SGP and PVM'!C$186-COUNT(Table2[Crude PVM Value]))/('SGP and PVM'!C$186-'SGP and PVM'!I$188*COUNT(Table2[Crude PVM Value]))+1</f>
        <v>15.907275661961499</v>
      </c>
      <c r="K96">
        <f>IF(Table1[[#This Row],[Included?]],Table2[[#This Row],[OBP Diff]],"")</f>
        <v>0.3170413777481017</v>
      </c>
      <c r="L96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22.722943227038904</v>
      </c>
      <c r="M96" s="13">
        <f>IF(Table1[[#This Row],[Included?]], (Table2[[#This Row],[IC PVM]]-L$188)*('SGP and PVM'!C$186-COUNT(Table2[IC PVM]))/('SGP and PVM'!C$186-'SGP and PVM'!L$188*COUNT(Table2[IC PVM]))+1, "")</f>
        <v>27.130008140779271</v>
      </c>
      <c r="N96" s="13">
        <f ca="1">Table2[[#This Row],[SGP Value]]*N$192+N$193</f>
        <v>19.698839581732173</v>
      </c>
    </row>
    <row r="97" spans="2:14" hidden="1" x14ac:dyDescent="0.25">
      <c r="B9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6.6144785424667747</v>
      </c>
      <c r="C97">
        <f>Data!D$186/'SGP and PVM'!B$186*Table2[[#This Row],[SGP]]</f>
        <v>7.7254681171424506</v>
      </c>
      <c r="D97">
        <f>((Table2[[#This Row],[SGP]]-B$188)*(Data!D$186-COUNT(Table2[SGP])))/('SGP and PVM'!B$186-'SGP and PVM'!B$188*COUNT(Table2[SGP]))+1</f>
        <v>7.0242466588287114</v>
      </c>
      <c r="E97" t="str">
        <f>IF(Table1[[#This Row],[Included?]],Table2[[#This Row],[SGP]],"")</f>
        <v/>
      </c>
      <c r="F97" t="str">
        <f>IF(Table2[[#This Row],[Included SGP]]&lt;&gt;"", Data!D$186/'SGP and PVM'!E$186*Table2[[#This Row],[Included SGP]], "")</f>
        <v/>
      </c>
      <c r="G97" t="str">
        <f>IF(Table2[[#This Row],[CI SGP]]&lt;&gt;"", ((Table2[[#This Row],[CI SGP]]-F$188)*(Data!D$186-COUNT(Table2[CI SGP])))/('SGP and PVM'!F$186-'SGP and PVM'!F$188*COUNT(Table2[CI SGP]))+1, "")</f>
        <v/>
      </c>
      <c r="H97">
        <f>(Table1[[#This Row],[OBP]]-MEDIAN(Table1[OBP]))*Table1[[#This Row],[PA]]</f>
        <v>0.35680422551821639</v>
      </c>
      <c r="I97">
        <f>360*(Table1[[#This Row],[R]]/Data!H$186+Table1[[#This Row],[HR]]/Data!I$186+Table1[[#This Row],[RBI]]/Data!J$186+Table1[[#This Row],[SB]]/Data!K$186+(Table2[[#This Row],[OBP Diff]]-H$188)/(H$186-H$188*COUNT(Table2[OBP Diff])))</f>
        <v>7.6502330510982715</v>
      </c>
      <c r="J97">
        <f>(Table2[[#This Row],[Crude PVM Value]]-I$188)*('SGP and PVM'!C$186-COUNT(Table2[Crude PVM Value]))/('SGP and PVM'!C$186-'SGP and PVM'!I$188*COUNT(Table2[Crude PVM Value]))+1</f>
        <v>6.6339962266384411</v>
      </c>
      <c r="K97" t="str">
        <f>IF(Table1[[#This Row],[Included?]],Table2[[#This Row],[OBP Diff]],"")</f>
        <v/>
      </c>
      <c r="L9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7" s="13" t="str">
        <f>IF(Table1[[#This Row],[Included?]], (Table2[[#This Row],[IC PVM]]-L$188)*('SGP and PVM'!C$186-COUNT(Table2[IC PVM]))/('SGP and PVM'!C$186-'SGP and PVM'!L$188*COUNT(Table2[IC PVM]))+1, "")</f>
        <v/>
      </c>
      <c r="N97" s="13">
        <f ca="1">Table2[[#This Row],[SGP Value]]*N$192+N$193</f>
        <v>-16.220847291861041</v>
      </c>
    </row>
    <row r="98" spans="2:14" hidden="1" x14ac:dyDescent="0.25">
      <c r="B9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7.2849085288077076</v>
      </c>
      <c r="C98">
        <f>Data!D$186/'SGP and PVM'!B$186*Table2[[#This Row],[SGP]]</f>
        <v>8.5085057294047086</v>
      </c>
      <c r="D98">
        <f>((Table2[[#This Row],[SGP]]-B$188)*(Data!D$186-COUNT(Table2[SGP])))/('SGP and PVM'!B$186-'SGP and PVM'!B$188*COUNT(Table2[SGP]))+1</f>
        <v>8.0609441529439962</v>
      </c>
      <c r="E98" t="str">
        <f>IF(Table1[[#This Row],[Included?]],Table2[[#This Row],[SGP]],"")</f>
        <v/>
      </c>
      <c r="F98" t="str">
        <f>IF(Table2[[#This Row],[Included SGP]]&lt;&gt;"", Data!D$186/'SGP and PVM'!E$186*Table2[[#This Row],[Included SGP]], "")</f>
        <v/>
      </c>
      <c r="G98" t="str">
        <f>IF(Table2[[#This Row],[CI SGP]]&lt;&gt;"", ((Table2[[#This Row],[CI SGP]]-F$188)*(Data!D$186-COUNT(Table2[CI SGP])))/('SGP and PVM'!F$186-'SGP and PVM'!F$188*COUNT(Table2[CI SGP]))+1, "")</f>
        <v/>
      </c>
      <c r="H98">
        <f>(Table1[[#This Row],[OBP]]-MEDIAN(Table1[OBP]))*Table1[[#This Row],[PA]]</f>
        <v>0.2274797971678022</v>
      </c>
      <c r="I98">
        <f>360*(Table1[[#This Row],[R]]/Data!H$186+Table1[[#This Row],[HR]]/Data!I$186+Table1[[#This Row],[RBI]]/Data!J$186+Table1[[#This Row],[SB]]/Data!K$186+(Table2[[#This Row],[OBP Diff]]-H$188)/(H$186-H$188*COUNT(Table2[OBP Diff])))</f>
        <v>9.0444387714096575</v>
      </c>
      <c r="J98">
        <f>(Table2[[#This Row],[Crude PVM Value]]-I$188)*('SGP and PVM'!C$186-COUNT(Table2[Crude PVM Value]))/('SGP and PVM'!C$186-'SGP and PVM'!I$188*COUNT(Table2[Crude PVM Value]))+1</f>
        <v>8.6607560093768363</v>
      </c>
      <c r="K98" t="str">
        <f>IF(Table1[[#This Row],[Included?]],Table2[[#This Row],[OBP Diff]],"")</f>
        <v/>
      </c>
      <c r="L9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8" s="13" t="str">
        <f>IF(Table1[[#This Row],[Included?]], (Table2[[#This Row],[IC PVM]]-L$188)*('SGP and PVM'!C$186-COUNT(Table2[IC PVM]))/('SGP and PVM'!C$186-'SGP and PVM'!L$188*COUNT(Table2[IC PVM]))+1, "")</f>
        <v/>
      </c>
      <c r="N98" s="13">
        <f ca="1">Table2[[#This Row],[SGP Value]]*N$192+N$193</f>
        <v>-9.8404178688802801</v>
      </c>
    </row>
    <row r="99" spans="2:14" hidden="1" x14ac:dyDescent="0.25">
      <c r="B9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8.0800145286108034</v>
      </c>
      <c r="C99">
        <f>Data!D$186/'SGP and PVM'!B$186*Table2[[#This Row],[SGP]]</f>
        <v>9.4371603484786881</v>
      </c>
      <c r="D99">
        <f>((Table2[[#This Row],[SGP]]-B$188)*(Data!D$186-COUNT(Table2[SGP])))/('SGP and PVM'!B$186-'SGP and PVM'!B$188*COUNT(Table2[SGP]))+1</f>
        <v>9.290430325020921</v>
      </c>
      <c r="E99" t="str">
        <f>IF(Table1[[#This Row],[Included?]],Table2[[#This Row],[SGP]],"")</f>
        <v/>
      </c>
      <c r="F99" t="str">
        <f>IF(Table2[[#This Row],[Included SGP]]&lt;&gt;"", Data!D$186/'SGP and PVM'!E$186*Table2[[#This Row],[Included SGP]], "")</f>
        <v/>
      </c>
      <c r="G99" t="str">
        <f>IF(Table2[[#This Row],[CI SGP]]&lt;&gt;"", ((Table2[[#This Row],[CI SGP]]-F$188)*(Data!D$186-COUNT(Table2[CI SGP])))/('SGP and PVM'!F$186-'SGP and PVM'!F$188*COUNT(Table2[CI SGP]))+1, "")</f>
        <v/>
      </c>
      <c r="H99">
        <f>(Table1[[#This Row],[OBP]]-MEDIAN(Table1[OBP]))*Table1[[#This Row],[PA]]</f>
        <v>-0.1512638966341544</v>
      </c>
      <c r="I99">
        <f>360*(Table1[[#This Row],[R]]/Data!H$186+Table1[[#This Row],[HR]]/Data!I$186+Table1[[#This Row],[RBI]]/Data!J$186+Table1[[#This Row],[SB]]/Data!K$186+(Table2[[#This Row],[OBP Diff]]-H$188)/(H$186-H$188*COUNT(Table2[OBP Diff])))</f>
        <v>9.4792271697284569</v>
      </c>
      <c r="J99">
        <f>(Table2[[#This Row],[Crude PVM Value]]-I$188)*('SGP and PVM'!C$186-COUNT(Table2[Crude PVM Value]))/('SGP and PVM'!C$186-'SGP and PVM'!I$188*COUNT(Table2[Crude PVM Value]))+1</f>
        <v>9.2928088168470087</v>
      </c>
      <c r="K99" t="str">
        <f>IF(Table1[[#This Row],[Included?]],Table2[[#This Row],[OBP Diff]],"")</f>
        <v/>
      </c>
      <c r="L9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99" s="13" t="str">
        <f>IF(Table1[[#This Row],[Included?]], (Table2[[#This Row],[IC PVM]]-L$188)*('SGP and PVM'!C$186-COUNT(Table2[IC PVM]))/('SGP and PVM'!C$186-'SGP and PVM'!L$188*COUNT(Table2[IC PVM]))+1, "")</f>
        <v/>
      </c>
      <c r="N99" s="13">
        <f ca="1">Table2[[#This Row],[SGP Value]]*N$192+N$193</f>
        <v>-2.2734566367011624</v>
      </c>
    </row>
    <row r="100" spans="2:14" hidden="1" x14ac:dyDescent="0.25">
      <c r="B10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8.5458754755256034</v>
      </c>
      <c r="C100">
        <f>Data!D$186/'SGP and PVM'!B$186*Table2[[#This Row],[SGP]]</f>
        <v>9.9812688325119403</v>
      </c>
      <c r="D100">
        <f>((Table2[[#This Row],[SGP]]-B$188)*(Data!D$186-COUNT(Table2[SGP])))/('SGP and PVM'!B$186-'SGP and PVM'!B$188*COUNT(Table2[SGP]))+1</f>
        <v>10.010799172047927</v>
      </c>
      <c r="E100">
        <f>IF(Table1[[#This Row],[Included?]],Table2[[#This Row],[SGP]],"")</f>
        <v>8.5458754755256034</v>
      </c>
      <c r="F100">
        <f>IF(Table2[[#This Row],[Included SGP]]&lt;&gt;"", Data!D$186/'SGP and PVM'!E$186*Table2[[#This Row],[Included SGP]], "")</f>
        <v>16.807864563333087</v>
      </c>
      <c r="G100">
        <f>IF(Table2[[#This Row],[CI SGP]]&lt;&gt;"", ((Table2[[#This Row],[CI SGP]]-F$188)*(Data!D$186-COUNT(Table2[CI SGP])))/('SGP and PVM'!F$186-'SGP and PVM'!F$188*COUNT(Table2[CI SGP]))+1, "")</f>
        <v>11.114104957727925</v>
      </c>
      <c r="H100">
        <f>(Table1[[#This Row],[OBP]]-MEDIAN(Table1[OBP]))*Table1[[#This Row],[PA]]</f>
        <v>1.1099788056722106</v>
      </c>
      <c r="I100">
        <f>360*(Table1[[#This Row],[R]]/Data!H$186+Table1[[#This Row],[HR]]/Data!I$186+Table1[[#This Row],[RBI]]/Data!J$186+Table1[[#This Row],[SB]]/Data!K$186+(Table2[[#This Row],[OBP Diff]]-H$188)/(H$186-H$188*COUNT(Table2[OBP Diff])))</f>
        <v>10.084679505554369</v>
      </c>
      <c r="J100">
        <f>(Table2[[#This Row],[Crude PVM Value]]-I$188)*('SGP and PVM'!C$186-COUNT(Table2[Crude PVM Value]))/('SGP and PVM'!C$186-'SGP and PVM'!I$188*COUNT(Table2[Crude PVM Value]))+1</f>
        <v>10.172956148578596</v>
      </c>
      <c r="K100">
        <f>IF(Table1[[#This Row],[Included?]],Table2[[#This Row],[OBP Diff]],"")</f>
        <v>1.1099788056722106</v>
      </c>
      <c r="L10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17.285667813087482</v>
      </c>
      <c r="M100" s="13">
        <f>IF(Table1[[#This Row],[Included?]], (Table2[[#This Row],[IC PVM]]-L$188)*('SGP and PVM'!C$186-COUNT(Table2[IC PVM]))/('SGP and PVM'!C$186-'SGP and PVM'!L$188*COUNT(Table2[IC PVM]))+1, "")</f>
        <v>12.892539808657183</v>
      </c>
      <c r="N100" s="13">
        <f ca="1">Table2[[#This Row],[SGP Value]]*N$192+N$193</f>
        <v>2.1601053358704689</v>
      </c>
    </row>
    <row r="101" spans="2:14" hidden="1" x14ac:dyDescent="0.25">
      <c r="B10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7.8388174089441609</v>
      </c>
      <c r="C101">
        <f>Data!D$186/'SGP and PVM'!B$186*Table2[[#This Row],[SGP]]</f>
        <v>9.1554509671619364</v>
      </c>
      <c r="D101">
        <f>((Table2[[#This Row],[SGP]]-B$188)*(Data!D$186-COUNT(Table2[SGP])))/('SGP and PVM'!B$186-'SGP and PVM'!B$188*COUNT(Table2[SGP]))+1</f>
        <v>8.9174630433649433</v>
      </c>
      <c r="E101" t="str">
        <f>IF(Table1[[#This Row],[Included?]],Table2[[#This Row],[SGP]],"")</f>
        <v/>
      </c>
      <c r="F101" t="str">
        <f>IF(Table2[[#This Row],[Included SGP]]&lt;&gt;"", Data!D$186/'SGP and PVM'!E$186*Table2[[#This Row],[Included SGP]], "")</f>
        <v/>
      </c>
      <c r="G101" t="str">
        <f>IF(Table2[[#This Row],[CI SGP]]&lt;&gt;"", ((Table2[[#This Row],[CI SGP]]-F$188)*(Data!D$186-COUNT(Table2[CI SGP])))/('SGP and PVM'!F$186-'SGP and PVM'!F$188*COUNT(Table2[CI SGP]))+1, "")</f>
        <v/>
      </c>
      <c r="H101">
        <f>(Table1[[#This Row],[OBP]]-MEDIAN(Table1[OBP]))*Table1[[#This Row],[PA]]</f>
        <v>-0.60896368718996996</v>
      </c>
      <c r="I101">
        <f>360*(Table1[[#This Row],[R]]/Data!H$186+Table1[[#This Row],[HR]]/Data!I$186+Table1[[#This Row],[RBI]]/Data!J$186+Table1[[#This Row],[SB]]/Data!K$186+(Table2[[#This Row],[OBP Diff]]-H$188)/(H$186-H$188*COUNT(Table2[OBP Diff])))</f>
        <v>7.8519737037444655</v>
      </c>
      <c r="J101">
        <f>(Table2[[#This Row],[Crude PVM Value]]-I$188)*('SGP and PVM'!C$186-COUNT(Table2[Crude PVM Value]))/('SGP and PVM'!C$186-'SGP and PVM'!I$188*COUNT(Table2[Crude PVM Value]))+1</f>
        <v>6.9272670369428075</v>
      </c>
      <c r="K101" t="str">
        <f>IF(Table1[[#This Row],[Included?]],Table2[[#This Row],[OBP Diff]],"")</f>
        <v/>
      </c>
      <c r="L10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1" s="13" t="str">
        <f>IF(Table1[[#This Row],[Included?]], (Table2[[#This Row],[IC PVM]]-L$188)*('SGP and PVM'!C$186-COUNT(Table2[IC PVM]))/('SGP and PVM'!C$186-'SGP and PVM'!L$188*COUNT(Table2[IC PVM]))+1, "")</f>
        <v/>
      </c>
      <c r="N101" s="13">
        <f ca="1">Table2[[#This Row],[SGP Value]]*N$192+N$193</f>
        <v>-4.5689106444469587</v>
      </c>
    </row>
    <row r="102" spans="2:14" hidden="1" x14ac:dyDescent="0.25">
      <c r="B10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8.154297520310088</v>
      </c>
      <c r="C102">
        <f>Data!D$186/'SGP and PVM'!B$186*Table2[[#This Row],[SGP]]</f>
        <v>9.5239201558216813</v>
      </c>
      <c r="D102">
        <f>((Table2[[#This Row],[SGP]]-B$188)*(Data!D$186-COUNT(Table2[SGP])))/('SGP and PVM'!B$186-'SGP and PVM'!B$188*COUNT(Table2[SGP]))+1</f>
        <v>9.4052954010452421</v>
      </c>
      <c r="E102">
        <f>IF(Table1[[#This Row],[Included?]],Table2[[#This Row],[SGP]],"")</f>
        <v>8.154297520310088</v>
      </c>
      <c r="F102">
        <f>IF(Table2[[#This Row],[Included SGP]]&lt;&gt;"", Data!D$186/'SGP and PVM'!E$186*Table2[[#This Row],[Included SGP]], "")</f>
        <v>16.037716524539611</v>
      </c>
      <c r="G102">
        <f>IF(Table2[[#This Row],[CI SGP]]&lt;&gt;"", ((Table2[[#This Row],[CI SGP]]-F$188)*(Data!D$186-COUNT(Table2[CI SGP])))/('SGP and PVM'!F$186-'SGP and PVM'!F$188*COUNT(Table2[CI SGP]))+1, "")</f>
        <v>8.9702564978154165</v>
      </c>
      <c r="H102">
        <f>(Table1[[#This Row],[OBP]]-MEDIAN(Table1[OBP]))*Table1[[#This Row],[PA]]</f>
        <v>0.13607222343157827</v>
      </c>
      <c r="I102">
        <f>360*(Table1[[#This Row],[R]]/Data!H$186+Table1[[#This Row],[HR]]/Data!I$186+Table1[[#This Row],[RBI]]/Data!J$186+Table1[[#This Row],[SB]]/Data!K$186+(Table2[[#This Row],[OBP Diff]]-H$188)/(H$186-H$188*COUNT(Table2[OBP Diff])))</f>
        <v>9.3869755980979761</v>
      </c>
      <c r="J102">
        <f>(Table2[[#This Row],[Crude PVM Value]]-I$188)*('SGP and PVM'!C$186-COUNT(Table2[Crude PVM Value]))/('SGP and PVM'!C$186-'SGP and PVM'!I$188*COUNT(Table2[Crude PVM Value]))+1</f>
        <v>9.1587025134864763</v>
      </c>
      <c r="K102">
        <f>IF(Table1[[#This Row],[Included?]],Table2[[#This Row],[OBP Diff]],"")</f>
        <v>0.13607222343157827</v>
      </c>
      <c r="L10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15.528982925408906</v>
      </c>
      <c r="M102" s="13">
        <f>IF(Table1[[#This Row],[Included?]], (Table2[[#This Row],[IC PVM]]-L$188)*('SGP and PVM'!C$186-COUNT(Table2[IC PVM]))/('SGP and PVM'!C$186-'SGP and PVM'!L$188*COUNT(Table2[IC PVM]))+1, "")</f>
        <v>8.2926724939233232</v>
      </c>
      <c r="N102" s="13">
        <f ca="1">Table2[[#This Row],[SGP Value]]*N$192+N$193</f>
        <v>-1.5665112501263181</v>
      </c>
    </row>
    <row r="103" spans="2:14" hidden="1" x14ac:dyDescent="0.25">
      <c r="B10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7.8146863460462548</v>
      </c>
      <c r="C103">
        <f>Data!D$186/'SGP and PVM'!B$186*Table2[[#This Row],[SGP]]</f>
        <v>9.1272667715592686</v>
      </c>
      <c r="D103">
        <f>((Table2[[#This Row],[SGP]]-B$188)*(Data!D$186-COUNT(Table2[SGP])))/('SGP and PVM'!B$186-'SGP and PVM'!B$188*COUNT(Table2[SGP]))+1</f>
        <v>8.8801487630578624</v>
      </c>
      <c r="E103">
        <f>IF(Table1[[#This Row],[Included?]],Table2[[#This Row],[SGP]],"")</f>
        <v>7.8146863460462548</v>
      </c>
      <c r="F103">
        <f>IF(Table2[[#This Row],[Included SGP]]&lt;&gt;"", Data!D$186/'SGP and PVM'!E$186*Table2[[#This Row],[Included SGP]], "")</f>
        <v>15.369775757374391</v>
      </c>
      <c r="G103">
        <f>IF(Table2[[#This Row],[CI SGP]]&lt;&gt;"", ((Table2[[#This Row],[CI SGP]]-F$188)*(Data!D$186-COUNT(Table2[CI SGP])))/('SGP and PVM'!F$186-'SGP and PVM'!F$188*COUNT(Table2[CI SGP]))+1, "")</f>
        <v>7.1109207430386219</v>
      </c>
      <c r="H103">
        <f>(Table1[[#This Row],[OBP]]-MEDIAN(Table1[OBP]))*Table1[[#This Row],[PA]]</f>
        <v>0.49376611912162616</v>
      </c>
      <c r="I103">
        <f>360*(Table1[[#This Row],[R]]/Data!H$186+Table1[[#This Row],[HR]]/Data!I$186+Table1[[#This Row],[RBI]]/Data!J$186+Table1[[#This Row],[SB]]/Data!K$186+(Table2[[#This Row],[OBP Diff]]-H$188)/(H$186-H$188*COUNT(Table2[OBP Diff])))</f>
        <v>10.532016866157901</v>
      </c>
      <c r="J103">
        <f>(Table2[[#This Row],[Crude PVM Value]]-I$188)*('SGP and PVM'!C$186-COUNT(Table2[Crude PVM Value]))/('SGP and PVM'!C$186-'SGP and PVM'!I$188*COUNT(Table2[Crude PVM Value]))+1</f>
        <v>10.823251408868511</v>
      </c>
      <c r="K103">
        <f>IF(Table1[[#This Row],[Included?]],Table2[[#This Row],[OBP Diff]],"")</f>
        <v>0.49376611912162616</v>
      </c>
      <c r="L10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17.212599206363034</v>
      </c>
      <c r="M103" s="13">
        <f>IF(Table1[[#This Row],[Included?]], (Table2[[#This Row],[IC PVM]]-L$188)*('SGP and PVM'!C$186-COUNT(Table2[IC PVM]))/('SGP and PVM'!C$186-'SGP and PVM'!L$188*COUNT(Table2[IC PVM]))+1, "")</f>
        <v>12.701210163732027</v>
      </c>
      <c r="N103" s="13">
        <f ca="1">Table2[[#This Row],[SGP Value]]*N$192+N$193</f>
        <v>-4.7985640711409516</v>
      </c>
    </row>
    <row r="104" spans="2:14" hidden="1" x14ac:dyDescent="0.25">
      <c r="B10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8.3875515945770349</v>
      </c>
      <c r="C104">
        <f>Data!D$186/'SGP and PVM'!B$186*Table2[[#This Row],[SGP]]</f>
        <v>9.7963523517043285</v>
      </c>
      <c r="D104">
        <f>((Table2[[#This Row],[SGP]]-B$188)*(Data!D$186-COUNT(Table2[SGP])))/('SGP and PVM'!B$186-'SGP and PVM'!B$188*COUNT(Table2[SGP]))+1</f>
        <v>9.765980214092604</v>
      </c>
      <c r="E104" t="str">
        <f>IF(Table1[[#This Row],[Included?]],Table2[[#This Row],[SGP]],"")</f>
        <v/>
      </c>
      <c r="F104" t="str">
        <f>IF(Table2[[#This Row],[Included SGP]]&lt;&gt;"", Data!D$186/'SGP and PVM'!E$186*Table2[[#This Row],[Included SGP]], "")</f>
        <v/>
      </c>
      <c r="G104" t="str">
        <f>IF(Table2[[#This Row],[CI SGP]]&lt;&gt;"", ((Table2[[#This Row],[CI SGP]]-F$188)*(Data!D$186-COUNT(Table2[CI SGP])))/('SGP and PVM'!F$186-'SGP and PVM'!F$188*COUNT(Table2[CI SGP]))+1, "")</f>
        <v/>
      </c>
      <c r="H104">
        <f>(Table1[[#This Row],[OBP]]-MEDIAN(Table1[OBP]))*Table1[[#This Row],[PA]]</f>
        <v>-0.39289238337685567</v>
      </c>
      <c r="I104">
        <f>360*(Table1[[#This Row],[R]]/Data!H$186+Table1[[#This Row],[HR]]/Data!I$186+Table1[[#This Row],[RBI]]/Data!J$186+Table1[[#This Row],[SB]]/Data!K$186+(Table2[[#This Row],[OBP Diff]]-H$188)/(H$186-H$188*COUNT(Table2[OBP Diff])))</f>
        <v>10.119579418966046</v>
      </c>
      <c r="J104">
        <f>(Table2[[#This Row],[Crude PVM Value]]-I$188)*('SGP and PVM'!C$186-COUNT(Table2[Crude PVM Value]))/('SGP and PVM'!C$186-'SGP and PVM'!I$188*COUNT(Table2[Crude PVM Value]))+1</f>
        <v>10.223690225977188</v>
      </c>
      <c r="K104" t="str">
        <f>IF(Table1[[#This Row],[Included?]],Table2[[#This Row],[OBP Diff]],"")</f>
        <v/>
      </c>
      <c r="L10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4" s="13" t="str">
        <f>IF(Table1[[#This Row],[Included?]], (Table2[[#This Row],[IC PVM]]-L$188)*('SGP and PVM'!C$186-COUNT(Table2[IC PVM]))/('SGP and PVM'!C$186-'SGP and PVM'!L$188*COUNT(Table2[IC PVM]))+1, "")</f>
        <v/>
      </c>
      <c r="N104" s="13">
        <f ca="1">Table2[[#This Row],[SGP Value]]*N$192+N$193</f>
        <v>0.65334941959937254</v>
      </c>
    </row>
    <row r="105" spans="2:14" hidden="1" x14ac:dyDescent="0.25">
      <c r="B10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7.9049731980130638</v>
      </c>
      <c r="C105">
        <f>Data!D$186/'SGP and PVM'!B$186*Table2[[#This Row],[SGP]]</f>
        <v>9.2327185001858787</v>
      </c>
      <c r="D105">
        <f>((Table2[[#This Row],[SGP]]-B$188)*(Data!D$186-COUNT(Table2[SGP])))/('SGP and PVM'!B$186-'SGP and PVM'!B$188*COUNT(Table2[SGP]))+1</f>
        <v>9.0197608852667734</v>
      </c>
      <c r="E105" t="str">
        <f>IF(Table1[[#This Row],[Included?]],Table2[[#This Row],[SGP]],"")</f>
        <v/>
      </c>
      <c r="F105" t="str">
        <f>IF(Table2[[#This Row],[Included SGP]]&lt;&gt;"", Data!D$186/'SGP and PVM'!E$186*Table2[[#This Row],[Included SGP]], "")</f>
        <v/>
      </c>
      <c r="G105" t="str">
        <f>IF(Table2[[#This Row],[CI SGP]]&lt;&gt;"", ((Table2[[#This Row],[CI SGP]]-F$188)*(Data!D$186-COUNT(Table2[CI SGP])))/('SGP and PVM'!F$186-'SGP and PVM'!F$188*COUNT(Table2[CI SGP]))+1, "")</f>
        <v/>
      </c>
      <c r="H105">
        <f>(Table1[[#This Row],[OBP]]-MEDIAN(Table1[OBP]))*Table1[[#This Row],[PA]]</f>
        <v>-0.78037650083437371</v>
      </c>
      <c r="I105">
        <f>360*(Table1[[#This Row],[R]]/Data!H$186+Table1[[#This Row],[HR]]/Data!I$186+Table1[[#This Row],[RBI]]/Data!J$186+Table1[[#This Row],[SB]]/Data!K$186+(Table2[[#This Row],[OBP Diff]]-H$188)/(H$186-H$188*COUNT(Table2[OBP Diff])))</f>
        <v>7.7927686107088894</v>
      </c>
      <c r="J105">
        <f>(Table2[[#This Row],[Crude PVM Value]]-I$188)*('SGP and PVM'!C$186-COUNT(Table2[Crude PVM Value]))/('SGP and PVM'!C$186-'SGP and PVM'!I$188*COUNT(Table2[Crude PVM Value]))+1</f>
        <v>6.8412004688964574</v>
      </c>
      <c r="K105" t="str">
        <f>IF(Table1[[#This Row],[Included?]],Table2[[#This Row],[OBP Diff]],"")</f>
        <v/>
      </c>
      <c r="L10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5" s="13" t="str">
        <f>IF(Table1[[#This Row],[Included?]], (Table2[[#This Row],[IC PVM]]-L$188)*('SGP and PVM'!C$186-COUNT(Table2[IC PVM]))/('SGP and PVM'!C$186-'SGP and PVM'!L$188*COUNT(Table2[IC PVM]))+1, "")</f>
        <v/>
      </c>
      <c r="N105" s="13">
        <f ca="1">Table2[[#This Row],[SGP Value]]*N$192+N$193</f>
        <v>-3.939311205765101</v>
      </c>
    </row>
    <row r="106" spans="2:14" hidden="1" x14ac:dyDescent="0.25">
      <c r="B10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8.5617034027547874</v>
      </c>
      <c r="C106">
        <f>Data!D$186/'SGP and PVM'!B$186*Table2[[#This Row],[SGP]]</f>
        <v>9.9997552704653554</v>
      </c>
      <c r="D106">
        <f>((Table2[[#This Row],[SGP]]-B$188)*(Data!D$186-COUNT(Table2[SGP])))/('SGP and PVM'!B$186-'SGP and PVM'!B$188*COUNT(Table2[SGP]))+1</f>
        <v>10.035274169929643</v>
      </c>
      <c r="E106" t="str">
        <f>IF(Table1[[#This Row],[Included?]],Table2[[#This Row],[SGP]],"")</f>
        <v/>
      </c>
      <c r="F106" t="str">
        <f>IF(Table2[[#This Row],[Included SGP]]&lt;&gt;"", Data!D$186/'SGP and PVM'!E$186*Table2[[#This Row],[Included SGP]], "")</f>
        <v/>
      </c>
      <c r="G106" t="str">
        <f>IF(Table2[[#This Row],[CI SGP]]&lt;&gt;"", ((Table2[[#This Row],[CI SGP]]-F$188)*(Data!D$186-COUNT(Table2[CI SGP])))/('SGP and PVM'!F$186-'SGP and PVM'!F$188*COUNT(Table2[CI SGP]))+1, "")</f>
        <v/>
      </c>
      <c r="H106">
        <f>(Table1[[#This Row],[OBP]]-MEDIAN(Table1[OBP]))*Table1[[#This Row],[PA]]</f>
        <v>-0.3114541576122235</v>
      </c>
      <c r="I106">
        <f>360*(Table1[[#This Row],[R]]/Data!H$186+Table1[[#This Row],[HR]]/Data!I$186+Table1[[#This Row],[RBI]]/Data!J$186+Table1[[#This Row],[SB]]/Data!K$186+(Table2[[#This Row],[OBP Diff]]-H$188)/(H$186-H$188*COUNT(Table2[OBP Diff])))</f>
        <v>10.695551509763405</v>
      </c>
      <c r="J106">
        <f>(Table2[[#This Row],[Crude PVM Value]]-I$188)*('SGP and PVM'!C$186-COUNT(Table2[Crude PVM Value]))/('SGP and PVM'!C$186-'SGP and PVM'!I$188*COUNT(Table2[Crude PVM Value]))+1</f>
        <v>11.060982063617271</v>
      </c>
      <c r="K106" t="str">
        <f>IF(Table1[[#This Row],[Included?]],Table2[[#This Row],[OBP Diff]],"")</f>
        <v/>
      </c>
      <c r="L10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6" s="13" t="str">
        <f>IF(Table1[[#This Row],[Included?]], (Table2[[#This Row],[IC PVM]]-L$188)*('SGP and PVM'!C$186-COUNT(Table2[IC PVM]))/('SGP and PVM'!C$186-'SGP and PVM'!L$188*COUNT(Table2[IC PVM]))+1, "")</f>
        <v/>
      </c>
      <c r="N106" s="13">
        <f ca="1">Table2[[#This Row],[SGP Value]]*N$192+N$193</f>
        <v>2.3107384737899963</v>
      </c>
    </row>
    <row r="107" spans="2:14" hidden="1" x14ac:dyDescent="0.25">
      <c r="B10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8.7502126259075066</v>
      </c>
      <c r="C107">
        <f>Data!D$186/'SGP and PVM'!B$186*Table2[[#This Row],[SGP]]</f>
        <v>10.219927122850036</v>
      </c>
      <c r="D107">
        <f>((Table2[[#This Row],[SGP]]-B$188)*(Data!D$186-COUNT(Table2[SGP])))/('SGP and PVM'!B$186-'SGP and PVM'!B$188*COUNT(Table2[SGP]))+1</f>
        <v>10.326769245092738</v>
      </c>
      <c r="E107" t="str">
        <f>IF(Table1[[#This Row],[Included?]],Table2[[#This Row],[SGP]],"")</f>
        <v/>
      </c>
      <c r="F107" t="str">
        <f>IF(Table2[[#This Row],[Included SGP]]&lt;&gt;"", Data!D$186/'SGP and PVM'!E$186*Table2[[#This Row],[Included SGP]], "")</f>
        <v/>
      </c>
      <c r="G107" t="str">
        <f>IF(Table2[[#This Row],[CI SGP]]&lt;&gt;"", ((Table2[[#This Row],[CI SGP]]-F$188)*(Data!D$186-COUNT(Table2[CI SGP])))/('SGP and PVM'!F$186-'SGP and PVM'!F$188*COUNT(Table2[CI SGP]))+1, "")</f>
        <v/>
      </c>
      <c r="H107">
        <f>(Table1[[#This Row],[OBP]]-MEDIAN(Table1[OBP]))*Table1[[#This Row],[PA]]</f>
        <v>-3.4145224328628987E-2</v>
      </c>
      <c r="I107">
        <f>360*(Table1[[#This Row],[R]]/Data!H$186+Table1[[#This Row],[HR]]/Data!I$186+Table1[[#This Row],[RBI]]/Data!J$186+Table1[[#This Row],[SB]]/Data!K$186+(Table2[[#This Row],[OBP Diff]]-H$188)/(H$186-H$188*COUNT(Table2[OBP Diff])))</f>
        <v>10.26837736353913</v>
      </c>
      <c r="J107">
        <f>(Table2[[#This Row],[Crude PVM Value]]-I$188)*('SGP and PVM'!C$186-COUNT(Table2[Crude PVM Value]))/('SGP and PVM'!C$186-'SGP and PVM'!I$188*COUNT(Table2[Crude PVM Value]))+1</f>
        <v>10.439998110402959</v>
      </c>
      <c r="K107" t="str">
        <f>IF(Table1[[#This Row],[Included?]],Table2[[#This Row],[OBP Diff]],"")</f>
        <v/>
      </c>
      <c r="L10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7" s="13" t="str">
        <f>IF(Table1[[#This Row],[Included?]], (Table2[[#This Row],[IC PVM]]-L$188)*('SGP and PVM'!C$186-COUNT(Table2[IC PVM]))/('SGP and PVM'!C$186-'SGP and PVM'!L$188*COUNT(Table2[IC PVM]))+1, "")</f>
        <v/>
      </c>
      <c r="N107" s="13">
        <f ca="1">Table2[[#This Row],[SGP Value]]*N$192+N$193</f>
        <v>4.104765916493335</v>
      </c>
    </row>
    <row r="108" spans="2:14" hidden="1" x14ac:dyDescent="0.25">
      <c r="B10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8.9243855619012873</v>
      </c>
      <c r="C108">
        <f>Data!D$186/'SGP and PVM'!B$186*Table2[[#This Row],[SGP]]</f>
        <v>10.423354718124573</v>
      </c>
      <c r="D108">
        <f>((Table2[[#This Row],[SGP]]-B$188)*(Data!D$186-COUNT(Table2[SGP])))/('SGP and PVM'!B$186-'SGP and PVM'!B$188*COUNT(Table2[SGP]))+1</f>
        <v>10.596095871237459</v>
      </c>
      <c r="E108">
        <f>IF(Table1[[#This Row],[Included?]],Table2[[#This Row],[SGP]],"")</f>
        <v>8.9243855619012873</v>
      </c>
      <c r="F108">
        <f>IF(Table2[[#This Row],[Included SGP]]&lt;&gt;"", Data!D$186/'SGP and PVM'!E$186*Table2[[#This Row],[Included SGP]], "")</f>
        <v>17.552310967435027</v>
      </c>
      <c r="G108">
        <f>IF(Table2[[#This Row],[CI SGP]]&lt;&gt;"", ((Table2[[#This Row],[CI SGP]]-F$188)*(Data!D$186-COUNT(Table2[CI SGP])))/('SGP and PVM'!F$186-'SGP and PVM'!F$188*COUNT(Table2[CI SGP]))+1, "")</f>
        <v>13.186408198831582</v>
      </c>
      <c r="H108">
        <f>(Table1[[#This Row],[OBP]]-MEDIAN(Table1[OBP]))*Table1[[#This Row],[PA]]</f>
        <v>0.11051805466356845</v>
      </c>
      <c r="I108">
        <f>360*(Table1[[#This Row],[R]]/Data!H$186+Table1[[#This Row],[HR]]/Data!I$186+Table1[[#This Row],[RBI]]/Data!J$186+Table1[[#This Row],[SB]]/Data!K$186+(Table2[[#This Row],[OBP Diff]]-H$188)/(H$186-H$188*COUNT(Table2[OBP Diff])))</f>
        <v>10.880383672501985</v>
      </c>
      <c r="J108">
        <f>(Table2[[#This Row],[Crude PVM Value]]-I$188)*('SGP and PVM'!C$186-COUNT(Table2[Crude PVM Value]))/('SGP and PVM'!C$186-'SGP and PVM'!I$188*COUNT(Table2[Crude PVM Value]))+1</f>
        <v>11.329672966643724</v>
      </c>
      <c r="K108">
        <f>IF(Table1[[#This Row],[Included?]],Table2[[#This Row],[OBP Diff]],"")</f>
        <v>0.11051805466356845</v>
      </c>
      <c r="L10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17.820523972510852</v>
      </c>
      <c r="M108" s="13">
        <f>IF(Table1[[#This Row],[Included?]], (Table2[[#This Row],[IC PVM]]-L$188)*('SGP and PVM'!C$186-COUNT(Table2[IC PVM]))/('SGP and PVM'!C$186-'SGP and PVM'!L$188*COUNT(Table2[IC PVM]))+1, "")</f>
        <v>14.293056989098597</v>
      </c>
      <c r="N108" s="13">
        <f ca="1">Table2[[#This Row],[SGP Value]]*N$192+N$193</f>
        <v>5.7623560424465268</v>
      </c>
    </row>
    <row r="109" spans="2:14" hidden="1" x14ac:dyDescent="0.25">
      <c r="B10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6.3689275450695506</v>
      </c>
      <c r="C109">
        <f>Data!D$186/'SGP and PVM'!B$186*Table2[[#This Row],[SGP]]</f>
        <v>7.4386735664691743</v>
      </c>
      <c r="D109">
        <f>((Table2[[#This Row],[SGP]]-B$188)*(Data!D$186-COUNT(Table2[SGP])))/('SGP and PVM'!B$186-'SGP and PVM'!B$188*COUNT(Table2[SGP]))+1</f>
        <v>6.6445469006652118</v>
      </c>
      <c r="E109" t="str">
        <f>IF(Table1[[#This Row],[Included?]],Table2[[#This Row],[SGP]],"")</f>
        <v/>
      </c>
      <c r="F109" t="str">
        <f>IF(Table2[[#This Row],[Included SGP]]&lt;&gt;"", Data!D$186/'SGP and PVM'!E$186*Table2[[#This Row],[Included SGP]], "")</f>
        <v/>
      </c>
      <c r="G109" t="str">
        <f>IF(Table2[[#This Row],[CI SGP]]&lt;&gt;"", ((Table2[[#This Row],[CI SGP]]-F$188)*(Data!D$186-COUNT(Table2[CI SGP])))/('SGP and PVM'!F$186-'SGP and PVM'!F$188*COUNT(Table2[CI SGP]))+1, "")</f>
        <v/>
      </c>
      <c r="H109">
        <f>(Table1[[#This Row],[OBP]]-MEDIAN(Table1[OBP]))*Table1[[#This Row],[PA]]</f>
        <v>0.64379497297611443</v>
      </c>
      <c r="I109">
        <f>360*(Table1[[#This Row],[R]]/Data!H$186+Table1[[#This Row],[HR]]/Data!I$186+Table1[[#This Row],[RBI]]/Data!J$186+Table1[[#This Row],[SB]]/Data!K$186+(Table2[[#This Row],[OBP Diff]]-H$188)/(H$186-H$188*COUNT(Table2[OBP Diff])))</f>
        <v>7.6184419425780217</v>
      </c>
      <c r="J109">
        <f>(Table2[[#This Row],[Crude PVM Value]]-I$188)*('SGP and PVM'!C$186-COUNT(Table2[Crude PVM Value]))/('SGP and PVM'!C$186-'SGP and PVM'!I$188*COUNT(Table2[Crude PVM Value]))+1</f>
        <v>6.5877814254374218</v>
      </c>
      <c r="K109" t="str">
        <f>IF(Table1[[#This Row],[Included?]],Table2[[#This Row],[OBP Diff]],"")</f>
        <v/>
      </c>
      <c r="L10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09" s="13" t="str">
        <f>IF(Table1[[#This Row],[Included?]], (Table2[[#This Row],[IC PVM]]-L$188)*('SGP and PVM'!C$186-COUNT(Table2[IC PVM]))/('SGP and PVM'!C$186-'SGP and PVM'!L$188*COUNT(Table2[IC PVM]))+1, "")</f>
        <v/>
      </c>
      <c r="N109" s="13">
        <f ca="1">Table2[[#This Row],[SGP Value]]*N$192+N$193</f>
        <v>-18.557736811356364</v>
      </c>
    </row>
    <row r="110" spans="2:14" hidden="1" x14ac:dyDescent="0.25">
      <c r="B11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6.9446775132891121</v>
      </c>
      <c r="C110">
        <f>Data!D$186/'SGP and PVM'!B$186*Table2[[#This Row],[SGP]]</f>
        <v>8.1111283933113842</v>
      </c>
      <c r="D110">
        <f>((Table2[[#This Row],[SGP]]-B$188)*(Data!D$186-COUNT(Table2[SGP])))/('SGP and PVM'!B$186-'SGP and PVM'!B$188*COUNT(Table2[SGP]))+1</f>
        <v>7.534839043693915</v>
      </c>
      <c r="E110" t="str">
        <f>IF(Table1[[#This Row],[Included?]],Table2[[#This Row],[SGP]],"")</f>
        <v/>
      </c>
      <c r="F110" t="str">
        <f>IF(Table2[[#This Row],[Included SGP]]&lt;&gt;"", Data!D$186/'SGP and PVM'!E$186*Table2[[#This Row],[Included SGP]], "")</f>
        <v/>
      </c>
      <c r="G110" t="str">
        <f>IF(Table2[[#This Row],[CI SGP]]&lt;&gt;"", ((Table2[[#This Row],[CI SGP]]-F$188)*(Data!D$186-COUNT(Table2[CI SGP])))/('SGP and PVM'!F$186-'SGP and PVM'!F$188*COUNT(Table2[CI SGP]))+1, "")</f>
        <v/>
      </c>
      <c r="H110">
        <f>(Table1[[#This Row],[OBP]]-MEDIAN(Table1[OBP]))*Table1[[#This Row],[PA]]</f>
        <v>-0.29902292296665578</v>
      </c>
      <c r="I110">
        <f>360*(Table1[[#This Row],[R]]/Data!H$186+Table1[[#This Row],[HR]]/Data!I$186+Table1[[#This Row],[RBI]]/Data!J$186+Table1[[#This Row],[SB]]/Data!K$186+(Table2[[#This Row],[OBP Diff]]-H$188)/(H$186-H$188*COUNT(Table2[OBP Diff])))</f>
        <v>8.0571796334358723</v>
      </c>
      <c r="J110">
        <f>(Table2[[#This Row],[Crude PVM Value]]-I$188)*('SGP and PVM'!C$186-COUNT(Table2[Crude PVM Value]))/('SGP and PVM'!C$186-'SGP and PVM'!I$188*COUNT(Table2[Crude PVM Value]))+1</f>
        <v>7.2255753277631154</v>
      </c>
      <c r="K110" t="str">
        <f>IF(Table1[[#This Row],[Included?]],Table2[[#This Row],[OBP Diff]],"")</f>
        <v/>
      </c>
      <c r="L11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0" s="13" t="str">
        <f>IF(Table1[[#This Row],[Included?]], (Table2[[#This Row],[IC PVM]]-L$188)*('SGP and PVM'!C$186-COUNT(Table2[IC PVM]))/('SGP and PVM'!C$186-'SGP and PVM'!L$188*COUNT(Table2[IC PVM]))+1, "")</f>
        <v/>
      </c>
      <c r="N110" s="13">
        <f ca="1">Table2[[#This Row],[SGP Value]]*N$192+N$193</f>
        <v>-13.078369670340351</v>
      </c>
    </row>
    <row r="111" spans="2:14" hidden="1" x14ac:dyDescent="0.25">
      <c r="B11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7.8281910350345285</v>
      </c>
      <c r="C111">
        <f>Data!D$186/'SGP and PVM'!B$186*Table2[[#This Row],[SGP]]</f>
        <v>9.1430397525344134</v>
      </c>
      <c r="D111">
        <f>((Table2[[#This Row],[SGP]]-B$188)*(Data!D$186-COUNT(Table2[SGP])))/('SGP and PVM'!B$186-'SGP and PVM'!B$188*COUNT(Table2[SGP]))+1</f>
        <v>8.9010312974286201</v>
      </c>
      <c r="E111" t="str">
        <f>IF(Table1[[#This Row],[Included?]],Table2[[#This Row],[SGP]],"")</f>
        <v/>
      </c>
      <c r="F111" t="str">
        <f>IF(Table2[[#This Row],[Included SGP]]&lt;&gt;"", Data!D$186/'SGP and PVM'!E$186*Table2[[#This Row],[Included SGP]], "")</f>
        <v/>
      </c>
      <c r="G111" t="str">
        <f>IF(Table2[[#This Row],[CI SGP]]&lt;&gt;"", ((Table2[[#This Row],[CI SGP]]-F$188)*(Data!D$186-COUNT(Table2[CI SGP])))/('SGP and PVM'!F$186-'SGP and PVM'!F$188*COUNT(Table2[CI SGP]))+1, "")</f>
        <v/>
      </c>
      <c r="H111">
        <f>(Table1[[#This Row],[OBP]]-MEDIAN(Table1[OBP]))*Table1[[#This Row],[PA]]</f>
        <v>0.36182575667554834</v>
      </c>
      <c r="I111">
        <f>360*(Table1[[#This Row],[R]]/Data!H$186+Table1[[#This Row],[HR]]/Data!I$186+Table1[[#This Row],[RBI]]/Data!J$186+Table1[[#This Row],[SB]]/Data!K$186+(Table2[[#This Row],[OBP Diff]]-H$188)/(H$186-H$188*COUNT(Table2[OBP Diff])))</f>
        <v>9.2712626591042309</v>
      </c>
      <c r="J111">
        <f>(Table2[[#This Row],[Crude PVM Value]]-I$188)*('SGP and PVM'!C$186-COUNT(Table2[Crude PVM Value]))/('SGP and PVM'!C$186-'SGP and PVM'!I$188*COUNT(Table2[Crude PVM Value]))+1</f>
        <v>8.9904903711330473</v>
      </c>
      <c r="K111" t="str">
        <f>IF(Table1[[#This Row],[Included?]],Table2[[#This Row],[OBP Diff]],"")</f>
        <v/>
      </c>
      <c r="L11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1" s="13" t="str">
        <f>IF(Table1[[#This Row],[Included?]], (Table2[[#This Row],[IC PVM]]-L$188)*('SGP and PVM'!C$186-COUNT(Table2[IC PVM]))/('SGP and PVM'!C$186-'SGP and PVM'!L$188*COUNT(Table2[IC PVM]))+1, "")</f>
        <v/>
      </c>
      <c r="N111" s="13">
        <f ca="1">Table2[[#This Row],[SGP Value]]*N$192+N$193</f>
        <v>-4.6700410087414497</v>
      </c>
    </row>
    <row r="112" spans="2:14" hidden="1" x14ac:dyDescent="0.25">
      <c r="B11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6.3349669018686781</v>
      </c>
      <c r="C112">
        <f>Data!D$186/'SGP and PVM'!B$186*Table2[[#This Row],[SGP]]</f>
        <v>7.3990087819209212</v>
      </c>
      <c r="D112">
        <f>((Table2[[#This Row],[SGP]]-B$188)*(Data!D$186-COUNT(Table2[SGP])))/('SGP and PVM'!B$186-'SGP and PVM'!B$188*COUNT(Table2[SGP]))+1</f>
        <v>6.5920329701695897</v>
      </c>
      <c r="E112" t="str">
        <f>IF(Table1[[#This Row],[Included?]],Table2[[#This Row],[SGP]],"")</f>
        <v/>
      </c>
      <c r="F112" t="str">
        <f>IF(Table2[[#This Row],[Included SGP]]&lt;&gt;"", Data!D$186/'SGP and PVM'!E$186*Table2[[#This Row],[Included SGP]], "")</f>
        <v/>
      </c>
      <c r="G112" t="str">
        <f>IF(Table2[[#This Row],[CI SGP]]&lt;&gt;"", ((Table2[[#This Row],[CI SGP]]-F$188)*(Data!D$186-COUNT(Table2[CI SGP])))/('SGP and PVM'!F$186-'SGP and PVM'!F$188*COUNT(Table2[CI SGP]))+1, "")</f>
        <v/>
      </c>
      <c r="H112">
        <f>(Table1[[#This Row],[OBP]]-MEDIAN(Table1[OBP]))*Table1[[#This Row],[PA]]</f>
        <v>-0.71239267222713454</v>
      </c>
      <c r="I112">
        <f>360*(Table1[[#This Row],[R]]/Data!H$186+Table1[[#This Row],[HR]]/Data!I$186+Table1[[#This Row],[RBI]]/Data!J$186+Table1[[#This Row],[SB]]/Data!K$186+(Table2[[#This Row],[OBP Diff]]-H$188)/(H$186-H$188*COUNT(Table2[OBP Diff])))</f>
        <v>6.6256150196009997</v>
      </c>
      <c r="J112">
        <f>(Table2[[#This Row],[Crude PVM Value]]-I$188)*('SGP and PVM'!C$186-COUNT(Table2[Crude PVM Value]))/('SGP and PVM'!C$186-'SGP and PVM'!I$188*COUNT(Table2[Crude PVM Value]))+1</f>
        <v>5.144506843074983</v>
      </c>
      <c r="K112" t="str">
        <f>IF(Table1[[#This Row],[Included?]],Table2[[#This Row],[OBP Diff]],"")</f>
        <v/>
      </c>
      <c r="L11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2" s="13" t="str">
        <f>IF(Table1[[#This Row],[Included?]], (Table2[[#This Row],[IC PVM]]-L$188)*('SGP and PVM'!C$186-COUNT(Table2[IC PVM]))/('SGP and PVM'!C$186-'SGP and PVM'!L$188*COUNT(Table2[IC PVM]))+1, "")</f>
        <v/>
      </c>
      <c r="N112" s="13">
        <f ca="1">Table2[[#This Row],[SGP Value]]*N$192+N$193</f>
        <v>-18.880937580290968</v>
      </c>
    </row>
    <row r="113" spans="2:14" hidden="1" x14ac:dyDescent="0.25">
      <c r="B11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6.6253867897684113</v>
      </c>
      <c r="C113">
        <f>Data!D$186/'SGP and PVM'!B$186*Table2[[#This Row],[SGP]]</f>
        <v>7.7382085495441366</v>
      </c>
      <c r="D113">
        <f>((Table2[[#This Row],[SGP]]-B$188)*(Data!D$186-COUNT(Table2[SGP])))/('SGP and PVM'!B$186-'SGP and PVM'!B$188*COUNT(Table2[SGP]))+1</f>
        <v>7.0411142704707812</v>
      </c>
      <c r="E113" t="str">
        <f>IF(Table1[[#This Row],[Included?]],Table2[[#This Row],[SGP]],"")</f>
        <v/>
      </c>
      <c r="F113" t="str">
        <f>IF(Table2[[#This Row],[Included SGP]]&lt;&gt;"", Data!D$186/'SGP and PVM'!E$186*Table2[[#This Row],[Included SGP]], "")</f>
        <v/>
      </c>
      <c r="G113" t="str">
        <f>IF(Table2[[#This Row],[CI SGP]]&lt;&gt;"", ((Table2[[#This Row],[CI SGP]]-F$188)*(Data!D$186-COUNT(Table2[CI SGP])))/('SGP and PVM'!F$186-'SGP and PVM'!F$188*COUNT(Table2[CI SGP]))+1, "")</f>
        <v/>
      </c>
      <c r="H113">
        <f>(Table1[[#This Row],[OBP]]-MEDIAN(Table1[OBP]))*Table1[[#This Row],[PA]]</f>
        <v>-0.40522680787478138</v>
      </c>
      <c r="I113">
        <f>360*(Table1[[#This Row],[R]]/Data!H$186+Table1[[#This Row],[HR]]/Data!I$186+Table1[[#This Row],[RBI]]/Data!J$186+Table1[[#This Row],[SB]]/Data!K$186+(Table2[[#This Row],[OBP Diff]]-H$188)/(H$186-H$188*COUNT(Table2[OBP Diff])))</f>
        <v>7.2514710401888616</v>
      </c>
      <c r="J113">
        <f>(Table2[[#This Row],[Crude PVM Value]]-I$188)*('SGP and PVM'!C$186-COUNT(Table2[Crude PVM Value]))/('SGP and PVM'!C$186-'SGP and PVM'!I$188*COUNT(Table2[Crude PVM Value]))+1</f>
        <v>6.0543150541823589</v>
      </c>
      <c r="K113" t="str">
        <f>IF(Table1[[#This Row],[Included?]],Table2[[#This Row],[OBP Diff]],"")</f>
        <v/>
      </c>
      <c r="L11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3" s="13" t="str">
        <f>IF(Table1[[#This Row],[Included?]], (Table2[[#This Row],[IC PVM]]-L$188)*('SGP and PVM'!C$186-COUNT(Table2[IC PVM]))/('SGP and PVM'!C$186-'SGP and PVM'!L$188*COUNT(Table2[IC PVM]))+1, "")</f>
        <v/>
      </c>
      <c r="N113" s="13">
        <f ca="1">Table2[[#This Row],[SGP Value]]*N$192+N$193</f>
        <v>-16.117034360675831</v>
      </c>
    </row>
    <row r="114" spans="2:14" hidden="1" x14ac:dyDescent="0.25">
      <c r="B11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7.6298076209854955</v>
      </c>
      <c r="C114">
        <f>Data!D$186/'SGP and PVM'!B$186*Table2[[#This Row],[SGP]]</f>
        <v>8.9113352076687935</v>
      </c>
      <c r="D114">
        <f>((Table2[[#This Row],[SGP]]-B$188)*(Data!D$186-COUNT(Table2[SGP])))/('SGP and PVM'!B$186-'SGP and PVM'!B$188*COUNT(Table2[SGP]))+1</f>
        <v>8.5942675899442076</v>
      </c>
      <c r="E114" t="str">
        <f>IF(Table1[[#This Row],[Included?]],Table2[[#This Row],[SGP]],"")</f>
        <v/>
      </c>
      <c r="F114" t="str">
        <f>IF(Table2[[#This Row],[Included SGP]]&lt;&gt;"", Data!D$186/'SGP and PVM'!E$186*Table2[[#This Row],[Included SGP]], "")</f>
        <v/>
      </c>
      <c r="G114" t="str">
        <f>IF(Table2[[#This Row],[CI SGP]]&lt;&gt;"", ((Table2[[#This Row],[CI SGP]]-F$188)*(Data!D$186-COUNT(Table2[CI SGP])))/('SGP and PVM'!F$186-'SGP and PVM'!F$188*COUNT(Table2[CI SGP]))+1, "")</f>
        <v/>
      </c>
      <c r="H114">
        <f>(Table1[[#This Row],[OBP]]-MEDIAN(Table1[OBP]))*Table1[[#This Row],[PA]]</f>
        <v>-9.3944917405711606E-2</v>
      </c>
      <c r="I114">
        <f>360*(Table1[[#This Row],[R]]/Data!H$186+Table1[[#This Row],[HR]]/Data!I$186+Table1[[#This Row],[RBI]]/Data!J$186+Table1[[#This Row],[SB]]/Data!K$186+(Table2[[#This Row],[OBP Diff]]-H$188)/(H$186-H$188*COUNT(Table2[OBP Diff])))</f>
        <v>9.7997574169129624</v>
      </c>
      <c r="J114">
        <f>(Table2[[#This Row],[Crude PVM Value]]-I$188)*('SGP and PVM'!C$186-COUNT(Table2[Crude PVM Value]))/('SGP and PVM'!C$186-'SGP and PVM'!I$188*COUNT(Table2[Crude PVM Value]))+1</f>
        <v>9.7587643101293509</v>
      </c>
      <c r="K114" t="str">
        <f>IF(Table1[[#This Row],[Included?]],Table2[[#This Row],[OBP Diff]],"")</f>
        <v/>
      </c>
      <c r="L11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4" s="13" t="str">
        <f>IF(Table1[[#This Row],[Included?]], (Table2[[#This Row],[IC PVM]]-L$188)*('SGP and PVM'!C$186-COUNT(Table2[IC PVM]))/('SGP and PVM'!C$186-'SGP and PVM'!L$188*COUNT(Table2[IC PVM]))+1, "")</f>
        <v/>
      </c>
      <c r="N114" s="13">
        <f ca="1">Table2[[#This Row],[SGP Value]]*N$192+N$193</f>
        <v>-6.5580403491918133</v>
      </c>
    </row>
    <row r="115" spans="2:14" hidden="1" x14ac:dyDescent="0.25">
      <c r="B11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8.5197004282036453</v>
      </c>
      <c r="C115">
        <f>Data!D$186/'SGP and PVM'!B$186*Table2[[#This Row],[SGP]]</f>
        <v>9.9506973381375605</v>
      </c>
      <c r="D115">
        <f>((Table2[[#This Row],[SGP]]-B$188)*(Data!D$186-COUNT(Table2[SGP])))/('SGP and PVM'!B$186-'SGP and PVM'!B$188*COUNT(Table2[SGP]))+1</f>
        <v>9.9703242432412296</v>
      </c>
      <c r="E115" t="str">
        <f>IF(Table1[[#This Row],[Included?]],Table2[[#This Row],[SGP]],"")</f>
        <v/>
      </c>
      <c r="F115" t="str">
        <f>IF(Table2[[#This Row],[Included SGP]]&lt;&gt;"", Data!D$186/'SGP and PVM'!E$186*Table2[[#This Row],[Included SGP]], "")</f>
        <v/>
      </c>
      <c r="G115" t="str">
        <f>IF(Table2[[#This Row],[CI SGP]]&lt;&gt;"", ((Table2[[#This Row],[CI SGP]]-F$188)*(Data!D$186-COUNT(Table2[CI SGP])))/('SGP and PVM'!F$186-'SGP and PVM'!F$188*COUNT(Table2[CI SGP]))+1, "")</f>
        <v/>
      </c>
      <c r="H115">
        <f>(Table1[[#This Row],[OBP]]-MEDIAN(Table1[OBP]))*Table1[[#This Row],[PA]]</f>
        <v>-0.18310960843828653</v>
      </c>
      <c r="I115">
        <f>360*(Table1[[#This Row],[R]]/Data!H$186+Table1[[#This Row],[HR]]/Data!I$186+Table1[[#This Row],[RBI]]/Data!J$186+Table1[[#This Row],[SB]]/Data!K$186+(Table2[[#This Row],[OBP Diff]]-H$188)/(H$186-H$188*COUNT(Table2[OBP Diff])))</f>
        <v>9.2973073361742085</v>
      </c>
      <c r="J115">
        <f>(Table2[[#This Row],[Crude PVM Value]]-I$188)*('SGP and PVM'!C$186-COUNT(Table2[Crude PVM Value]))/('SGP and PVM'!C$186-'SGP and PVM'!I$188*COUNT(Table2[Crude PVM Value]))+1</f>
        <v>9.0283515728702266</v>
      </c>
      <c r="K115" t="str">
        <f>IF(Table1[[#This Row],[Included?]],Table2[[#This Row],[OBP Diff]],"")</f>
        <v/>
      </c>
      <c r="L11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5" s="13" t="str">
        <f>IF(Table1[[#This Row],[Included?]], (Table2[[#This Row],[IC PVM]]-L$188)*('SGP and PVM'!C$186-COUNT(Table2[IC PVM]))/('SGP and PVM'!C$186-'SGP and PVM'!L$188*COUNT(Table2[IC PVM]))+1, "")</f>
        <v/>
      </c>
      <c r="N115" s="13">
        <f ca="1">Table2[[#This Row],[SGP Value]]*N$192+N$193</f>
        <v>1.9109994702566198</v>
      </c>
    </row>
    <row r="116" spans="2:14" hidden="1" x14ac:dyDescent="0.25">
      <c r="B11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8.3862729320384055</v>
      </c>
      <c r="C116">
        <f>Data!D$186/'SGP and PVM'!B$186*Table2[[#This Row],[SGP]]</f>
        <v>9.7948589207994807</v>
      </c>
      <c r="D116">
        <f>((Table2[[#This Row],[SGP]]-B$188)*(Data!D$186-COUNT(Table2[SGP])))/('SGP and PVM'!B$186-'SGP and PVM'!B$188*COUNT(Table2[SGP]))+1</f>
        <v>9.7640029960733887</v>
      </c>
      <c r="E116" t="str">
        <f>IF(Table1[[#This Row],[Included?]],Table2[[#This Row],[SGP]],"")</f>
        <v/>
      </c>
      <c r="F116" t="str">
        <f>IF(Table2[[#This Row],[Included SGP]]&lt;&gt;"", Data!D$186/'SGP and PVM'!E$186*Table2[[#This Row],[Included SGP]], "")</f>
        <v/>
      </c>
      <c r="G116" t="str">
        <f>IF(Table2[[#This Row],[CI SGP]]&lt;&gt;"", ((Table2[[#This Row],[CI SGP]]-F$188)*(Data!D$186-COUNT(Table2[CI SGP])))/('SGP and PVM'!F$186-'SGP and PVM'!F$188*COUNT(Table2[CI SGP]))+1, "")</f>
        <v/>
      </c>
      <c r="H116">
        <f>(Table1[[#This Row],[OBP]]-MEDIAN(Table1[OBP]))*Table1[[#This Row],[PA]]</f>
        <v>-2.8629706104353718E-2</v>
      </c>
      <c r="I116">
        <f>360*(Table1[[#This Row],[R]]/Data!H$186+Table1[[#This Row],[HR]]/Data!I$186+Table1[[#This Row],[RBI]]/Data!J$186+Table1[[#This Row],[SB]]/Data!K$186+(Table2[[#This Row],[OBP Diff]]-H$188)/(H$186-H$188*COUNT(Table2[OBP Diff])))</f>
        <v>9.0457324838182309</v>
      </c>
      <c r="J116">
        <f>(Table2[[#This Row],[Crude PVM Value]]-I$188)*('SGP and PVM'!C$186-COUNT(Table2[Crude PVM Value]))/('SGP and PVM'!C$186-'SGP and PVM'!I$188*COUNT(Table2[Crude PVM Value]))+1</f>
        <v>8.6626366818213185</v>
      </c>
      <c r="K116" t="str">
        <f>IF(Table1[[#This Row],[Included?]],Table2[[#This Row],[OBP Diff]],"")</f>
        <v/>
      </c>
      <c r="L11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16" s="13" t="str">
        <f>IF(Table1[[#This Row],[Included?]], (Table2[[#This Row],[IC PVM]]-L$188)*('SGP and PVM'!C$186-COUNT(Table2[IC PVM]))/('SGP and PVM'!C$186-'SGP and PVM'!L$188*COUNT(Table2[IC PVM]))+1, "")</f>
        <v/>
      </c>
      <c r="N116" s="13">
        <f ca="1">Table2[[#This Row],[SGP Value]]*N$192+N$193</f>
        <v>0.64118048883889145</v>
      </c>
    </row>
    <row r="117" spans="2:14" hidden="1" x14ac:dyDescent="0.25">
      <c r="B11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9.746448189671753</v>
      </c>
      <c r="C117">
        <f>Data!D$186/'SGP and PVM'!B$186*Table2[[#This Row],[SGP]]</f>
        <v>11.3834936890746</v>
      </c>
      <c r="D117">
        <f>((Table2[[#This Row],[SGP]]-B$188)*(Data!D$186-COUNT(Table2[SGP])))/('SGP and PVM'!B$186-'SGP and PVM'!B$188*COUNT(Table2[SGP]))+1</f>
        <v>11.867265543803514</v>
      </c>
      <c r="E117">
        <f>IF(Table1[[#This Row],[Included?]],Table2[[#This Row],[SGP]],"")</f>
        <v>9.746448189671753</v>
      </c>
      <c r="F117">
        <f>IF(Table2[[#This Row],[Included SGP]]&lt;&gt;"", Data!D$186/'SGP and PVM'!E$186*Table2[[#This Row],[Included SGP]], "")</f>
        <v>19.169128033131141</v>
      </c>
      <c r="G117">
        <f>IF(Table2[[#This Row],[CI SGP]]&lt;&gt;"", ((Table2[[#This Row],[CI SGP]]-F$188)*(Data!D$186-COUNT(Table2[CI SGP])))/('SGP and PVM'!F$186-'SGP and PVM'!F$188*COUNT(Table2[CI SGP]))+1, "")</f>
        <v>17.687115337790328</v>
      </c>
      <c r="H117">
        <f>(Table1[[#This Row],[OBP]]-MEDIAN(Table1[OBP]))*Table1[[#This Row],[PA]]</f>
        <v>0.29355271158522905</v>
      </c>
      <c r="I117">
        <f>360*(Table1[[#This Row],[R]]/Data!H$186+Table1[[#This Row],[HR]]/Data!I$186+Table1[[#This Row],[RBI]]/Data!J$186+Table1[[#This Row],[SB]]/Data!K$186+(Table2[[#This Row],[OBP Diff]]-H$188)/(H$186-H$188*COUNT(Table2[OBP Diff])))</f>
        <v>12.309540502627163</v>
      </c>
      <c r="J117">
        <f>(Table2[[#This Row],[Crude PVM Value]]-I$188)*('SGP and PVM'!C$186-COUNT(Table2[Crude PVM Value]))/('SGP and PVM'!C$186-'SGP and PVM'!I$188*COUNT(Table2[Crude PVM Value]))+1</f>
        <v>13.407241251097952</v>
      </c>
      <c r="K117">
        <f>IF(Table1[[#This Row],[Included?]],Table2[[#This Row],[OBP Diff]],"")</f>
        <v>0.29355271158522905</v>
      </c>
      <c r="L117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20.166288550683351</v>
      </c>
      <c r="M117" s="13">
        <f>IF(Table1[[#This Row],[Included?]], (Table2[[#This Row],[IC PVM]]-L$188)*('SGP and PVM'!C$186-COUNT(Table2[IC PVM]))/('SGP and PVM'!C$186-'SGP and PVM'!L$188*COUNT(Table2[IC PVM]))+1, "")</f>
        <v>20.435425428013776</v>
      </c>
      <c r="N117" s="13">
        <f ca="1">Table2[[#This Row],[SGP Value]]*N$192+N$193</f>
        <v>13.585861381738255</v>
      </c>
    </row>
    <row r="118" spans="2:14" hidden="1" x14ac:dyDescent="0.25">
      <c r="B11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9.0395591875227872</v>
      </c>
      <c r="C118">
        <f>Data!D$186/'SGP and PVM'!B$186*Table2[[#This Row],[SGP]]</f>
        <v>10.557873284775297</v>
      </c>
      <c r="D118">
        <f>((Table2[[#This Row],[SGP]]-B$188)*(Data!D$186-COUNT(Table2[SGP])))/('SGP and PVM'!B$186-'SGP and PVM'!B$188*COUNT(Table2[SGP]))+1</f>
        <v>10.774190842379252</v>
      </c>
      <c r="E118">
        <f>IF(Table1[[#This Row],[Included?]],Table2[[#This Row],[SGP]],"")</f>
        <v>9.0395591875227872</v>
      </c>
      <c r="F118">
        <f>IF(Table2[[#This Row],[Included SGP]]&lt;&gt;"", Data!D$186/'SGP and PVM'!E$186*Table2[[#This Row],[Included SGP]], "")</f>
        <v>17.778832253201262</v>
      </c>
      <c r="G118">
        <f>IF(Table2[[#This Row],[CI SGP]]&lt;&gt;"", ((Table2[[#This Row],[CI SGP]]-F$188)*(Data!D$186-COUNT(Table2[CI SGP])))/('SGP and PVM'!F$186-'SGP and PVM'!F$188*COUNT(Table2[CI SGP]))+1, "")</f>
        <v>13.816971785526077</v>
      </c>
      <c r="H118">
        <f>(Table1[[#This Row],[OBP]]-MEDIAN(Table1[OBP]))*Table1[[#This Row],[PA]]</f>
        <v>-0.11009317972667491</v>
      </c>
      <c r="I118">
        <f>360*(Table1[[#This Row],[R]]/Data!H$186+Table1[[#This Row],[HR]]/Data!I$186+Table1[[#This Row],[RBI]]/Data!J$186+Table1[[#This Row],[SB]]/Data!K$186+(Table2[[#This Row],[OBP Diff]]-H$188)/(H$186-H$188*COUNT(Table2[OBP Diff])))</f>
        <v>10.838714099015691</v>
      </c>
      <c r="J118">
        <f>(Table2[[#This Row],[Crude PVM Value]]-I$188)*('SGP and PVM'!C$186-COUNT(Table2[Crude PVM Value]))/('SGP and PVM'!C$186-'SGP and PVM'!I$188*COUNT(Table2[Crude PVM Value]))+1</f>
        <v>11.269097820181823</v>
      </c>
      <c r="K118">
        <f>IF(Table1[[#This Row],[Included?]],Table2[[#This Row],[OBP Diff]],"")</f>
        <v>-0.11009317972667491</v>
      </c>
      <c r="L118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17.644028798832117</v>
      </c>
      <c r="M118" s="13">
        <f>IF(Table1[[#This Row],[Included?]], (Table2[[#This Row],[IC PVM]]-L$188)*('SGP and PVM'!C$186-COUNT(Table2[IC PVM]))/('SGP and PVM'!C$186-'SGP and PVM'!L$188*COUNT(Table2[IC PVM]))+1, "")</f>
        <v>13.830905588863159</v>
      </c>
      <c r="N118" s="13">
        <f ca="1">Table2[[#This Row],[SGP Value]]*N$192+N$193</f>
        <v>6.8584543743208002</v>
      </c>
    </row>
    <row r="119" spans="2:14" hidden="1" x14ac:dyDescent="0.25">
      <c r="B11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8.6138123078190674</v>
      </c>
      <c r="C119">
        <f>Data!D$186/'SGP and PVM'!B$186*Table2[[#This Row],[SGP]]</f>
        <v>10.060616558639278</v>
      </c>
      <c r="D119">
        <f>((Table2[[#This Row],[SGP]]-B$188)*(Data!D$186-COUNT(Table2[SGP])))/('SGP and PVM'!B$186-'SGP and PVM'!B$188*COUNT(Table2[SGP]))+1</f>
        <v>10.115851071920657</v>
      </c>
      <c r="E119">
        <f>IF(Table1[[#This Row],[Included?]],Table2[[#This Row],[SGP]],"")</f>
        <v>8.6138123078190674</v>
      </c>
      <c r="F119">
        <f>IF(Table2[[#This Row],[Included SGP]]&lt;&gt;"", Data!D$186/'SGP and PVM'!E$186*Table2[[#This Row],[Included SGP]], "")</f>
        <v>16.941481426733521</v>
      </c>
      <c r="G119">
        <f>IF(Table2[[#This Row],[CI SGP]]&lt;&gt;"", ((Table2[[#This Row],[CI SGP]]-F$188)*(Data!D$186-COUNT(Table2[CI SGP])))/('SGP and PVM'!F$186-'SGP and PVM'!F$188*COUNT(Table2[CI SGP]))+1, "")</f>
        <v>11.486052028148466</v>
      </c>
      <c r="H119">
        <f>(Table1[[#This Row],[OBP]]-MEDIAN(Table1[OBP]))*Table1[[#This Row],[PA]]</f>
        <v>0.35690521745866283</v>
      </c>
      <c r="I119">
        <f>360*(Table1[[#This Row],[R]]/Data!H$186+Table1[[#This Row],[HR]]/Data!I$186+Table1[[#This Row],[RBI]]/Data!J$186+Table1[[#This Row],[SB]]/Data!K$186+(Table2[[#This Row],[OBP Diff]]-H$188)/(H$186-H$188*COUNT(Table2[OBP Diff])))</f>
        <v>11.031382769862162</v>
      </c>
      <c r="J119">
        <f>(Table2[[#This Row],[Crude PVM Value]]-I$188)*('SGP and PVM'!C$186-COUNT(Table2[Crude PVM Value]))/('SGP and PVM'!C$186-'SGP and PVM'!I$188*COUNT(Table2[Crude PVM Value]))+1</f>
        <v>11.549180671497391</v>
      </c>
      <c r="K119">
        <f>IF(Table1[[#This Row],[Included?]],Table2[[#This Row],[OBP Diff]],"")</f>
        <v>0.35690521745866283</v>
      </c>
      <c r="L11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18.086458617640599</v>
      </c>
      <c r="M119" s="13">
        <f>IF(Table1[[#This Row],[Included?]], (Table2[[#This Row],[IC PVM]]-L$188)*('SGP and PVM'!C$186-COUNT(Table2[IC PVM]))/('SGP and PVM'!C$186-'SGP and PVM'!L$188*COUNT(Table2[IC PVM]))+1, "")</f>
        <v>14.989405031122336</v>
      </c>
      <c r="N119" s="13">
        <f ca="1">Table2[[#This Row],[SGP Value]]*N$192+N$193</f>
        <v>2.8066548227678183</v>
      </c>
    </row>
    <row r="120" spans="2:14" hidden="1" x14ac:dyDescent="0.25">
      <c r="B12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6.710948393251428</v>
      </c>
      <c r="C120">
        <f>Data!D$186/'SGP and PVM'!B$186*Table2[[#This Row],[SGP]]</f>
        <v>7.8381413614076569</v>
      </c>
      <c r="D120">
        <f>((Table2[[#This Row],[SGP]]-B$188)*(Data!D$186-COUNT(Table2[SGP])))/('SGP and PVM'!B$186-'SGP and PVM'!B$188*COUNT(Table2[SGP]))+1</f>
        <v>7.1734196591474468</v>
      </c>
      <c r="E120">
        <f>IF(Table1[[#This Row],[Included?]],Table2[[#This Row],[SGP]],"")</f>
        <v>6.710948393251428</v>
      </c>
      <c r="F120">
        <f>IF(Table2[[#This Row],[Included SGP]]&lt;&gt;"", Data!D$186/'SGP and PVM'!E$186*Table2[[#This Row],[Included SGP]], "")</f>
        <v>13.198965045573679</v>
      </c>
      <c r="G120">
        <f>IF(Table2[[#This Row],[CI SGP]]&lt;&gt;"", ((Table2[[#This Row],[CI SGP]]-F$188)*(Data!D$186-COUNT(Table2[CI SGP])))/('SGP and PVM'!F$186-'SGP and PVM'!F$188*COUNT(Table2[CI SGP]))+1, "")</f>
        <v>1.0680705806901276</v>
      </c>
      <c r="H120">
        <f>(Table1[[#This Row],[OBP]]-MEDIAN(Table1[OBP]))*Table1[[#This Row],[PA]]</f>
        <v>0.21282991658581948</v>
      </c>
      <c r="I120">
        <f>360*(Table1[[#This Row],[R]]/Data!H$186+Table1[[#This Row],[HR]]/Data!I$186+Table1[[#This Row],[RBI]]/Data!J$186+Table1[[#This Row],[SB]]/Data!K$186+(Table2[[#This Row],[OBP Diff]]-H$188)/(H$186-H$188*COUNT(Table2[OBP Diff])))</f>
        <v>7.6388201740014505</v>
      </c>
      <c r="J120">
        <f>(Table2[[#This Row],[Crude PVM Value]]-I$188)*('SGP and PVM'!C$186-COUNT(Table2[Crude PVM Value]))/('SGP and PVM'!C$186-'SGP and PVM'!I$188*COUNT(Table2[Crude PVM Value]))+1</f>
        <v>6.617405303241565</v>
      </c>
      <c r="K120">
        <f>IF(Table1[[#This Row],[Included?]],Table2[[#This Row],[OBP Diff]],"")</f>
        <v>0.21282991658581948</v>
      </c>
      <c r="L12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12.743918338908861</v>
      </c>
      <c r="M120" s="13">
        <f>IF(Table1[[#This Row],[Included?]], (Table2[[#This Row],[IC PVM]]-L$188)*('SGP and PVM'!C$186-COUNT(Table2[IC PVM]))/('SGP and PVM'!C$186-'SGP and PVM'!L$188*COUNT(Table2[IC PVM]))+1, "")</f>
        <v>1</v>
      </c>
      <c r="N120" s="13">
        <f ca="1">Table2[[#This Row],[SGP Value]]*N$192+N$193</f>
        <v>-15.302751313284155</v>
      </c>
    </row>
    <row r="121" spans="2:14" hidden="1" x14ac:dyDescent="0.25">
      <c r="B12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7.4448296829404814</v>
      </c>
      <c r="C121">
        <f>Data!D$186/'SGP and PVM'!B$186*Table2[[#This Row],[SGP]]</f>
        <v>8.6952877666548627</v>
      </c>
      <c r="D121">
        <f>((Table2[[#This Row],[SGP]]-B$188)*(Data!D$186-COUNT(Table2[SGP])))/('SGP and PVM'!B$186-'SGP and PVM'!B$188*COUNT(Table2[SGP]))+1</f>
        <v>8.3082330020754611</v>
      </c>
      <c r="E121">
        <f>IF(Table1[[#This Row],[Included?]],Table2[[#This Row],[SGP]],"")</f>
        <v>7.4448296829404814</v>
      </c>
      <c r="F121">
        <f>IF(Table2[[#This Row],[Included SGP]]&lt;&gt;"", Data!D$186/'SGP and PVM'!E$186*Table2[[#This Row],[Included SGP]], "")</f>
        <v>14.642348740782412</v>
      </c>
      <c r="G121">
        <f>IF(Table2[[#This Row],[CI SGP]]&lt;&gt;"", ((Table2[[#This Row],[CI SGP]]-F$188)*(Data!D$186-COUNT(Table2[CI SGP])))/('SGP and PVM'!F$186-'SGP and PVM'!F$188*COUNT(Table2[CI SGP]))+1, "")</f>
        <v>5.0859940917124842</v>
      </c>
      <c r="H121">
        <f>(Table1[[#This Row],[OBP]]-MEDIAN(Table1[OBP]))*Table1[[#This Row],[PA]]</f>
        <v>0.40209168475262641</v>
      </c>
      <c r="I121">
        <f>360*(Table1[[#This Row],[R]]/Data!H$186+Table1[[#This Row],[HR]]/Data!I$186+Table1[[#This Row],[RBI]]/Data!J$186+Table1[[#This Row],[SB]]/Data!K$186+(Table2[[#This Row],[OBP Diff]]-H$188)/(H$186-H$188*COUNT(Table2[OBP Diff])))</f>
        <v>8.4732787787380399</v>
      </c>
      <c r="J121">
        <f>(Table2[[#This Row],[Crude PVM Value]]-I$188)*('SGP and PVM'!C$186-COUNT(Table2[Crude PVM Value]))/('SGP and PVM'!C$186-'SGP and PVM'!I$188*COUNT(Table2[Crude PVM Value]))+1</f>
        <v>7.8304595288851004</v>
      </c>
      <c r="K121">
        <f>IF(Table1[[#This Row],[Included?]],Table2[[#This Row],[OBP Diff]],"")</f>
        <v>0.40209168475262641</v>
      </c>
      <c r="L12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14.23846009721853</v>
      </c>
      <c r="M121" s="13">
        <f>IF(Table1[[#This Row],[Included?]], (Table2[[#This Row],[IC PVM]]-L$188)*('SGP and PVM'!C$186-COUNT(Table2[IC PVM]))/('SGP and PVM'!C$186-'SGP and PVM'!L$188*COUNT(Table2[IC PVM]))+1, "")</f>
        <v>4.9134473306924678</v>
      </c>
      <c r="N121" s="13">
        <f ca="1">Table2[[#This Row],[SGP Value]]*N$192+N$193</f>
        <v>-8.3184608294066322</v>
      </c>
    </row>
    <row r="122" spans="2:14" hidden="1" x14ac:dyDescent="0.25">
      <c r="B12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7.5645464240492188</v>
      </c>
      <c r="C122">
        <f>Data!D$186/'SGP and PVM'!B$186*Table2[[#This Row],[SGP]]</f>
        <v>8.8351125254148819</v>
      </c>
      <c r="D122">
        <f>((Table2[[#This Row],[SGP]]-B$188)*(Data!D$186-COUNT(Table2[SGP])))/('SGP and PVM'!B$186-'SGP and PVM'!B$188*COUNT(Table2[SGP]))+1</f>
        <v>8.4933530713439058</v>
      </c>
      <c r="E122">
        <f>IF(Table1[[#This Row],[Included?]],Table2[[#This Row],[SGP]],"")</f>
        <v>7.5645464240492188</v>
      </c>
      <c r="F122">
        <f>IF(Table2[[#This Row],[Included SGP]]&lt;&gt;"", Data!D$186/'SGP and PVM'!E$186*Table2[[#This Row],[Included SGP]], "")</f>
        <v>14.87780533926456</v>
      </c>
      <c r="G122">
        <f>IF(Table2[[#This Row],[CI SGP]]&lt;&gt;"", ((Table2[[#This Row],[CI SGP]]-F$188)*(Data!D$186-COUNT(Table2[CI SGP])))/('SGP and PVM'!F$186-'SGP and PVM'!F$188*COUNT(Table2[CI SGP]))+1, "")</f>
        <v>5.7414307618142368</v>
      </c>
      <c r="H122">
        <f>(Table1[[#This Row],[OBP]]-MEDIAN(Table1[OBP]))*Table1[[#This Row],[PA]]</f>
        <v>0.15824411093625484</v>
      </c>
      <c r="I122">
        <f>360*(Table1[[#This Row],[R]]/Data!H$186+Table1[[#This Row],[HR]]/Data!I$186+Table1[[#This Row],[RBI]]/Data!J$186+Table1[[#This Row],[SB]]/Data!K$186+(Table2[[#This Row],[OBP Diff]]-H$188)/(H$186-H$188*COUNT(Table2[OBP Diff])))</f>
        <v>8.3743108871873364</v>
      </c>
      <c r="J122">
        <f>(Table2[[#This Row],[Crude PVM Value]]-I$188)*('SGP and PVM'!C$186-COUNT(Table2[Crude PVM Value]))/('SGP and PVM'!C$186-'SGP and PVM'!I$188*COUNT(Table2[Crude PVM Value]))+1</f>
        <v>7.6865896971556893</v>
      </c>
      <c r="K122">
        <f>IF(Table1[[#This Row],[Included?]],Table2[[#This Row],[OBP Diff]],"")</f>
        <v>0.15824411093625484</v>
      </c>
      <c r="L122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13.994197398715498</v>
      </c>
      <c r="M122" s="13">
        <f>IF(Table1[[#This Row],[Included?]], (Table2[[#This Row],[IC PVM]]-L$188)*('SGP and PVM'!C$186-COUNT(Table2[IC PVM]))/('SGP and PVM'!C$186-'SGP and PVM'!L$188*COUNT(Table2[IC PVM]))+1, "")</f>
        <v>4.273847132083386</v>
      </c>
      <c r="N122" s="13">
        <f ca="1">Table2[[#This Row],[SGP Value]]*N$192+N$193</f>
        <v>-7.1791260249441109</v>
      </c>
    </row>
    <row r="123" spans="2:14" hidden="1" x14ac:dyDescent="0.25">
      <c r="B12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9.5000316909992506</v>
      </c>
      <c r="C123">
        <f>Data!D$186/'SGP and PVM'!B$186*Table2[[#This Row],[SGP]]</f>
        <v>11.095688264684735</v>
      </c>
      <c r="D123">
        <f>((Table2[[#This Row],[SGP]]-B$188)*(Data!D$186-COUNT(Table2[SGP])))/('SGP and PVM'!B$186-'SGP and PVM'!B$188*COUNT(Table2[SGP]))+1</f>
        <v>11.486227446034812</v>
      </c>
      <c r="E123">
        <f>IF(Table1[[#This Row],[Included?]],Table2[[#This Row],[SGP]],"")</f>
        <v>9.5000316909992506</v>
      </c>
      <c r="F123">
        <f>IF(Table2[[#This Row],[Included SGP]]&lt;&gt;"", Data!D$186/'SGP and PVM'!E$186*Table2[[#This Row],[Included SGP]], "")</f>
        <v>18.684480772856919</v>
      </c>
      <c r="G123">
        <f>IF(Table2[[#This Row],[CI SGP]]&lt;&gt;"", ((Table2[[#This Row],[CI SGP]]-F$188)*(Data!D$186-COUNT(Table2[CI SGP])))/('SGP and PVM'!F$186-'SGP and PVM'!F$188*COUNT(Table2[CI SGP]))+1, "")</f>
        <v>16.338010710883228</v>
      </c>
      <c r="H123">
        <f>(Table1[[#This Row],[OBP]]-MEDIAN(Table1[OBP]))*Table1[[#This Row],[PA]]</f>
        <v>-2.9333892090598966E-2</v>
      </c>
      <c r="I123">
        <f>360*(Table1[[#This Row],[R]]/Data!H$186+Table1[[#This Row],[HR]]/Data!I$186+Table1[[#This Row],[RBI]]/Data!J$186+Table1[[#This Row],[SB]]/Data!K$186+(Table2[[#This Row],[OBP Diff]]-H$188)/(H$186-H$188*COUNT(Table2[OBP Diff])))</f>
        <v>12.898457327858786</v>
      </c>
      <c r="J123">
        <f>(Table2[[#This Row],[Crude PVM Value]]-I$188)*('SGP and PVM'!C$186-COUNT(Table2[Crude PVM Value]))/('SGP and PVM'!C$186-'SGP and PVM'!I$188*COUNT(Table2[Crude PVM Value]))+1</f>
        <v>14.263350876362475</v>
      </c>
      <c r="K123">
        <f>IF(Table1[[#This Row],[Included?]],Table2[[#This Row],[OBP Diff]],"")</f>
        <v>-2.9333892090598966E-2</v>
      </c>
      <c r="L123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20.643614946473374</v>
      </c>
      <c r="M123" s="13">
        <f>IF(Table1[[#This Row],[Included?]], (Table2[[#This Row],[IC PVM]]-L$188)*('SGP and PVM'!C$186-COUNT(Table2[IC PVM]))/('SGP and PVM'!C$186-'SGP and PVM'!L$188*COUNT(Table2[IC PVM]))+1, "")</f>
        <v>21.685301317454446</v>
      </c>
      <c r="N123" s="13">
        <f ca="1">Table2[[#This Row],[SGP Value]]*N$192+N$193</f>
        <v>11.240734954713545</v>
      </c>
    </row>
    <row r="124" spans="2:14" hidden="1" x14ac:dyDescent="0.25">
      <c r="B12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6.9155858362737543</v>
      </c>
      <c r="C124">
        <f>Data!D$186/'SGP and PVM'!B$186*Table2[[#This Row],[SGP]]</f>
        <v>8.0771503825258897</v>
      </c>
      <c r="D124">
        <f>((Table2[[#This Row],[SGP]]-B$188)*(Data!D$186-COUNT(Table2[SGP])))/('SGP and PVM'!B$186-'SGP and PVM'!B$188*COUNT(Table2[SGP]))+1</f>
        <v>7.4898540799007023</v>
      </c>
      <c r="E124" t="str">
        <f>IF(Table1[[#This Row],[Included?]],Table2[[#This Row],[SGP]],"")</f>
        <v/>
      </c>
      <c r="F124" t="str">
        <f>IF(Table2[[#This Row],[Included SGP]]&lt;&gt;"", Data!D$186/'SGP and PVM'!E$186*Table2[[#This Row],[Included SGP]], "")</f>
        <v/>
      </c>
      <c r="G124" t="str">
        <f>IF(Table2[[#This Row],[CI SGP]]&lt;&gt;"", ((Table2[[#This Row],[CI SGP]]-F$188)*(Data!D$186-COUNT(Table2[CI SGP])))/('SGP and PVM'!F$186-'SGP and PVM'!F$188*COUNT(Table2[CI SGP]))+1, "")</f>
        <v/>
      </c>
      <c r="H124">
        <f>(Table1[[#This Row],[OBP]]-MEDIAN(Table1[OBP]))*Table1[[#This Row],[PA]]</f>
        <v>-0.95834159531702812</v>
      </c>
      <c r="I124">
        <f>360*(Table1[[#This Row],[R]]/Data!H$186+Table1[[#This Row],[HR]]/Data!I$186+Table1[[#This Row],[RBI]]/Data!J$186+Table1[[#This Row],[SB]]/Data!K$186+(Table2[[#This Row],[OBP Diff]]-H$188)/(H$186-H$188*COUNT(Table2[OBP Diff])))</f>
        <v>6.803491393957839</v>
      </c>
      <c r="J124">
        <f>(Table2[[#This Row],[Crude PVM Value]]-I$188)*('SGP and PVM'!C$186-COUNT(Table2[Crude PVM Value]))/('SGP and PVM'!C$186-'SGP and PVM'!I$188*COUNT(Table2[Crude PVM Value]))+1</f>
        <v>5.4030861019272871</v>
      </c>
      <c r="K124" t="str">
        <f>IF(Table1[[#This Row],[Included?]],Table2[[#This Row],[OBP Diff]],"")</f>
        <v/>
      </c>
      <c r="L12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4" s="13" t="str">
        <f>IF(Table1[[#This Row],[Included?]], (Table2[[#This Row],[IC PVM]]-L$188)*('SGP and PVM'!C$186-COUNT(Table2[IC PVM]))/('SGP and PVM'!C$186-'SGP and PVM'!L$188*COUNT(Table2[IC PVM]))+1, "")</f>
        <v/>
      </c>
      <c r="N124" s="13">
        <f ca="1">Table2[[#This Row],[SGP Value]]*N$192+N$193</f>
        <v>-13.355232871232801</v>
      </c>
    </row>
    <row r="125" spans="2:14" hidden="1" x14ac:dyDescent="0.25">
      <c r="B12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8.7621911001456922</v>
      </c>
      <c r="C125">
        <f>Data!D$186/'SGP and PVM'!B$186*Table2[[#This Row],[SGP]]</f>
        <v>10.233917541025102</v>
      </c>
      <c r="D125">
        <f>((Table2[[#This Row],[SGP]]-B$188)*(Data!D$186-COUNT(Table2[SGP])))/('SGP and PVM'!B$186-'SGP and PVM'!B$188*COUNT(Table2[SGP]))+1</f>
        <v>10.345291767174166</v>
      </c>
      <c r="E125">
        <f>IF(Table1[[#This Row],[Included?]],Table2[[#This Row],[SGP]],"")</f>
        <v>8.7621911001456922</v>
      </c>
      <c r="F125">
        <f>IF(Table2[[#This Row],[Included SGP]]&lt;&gt;"", Data!D$186/'SGP and PVM'!E$186*Table2[[#This Row],[Included SGP]], "")</f>
        <v>17.233309999784833</v>
      </c>
      <c r="G125">
        <f>IF(Table2[[#This Row],[CI SGP]]&lt;&gt;"", ((Table2[[#This Row],[CI SGP]]-F$188)*(Data!D$186-COUNT(Table2[CI SGP])))/('SGP and PVM'!F$186-'SGP and PVM'!F$188*COUNT(Table2[CI SGP]))+1, "")</f>
        <v>12.298410438973805</v>
      </c>
      <c r="H125">
        <f>(Table1[[#This Row],[OBP]]-MEDIAN(Table1[OBP]))*Table1[[#This Row],[PA]]</f>
        <v>-0.18291964032097074</v>
      </c>
      <c r="I125">
        <f>360*(Table1[[#This Row],[R]]/Data!H$186+Table1[[#This Row],[HR]]/Data!I$186+Table1[[#This Row],[RBI]]/Data!J$186+Table1[[#This Row],[SB]]/Data!K$186+(Table2[[#This Row],[OBP Diff]]-H$188)/(H$186-H$188*COUNT(Table2[OBP Diff])))</f>
        <v>11.351425353576328</v>
      </c>
      <c r="J125">
        <f>(Table2[[#This Row],[Crude PVM Value]]-I$188)*('SGP and PVM'!C$186-COUNT(Table2[Crude PVM Value]))/('SGP and PVM'!C$186-'SGP and PVM'!I$188*COUNT(Table2[Crude PVM Value]))+1</f>
        <v>12.014427247369055</v>
      </c>
      <c r="K125">
        <f>IF(Table1[[#This Row],[Included?]],Table2[[#This Row],[OBP Diff]],"")</f>
        <v>-0.18291964032097074</v>
      </c>
      <c r="L125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18.191504872627473</v>
      </c>
      <c r="M125" s="13">
        <f>IF(Table1[[#This Row],[Included?]], (Table2[[#This Row],[IC PVM]]-L$188)*('SGP and PVM'!C$186-COUNT(Table2[IC PVM]))/('SGP and PVM'!C$186-'SGP and PVM'!L$188*COUNT(Table2[IC PVM]))+1, "")</f>
        <v>15.264467928423093</v>
      </c>
      <c r="N125" s="13">
        <f ca="1">Table2[[#This Row],[SGP Value]]*N$192+N$193</f>
        <v>4.2187641132160962</v>
      </c>
    </row>
    <row r="126" spans="2:14" hidden="1" x14ac:dyDescent="0.25">
      <c r="B12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8.1897133511277076</v>
      </c>
      <c r="C126">
        <f>Data!D$186/'SGP and PVM'!B$186*Table2[[#This Row],[SGP]]</f>
        <v>9.5652845460857083</v>
      </c>
      <c r="D126">
        <f>((Table2[[#This Row],[SGP]]-B$188)*(Data!D$186-COUNT(Table2[SGP])))/('SGP and PVM'!B$186-'SGP and PVM'!B$188*COUNT(Table2[SGP]))+1</f>
        <v>9.4600595133443104</v>
      </c>
      <c r="E126" t="str">
        <f>IF(Table1[[#This Row],[Included?]],Table2[[#This Row],[SGP]],"")</f>
        <v/>
      </c>
      <c r="F126" t="str">
        <f>IF(Table2[[#This Row],[Included SGP]]&lt;&gt;"", Data!D$186/'SGP and PVM'!E$186*Table2[[#This Row],[Included SGP]], "")</f>
        <v/>
      </c>
      <c r="G126" t="str">
        <f>IF(Table2[[#This Row],[CI SGP]]&lt;&gt;"", ((Table2[[#This Row],[CI SGP]]-F$188)*(Data!D$186-COUNT(Table2[CI SGP])))/('SGP and PVM'!F$186-'SGP and PVM'!F$188*COUNT(Table2[CI SGP]))+1, "")</f>
        <v/>
      </c>
      <c r="H126">
        <f>(Table1[[#This Row],[OBP]]-MEDIAN(Table1[OBP]))*Table1[[#This Row],[PA]]</f>
        <v>-0.34817765603634315</v>
      </c>
      <c r="I126">
        <f>360*(Table1[[#This Row],[R]]/Data!H$186+Table1[[#This Row],[HR]]/Data!I$186+Table1[[#This Row],[RBI]]/Data!J$186+Table1[[#This Row],[SB]]/Data!K$186+(Table2[[#This Row],[OBP Diff]]-H$188)/(H$186-H$188*COUNT(Table2[OBP Diff])))</f>
        <v>8.5226938592242991</v>
      </c>
      <c r="J126">
        <f>(Table2[[#This Row],[Crude PVM Value]]-I$188)*('SGP and PVM'!C$186-COUNT(Table2[Crude PVM Value]))/('SGP and PVM'!C$186-'SGP and PVM'!I$188*COUNT(Table2[Crude PVM Value]))+1</f>
        <v>7.902294335134469</v>
      </c>
      <c r="K126" t="str">
        <f>IF(Table1[[#This Row],[Included?]],Table2[[#This Row],[OBP Diff]],"")</f>
        <v/>
      </c>
      <c r="L12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6" s="13" t="str">
        <f>IF(Table1[[#This Row],[Included?]], (Table2[[#This Row],[IC PVM]]-L$188)*('SGP and PVM'!C$186-COUNT(Table2[IC PVM]))/('SGP and PVM'!C$186-'SGP and PVM'!L$188*COUNT(Table2[IC PVM]))+1, "")</f>
        <v/>
      </c>
      <c r="N126" s="13">
        <f ca="1">Table2[[#This Row],[SGP Value]]*N$192+N$193</f>
        <v>-1.2294615751537847</v>
      </c>
    </row>
    <row r="127" spans="2:14" hidden="1" x14ac:dyDescent="0.25">
      <c r="B12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7.6251979081590235</v>
      </c>
      <c r="C127">
        <f>Data!D$186/'SGP and PVM'!B$186*Table2[[#This Row],[SGP]]</f>
        <v>8.9059512323120895</v>
      </c>
      <c r="D127">
        <f>((Table2[[#This Row],[SGP]]-B$188)*(Data!D$186-COUNT(Table2[SGP])))/('SGP and PVM'!B$186-'SGP and PVM'!B$188*COUNT(Table2[SGP]))+1</f>
        <v>8.5871395111989877</v>
      </c>
      <c r="E127" t="str">
        <f>IF(Table1[[#This Row],[Included?]],Table2[[#This Row],[SGP]],"")</f>
        <v/>
      </c>
      <c r="F127" t="str">
        <f>IF(Table2[[#This Row],[Included SGP]]&lt;&gt;"", Data!D$186/'SGP and PVM'!E$186*Table2[[#This Row],[Included SGP]], "")</f>
        <v/>
      </c>
      <c r="G127" t="str">
        <f>IF(Table2[[#This Row],[CI SGP]]&lt;&gt;"", ((Table2[[#This Row],[CI SGP]]-F$188)*(Data!D$186-COUNT(Table2[CI SGP])))/('SGP and PVM'!F$186-'SGP and PVM'!F$188*COUNT(Table2[CI SGP]))+1, "")</f>
        <v/>
      </c>
      <c r="H127">
        <f>(Table1[[#This Row],[OBP]]-MEDIAN(Table1[OBP]))*Table1[[#This Row],[PA]]</f>
        <v>-0.26864600612264444</v>
      </c>
      <c r="I127">
        <f>360*(Table1[[#This Row],[R]]/Data!H$186+Table1[[#This Row],[HR]]/Data!I$186+Table1[[#This Row],[RBI]]/Data!J$186+Table1[[#This Row],[SB]]/Data!K$186+(Table2[[#This Row],[OBP Diff]]-H$188)/(H$186-H$188*COUNT(Table2[OBP Diff])))</f>
        <v>9.0049825353768451</v>
      </c>
      <c r="J127">
        <f>(Table2[[#This Row],[Crude PVM Value]]-I$188)*('SGP and PVM'!C$186-COUNT(Table2[Crude PVM Value]))/('SGP and PVM'!C$186-'SGP and PVM'!I$188*COUNT(Table2[Crude PVM Value]))+1</f>
        <v>8.6033983962179441</v>
      </c>
      <c r="K127" t="str">
        <f>IF(Table1[[#This Row],[Included?]],Table2[[#This Row],[OBP Diff]],"")</f>
        <v/>
      </c>
      <c r="L12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7" s="13" t="str">
        <f>IF(Table1[[#This Row],[Included?]], (Table2[[#This Row],[IC PVM]]-L$188)*('SGP and PVM'!C$186-COUNT(Table2[IC PVM]))/('SGP and PVM'!C$186-'SGP and PVM'!L$188*COUNT(Table2[IC PVM]))+1, "")</f>
        <v/>
      </c>
      <c r="N127" s="13">
        <f ca="1">Table2[[#This Row],[SGP Value]]*N$192+N$193</f>
        <v>-6.6019106234169271</v>
      </c>
    </row>
    <row r="128" spans="2:14" hidden="1" x14ac:dyDescent="0.25">
      <c r="B12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8.3439864393756711</v>
      </c>
      <c r="C128">
        <f>Data!D$186/'SGP and PVM'!B$186*Table2[[#This Row],[SGP]]</f>
        <v>9.7454698497254224</v>
      </c>
      <c r="D128">
        <f>((Table2[[#This Row],[SGP]]-B$188)*(Data!D$186-COUNT(Table2[SGP])))/('SGP and PVM'!B$186-'SGP and PVM'!B$188*COUNT(Table2[SGP]))+1</f>
        <v>9.6986146604208585</v>
      </c>
      <c r="E128" t="str">
        <f>IF(Table1[[#This Row],[Included?]],Table2[[#This Row],[SGP]],"")</f>
        <v/>
      </c>
      <c r="F128" t="str">
        <f>IF(Table2[[#This Row],[Included SGP]]&lt;&gt;"", Data!D$186/'SGP and PVM'!E$186*Table2[[#This Row],[Included SGP]], "")</f>
        <v/>
      </c>
      <c r="G128" t="str">
        <f>IF(Table2[[#This Row],[CI SGP]]&lt;&gt;"", ((Table2[[#This Row],[CI SGP]]-F$188)*(Data!D$186-COUNT(Table2[CI SGP])))/('SGP and PVM'!F$186-'SGP and PVM'!F$188*COUNT(Table2[CI SGP]))+1, "")</f>
        <v/>
      </c>
      <c r="H128">
        <f>(Table1[[#This Row],[OBP]]-MEDIAN(Table1[OBP]))*Table1[[#This Row],[PA]]</f>
        <v>-0.65993805043911258</v>
      </c>
      <c r="I128">
        <f>360*(Table1[[#This Row],[R]]/Data!H$186+Table1[[#This Row],[HR]]/Data!I$186+Table1[[#This Row],[RBI]]/Data!J$186+Table1[[#This Row],[SB]]/Data!K$186+(Table2[[#This Row],[OBP Diff]]-H$188)/(H$186-H$188*COUNT(Table2[OBP Diff])))</f>
        <v>8.3950681651239769</v>
      </c>
      <c r="J128">
        <f>(Table2[[#This Row],[Crude PVM Value]]-I$188)*('SGP and PVM'!C$186-COUNT(Table2[Crude PVM Value]))/('SGP and PVM'!C$186-'SGP and PVM'!I$188*COUNT(Table2[Crude PVM Value]))+1</f>
        <v>7.7167645956718927</v>
      </c>
      <c r="K128" t="str">
        <f>IF(Table1[[#This Row],[Included?]],Table2[[#This Row],[OBP Diff]],"")</f>
        <v/>
      </c>
      <c r="L12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28" s="13" t="str">
        <f>IF(Table1[[#This Row],[Included?]], (Table2[[#This Row],[IC PVM]]-L$188)*('SGP and PVM'!C$186-COUNT(Table2[IC PVM]))/('SGP and PVM'!C$186-'SGP and PVM'!L$188*COUNT(Table2[IC PVM]))+1, "")</f>
        <v/>
      </c>
      <c r="N128" s="13">
        <f ca="1">Table2[[#This Row],[SGP Value]]*N$192+N$193</f>
        <v>0.23874326574789961</v>
      </c>
    </row>
    <row r="129" spans="2:14" hidden="1" x14ac:dyDescent="0.25">
      <c r="B12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6.6985151736020958</v>
      </c>
      <c r="C129">
        <f>Data!D$186/'SGP and PVM'!B$186*Table2[[#This Row],[SGP]]</f>
        <v>7.8236198172862785</v>
      </c>
      <c r="D129">
        <f>((Table2[[#This Row],[SGP]]-B$188)*(Data!D$186-COUNT(Table2[SGP])))/('SGP and PVM'!B$186-'SGP and PVM'!B$188*COUNT(Table2[SGP]))+1</f>
        <v>7.1541939563643782</v>
      </c>
      <c r="E129">
        <f>IF(Table1[[#This Row],[Included?]],Table2[[#This Row],[SGP]],"")</f>
        <v>6.6985151736020958</v>
      </c>
      <c r="F129">
        <f>IF(Table2[[#This Row],[Included SGP]]&lt;&gt;"", Data!D$186/'SGP and PVM'!E$186*Table2[[#This Row],[Included SGP]], "")</f>
        <v>13.174511626781115</v>
      </c>
      <c r="G129">
        <f>IF(Table2[[#This Row],[CI SGP]]&lt;&gt;"", ((Table2[[#This Row],[CI SGP]]-F$188)*(Data!D$186-COUNT(Table2[CI SGP])))/('SGP and PVM'!F$186-'SGP and PVM'!F$188*COUNT(Table2[CI SGP]))+1, "")</f>
        <v>1</v>
      </c>
      <c r="H129">
        <f>(Table1[[#This Row],[OBP]]-MEDIAN(Table1[OBP]))*Table1[[#This Row],[PA]]</f>
        <v>0.62620747069549909</v>
      </c>
      <c r="I129">
        <f>360*(Table1[[#This Row],[R]]/Data!H$186+Table1[[#This Row],[HR]]/Data!I$186+Table1[[#This Row],[RBI]]/Data!J$186+Table1[[#This Row],[SB]]/Data!K$186+(Table2[[#This Row],[OBP Diff]]-H$188)/(H$186-H$188*COUNT(Table2[OBP Diff])))</f>
        <v>8.0093369845126663</v>
      </c>
      <c r="J129">
        <f>(Table2[[#This Row],[Crude PVM Value]]-I$188)*('SGP and PVM'!C$186-COUNT(Table2[Crude PVM Value]))/('SGP and PVM'!C$186-'SGP and PVM'!I$188*COUNT(Table2[Crude PVM Value]))+1</f>
        <v>7.156026368578261</v>
      </c>
      <c r="K129">
        <f>IF(Table1[[#This Row],[Included?]],Table2[[#This Row],[OBP Diff]],"")</f>
        <v>0.62620747069549909</v>
      </c>
      <c r="L129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13.510173832540483</v>
      </c>
      <c r="M129" s="13">
        <f>IF(Table1[[#This Row],[Included?]], (Table2[[#This Row],[IC PVM]]-L$188)*('SGP and PVM'!C$186-COUNT(Table2[IC PVM]))/('SGP and PVM'!C$186-'SGP and PVM'!L$188*COUNT(Table2[IC PVM]))+1, "")</f>
        <v>3.006434747980979</v>
      </c>
      <c r="N129" s="13">
        <f ca="1">Table2[[#This Row],[SGP Value]]*N$192+N$193</f>
        <v>-15.421077286300289</v>
      </c>
    </row>
    <row r="130" spans="2:14" hidden="1" x14ac:dyDescent="0.25">
      <c r="B13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8.1651629038385298</v>
      </c>
      <c r="C130">
        <f>Data!D$186/'SGP and PVM'!B$186*Table2[[#This Row],[SGP]]</f>
        <v>9.5366105249098236</v>
      </c>
      <c r="D130">
        <f>((Table2[[#This Row],[SGP]]-B$188)*(Data!D$186-COUNT(Table2[SGP])))/('SGP and PVM'!B$186-'SGP and PVM'!B$188*COUNT(Table2[SGP]))+1</f>
        <v>9.4220967316927791</v>
      </c>
      <c r="E130" t="str">
        <f>IF(Table1[[#This Row],[Included?]],Table2[[#This Row],[SGP]],"")</f>
        <v/>
      </c>
      <c r="F130" t="str">
        <f>IF(Table2[[#This Row],[Included SGP]]&lt;&gt;"", Data!D$186/'SGP and PVM'!E$186*Table2[[#This Row],[Included SGP]], "")</f>
        <v/>
      </c>
      <c r="G130" t="str">
        <f>IF(Table2[[#This Row],[CI SGP]]&lt;&gt;"", ((Table2[[#This Row],[CI SGP]]-F$188)*(Data!D$186-COUNT(Table2[CI SGP])))/('SGP and PVM'!F$186-'SGP and PVM'!F$188*COUNT(Table2[CI SGP]))+1, "")</f>
        <v/>
      </c>
      <c r="H130">
        <f>(Table1[[#This Row],[OBP]]-MEDIAN(Table1[OBP]))*Table1[[#This Row],[PA]]</f>
        <v>-0.1596450402087119</v>
      </c>
      <c r="I130">
        <f>360*(Table1[[#This Row],[R]]/Data!H$186+Table1[[#This Row],[HR]]/Data!I$186+Table1[[#This Row],[RBI]]/Data!J$186+Table1[[#This Row],[SB]]/Data!K$186+(Table2[[#This Row],[OBP Diff]]-H$188)/(H$186-H$188*COUNT(Table2[OBP Diff])))</f>
        <v>9.2300268372930514</v>
      </c>
      <c r="J130">
        <f>(Table2[[#This Row],[Crude PVM Value]]-I$188)*('SGP and PVM'!C$186-COUNT(Table2[Crude PVM Value]))/('SGP and PVM'!C$186-'SGP and PVM'!I$188*COUNT(Table2[Crude PVM Value]))+1</f>
        <v>8.930545770391916</v>
      </c>
      <c r="K130" t="str">
        <f>IF(Table1[[#This Row],[Included?]],Table2[[#This Row],[OBP Diff]],"")</f>
        <v/>
      </c>
      <c r="L13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0" s="13" t="str">
        <f>IF(Table1[[#This Row],[Included?]], (Table2[[#This Row],[IC PVM]]-L$188)*('SGP and PVM'!C$186-COUNT(Table2[IC PVM]))/('SGP and PVM'!C$186-'SGP and PVM'!L$188*COUNT(Table2[IC PVM]))+1, "")</f>
        <v/>
      </c>
      <c r="N130" s="13">
        <f ca="1">Table2[[#This Row],[SGP Value]]*N$192+N$193</f>
        <v>-1.4631062500975958</v>
      </c>
    </row>
    <row r="131" spans="2:14" hidden="1" x14ac:dyDescent="0.25">
      <c r="B13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6.4886776685150167</v>
      </c>
      <c r="C131">
        <f>Data!D$186/'SGP and PVM'!B$186*Table2[[#This Row],[SGP]]</f>
        <v>7.5785373145730137</v>
      </c>
      <c r="D131">
        <f>((Table2[[#This Row],[SGP]]-B$188)*(Data!D$186-COUNT(Table2[SGP])))/('SGP and PVM'!B$186-'SGP and PVM'!B$188*COUNT(Table2[SGP]))+1</f>
        <v>6.8297185896188433</v>
      </c>
      <c r="E131" t="str">
        <f>IF(Table1[[#This Row],[Included?]],Table2[[#This Row],[SGP]],"")</f>
        <v/>
      </c>
      <c r="F131" t="str">
        <f>IF(Table2[[#This Row],[Included SGP]]&lt;&gt;"", Data!D$186/'SGP and PVM'!E$186*Table2[[#This Row],[Included SGP]], "")</f>
        <v/>
      </c>
      <c r="G131" t="str">
        <f>IF(Table2[[#This Row],[CI SGP]]&lt;&gt;"", ((Table2[[#This Row],[CI SGP]]-F$188)*(Data!D$186-COUNT(Table2[CI SGP])))/('SGP and PVM'!F$186-'SGP and PVM'!F$188*COUNT(Table2[CI SGP]))+1, "")</f>
        <v/>
      </c>
      <c r="H131">
        <f>(Table1[[#This Row],[OBP]]-MEDIAN(Table1[OBP]))*Table1[[#This Row],[PA]]</f>
        <v>-5.9313449238071657E-2</v>
      </c>
      <c r="I131">
        <f>360*(Table1[[#This Row],[R]]/Data!H$186+Table1[[#This Row],[HR]]/Data!I$186+Table1[[#This Row],[RBI]]/Data!J$186+Table1[[#This Row],[SB]]/Data!K$186+(Table2[[#This Row],[OBP Diff]]-H$188)/(H$186-H$188*COUNT(Table2[OBP Diff])))</f>
        <v>7.3422082307862704</v>
      </c>
      <c r="J131">
        <f>(Table2[[#This Row],[Crude PVM Value]]-I$188)*('SGP and PVM'!C$186-COUNT(Table2[Crude PVM Value]))/('SGP and PVM'!C$186-'SGP and PVM'!I$188*COUNT(Table2[Crude PVM Value]))+1</f>
        <v>6.1862198986556862</v>
      </c>
      <c r="K131" t="str">
        <f>IF(Table1[[#This Row],[Included?]],Table2[[#This Row],[OBP Diff]],"")</f>
        <v/>
      </c>
      <c r="L13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1" s="13" t="str">
        <f>IF(Table1[[#This Row],[Included?]], (Table2[[#This Row],[IC PVM]]-L$188)*('SGP and PVM'!C$186-COUNT(Table2[IC PVM]))/('SGP and PVM'!C$186-'SGP and PVM'!L$188*COUNT(Table2[IC PVM]))+1, "")</f>
        <v/>
      </c>
      <c r="N131" s="13">
        <f ca="1">Table2[[#This Row],[SGP Value]]*N$192+N$193</f>
        <v>-17.418084309822099</v>
      </c>
    </row>
    <row r="132" spans="2:14" x14ac:dyDescent="0.25">
      <c r="B13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7.8596875592899593</v>
      </c>
      <c r="C132">
        <f>Data!D$186/'SGP and PVM'!B$186*Table2[[#This Row],[SGP]]</f>
        <v>9.1798265366132981</v>
      </c>
      <c r="D132">
        <f>((Table2[[#This Row],[SGP]]-B$188)*(Data!D$186-COUNT(Table2[SGP])))/('SGP and PVM'!B$186-'SGP and PVM'!B$188*COUNT(Table2[SGP]))+1</f>
        <v>8.9497349181409867</v>
      </c>
      <c r="E132" t="str">
        <f>IF(Table1[[#This Row],[Included?]],Table2[[#This Row],[SGP]],"")</f>
        <v/>
      </c>
      <c r="F132" t="str">
        <f>IF(Table2[[#This Row],[Included SGP]]&lt;&gt;"", Data!D$186/'SGP and PVM'!E$186*Table2[[#This Row],[Included SGP]], "")</f>
        <v/>
      </c>
      <c r="G132" t="str">
        <f>IF(Table2[[#This Row],[CI SGP]]&lt;&gt;"", ((Table2[[#This Row],[CI SGP]]-F$188)*(Data!D$186-COUNT(Table2[CI SGP])))/('SGP and PVM'!F$186-'SGP and PVM'!F$188*COUNT(Table2[CI SGP]))+1, "")</f>
        <v/>
      </c>
      <c r="H132">
        <f>(Table1[[#This Row],[OBP]]-MEDIAN(Table1[OBP]))*Table1[[#This Row],[PA]]</f>
        <v>1.4388041061903478E-2</v>
      </c>
      <c r="I132">
        <f>360*(Table1[[#This Row],[R]]/Data!H$186+Table1[[#This Row],[HR]]/Data!I$186+Table1[[#This Row],[RBI]]/Data!J$186+Table1[[#This Row],[SB]]/Data!K$186+(Table2[[#This Row],[OBP Diff]]-H$188)/(H$186-H$188*COUNT(Table2[OBP Diff])))</f>
        <v>8.5812258189875692</v>
      </c>
      <c r="J132">
        <f>(Table2[[#This Row],[Crude PVM Value]]-I$188)*('SGP and PVM'!C$186-COUNT(Table2[Crude PVM Value]))/('SGP and PVM'!C$186-'SGP and PVM'!I$188*COUNT(Table2[Crude PVM Value]))+1</f>
        <v>7.9873823679296319</v>
      </c>
      <c r="K132" t="str">
        <f>IF(Table1[[#This Row],[Included?]],Table2[[#This Row],[OBP Diff]],"")</f>
        <v/>
      </c>
      <c r="L13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2" s="13" t="str">
        <f>IF(Table1[[#This Row],[Included?]], (Table2[[#This Row],[IC PVM]]-L$188)*('SGP and PVM'!C$186-COUNT(Table2[IC PVM]))/('SGP and PVM'!C$186-'SGP and PVM'!L$188*COUNT(Table2[IC PVM]))+1, "")</f>
        <v/>
      </c>
      <c r="N132" s="13">
        <f ca="1">Table2[[#This Row],[SGP Value]]*N$192+N$193</f>
        <v>-4.3702910659058318</v>
      </c>
    </row>
    <row r="133" spans="2:14" x14ac:dyDescent="0.25">
      <c r="B13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7.4244965682340744</v>
      </c>
      <c r="C133">
        <f>Data!D$186/'SGP and PVM'!B$186*Table2[[#This Row],[SGP]]</f>
        <v>8.6715394351154931</v>
      </c>
      <c r="D133">
        <f>((Table2[[#This Row],[SGP]]-B$188)*(Data!D$186-COUNT(Table2[SGP])))/('SGP and PVM'!B$186-'SGP and PVM'!B$188*COUNT(Table2[SGP]))+1</f>
        <v>8.2767915548055715</v>
      </c>
      <c r="E133" t="str">
        <f>IF(Table1[[#This Row],[Included?]],Table2[[#This Row],[SGP]],"")</f>
        <v/>
      </c>
      <c r="F133" t="str">
        <f>IF(Table2[[#This Row],[Included SGP]]&lt;&gt;"", Data!D$186/'SGP and PVM'!E$186*Table2[[#This Row],[Included SGP]], "")</f>
        <v/>
      </c>
      <c r="G133" t="str">
        <f>IF(Table2[[#This Row],[CI SGP]]&lt;&gt;"", ((Table2[[#This Row],[CI SGP]]-F$188)*(Data!D$186-COUNT(Table2[CI SGP])))/('SGP and PVM'!F$186-'SGP and PVM'!F$188*COUNT(Table2[CI SGP]))+1, "")</f>
        <v/>
      </c>
      <c r="H133">
        <f>(Table1[[#This Row],[OBP]]-MEDIAN(Table1[OBP]))*Table1[[#This Row],[PA]]</f>
        <v>-0.57818933462420985</v>
      </c>
      <c r="I133">
        <f>360*(Table1[[#This Row],[R]]/Data!H$186+Table1[[#This Row],[HR]]/Data!I$186+Table1[[#This Row],[RBI]]/Data!J$186+Table1[[#This Row],[SB]]/Data!K$186+(Table2[[#This Row],[OBP Diff]]-H$188)/(H$186-H$188*COUNT(Table2[OBP Diff])))</f>
        <v>8.2438159164747802</v>
      </c>
      <c r="J133">
        <f>(Table2[[#This Row],[Crude PVM Value]]-I$188)*('SGP and PVM'!C$186-COUNT(Table2[Crude PVM Value]))/('SGP and PVM'!C$186-'SGP and PVM'!I$188*COUNT(Table2[Crude PVM Value]))+1</f>
        <v>7.4968888842578885</v>
      </c>
      <c r="K133" t="str">
        <f>IF(Table1[[#This Row],[Included?]],Table2[[#This Row],[OBP Diff]],"")</f>
        <v/>
      </c>
      <c r="L13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3" s="13" t="str">
        <f>IF(Table1[[#This Row],[Included?]], (Table2[[#This Row],[IC PVM]]-L$188)*('SGP and PVM'!C$186-COUNT(Table2[IC PVM]))/('SGP and PVM'!C$186-'SGP and PVM'!L$188*COUNT(Table2[IC PVM]))+1, "")</f>
        <v/>
      </c>
      <c r="N133" s="13">
        <f ca="1">Table2[[#This Row],[SGP Value]]*N$192+N$193</f>
        <v>-8.5119694820277161</v>
      </c>
    </row>
    <row r="134" spans="2:14" x14ac:dyDescent="0.25">
      <c r="B13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6.8283283451493499</v>
      </c>
      <c r="C134">
        <f>Data!D$186/'SGP and PVM'!B$186*Table2[[#This Row],[SGP]]</f>
        <v>7.9752368361540196</v>
      </c>
      <c r="D134">
        <f>((Table2[[#This Row],[SGP]]-B$188)*(Data!D$186-COUNT(Table2[SGP])))/('SGP and PVM'!B$186-'SGP and PVM'!B$188*COUNT(Table2[SGP]))+1</f>
        <v>7.3549263108055776</v>
      </c>
      <c r="E134" t="str">
        <f>IF(Table1[[#This Row],[Included?]],Table2[[#This Row],[SGP]],"")</f>
        <v/>
      </c>
      <c r="F134" t="str">
        <f>IF(Table2[[#This Row],[Included SGP]]&lt;&gt;"", Data!D$186/'SGP and PVM'!E$186*Table2[[#This Row],[Included SGP]], "")</f>
        <v/>
      </c>
      <c r="G134" t="str">
        <f>IF(Table2[[#This Row],[CI SGP]]&lt;&gt;"", ((Table2[[#This Row],[CI SGP]]-F$188)*(Data!D$186-COUNT(Table2[CI SGP])))/('SGP and PVM'!F$186-'SGP and PVM'!F$188*COUNT(Table2[CI SGP]))+1, "")</f>
        <v/>
      </c>
      <c r="H134">
        <f>(Table1[[#This Row],[OBP]]-MEDIAN(Table1[OBP]))*Table1[[#This Row],[PA]]</f>
        <v>0.64849707209327301</v>
      </c>
      <c r="I134">
        <f>360*(Table1[[#This Row],[R]]/Data!H$186+Table1[[#This Row],[HR]]/Data!I$186+Table1[[#This Row],[RBI]]/Data!J$186+Table1[[#This Row],[SB]]/Data!K$186+(Table2[[#This Row],[OBP Diff]]-H$188)/(H$186-H$188*COUNT(Table2[OBP Diff])))</f>
        <v>8.3431496274848307</v>
      </c>
      <c r="J134">
        <f>(Table2[[#This Row],[Crude PVM Value]]-I$188)*('SGP and PVM'!C$186-COUNT(Table2[Crude PVM Value]))/('SGP and PVM'!C$186-'SGP and PVM'!I$188*COUNT(Table2[Crude PVM Value]))+1</f>
        <v>7.6412905085033866</v>
      </c>
      <c r="K134" t="str">
        <f>IF(Table1[[#This Row],[Included?]],Table2[[#This Row],[OBP Diff]],"")</f>
        <v/>
      </c>
      <c r="L13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4" s="13" t="str">
        <f>IF(Table1[[#This Row],[Included?]], (Table2[[#This Row],[IC PVM]]-L$188)*('SGP and PVM'!C$186-COUNT(Table2[IC PVM]))/('SGP and PVM'!C$186-'SGP and PVM'!L$188*COUNT(Table2[IC PVM]))+1, "")</f>
        <v/>
      </c>
      <c r="N134" s="13">
        <f ca="1">Table2[[#This Row],[SGP Value]]*N$192+N$193</f>
        <v>-14.185655547855909</v>
      </c>
    </row>
    <row r="135" spans="2:14" x14ac:dyDescent="0.25">
      <c r="B13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6.2917178366901227</v>
      </c>
      <c r="C135">
        <f>Data!D$186/'SGP and PVM'!B$186*Table2[[#This Row],[SGP]]</f>
        <v>7.3484954614848492</v>
      </c>
      <c r="D135">
        <f>((Table2[[#This Row],[SGP]]-B$188)*(Data!D$186-COUNT(Table2[SGP])))/('SGP and PVM'!B$186-'SGP and PVM'!B$188*COUNT(Table2[SGP]))+1</f>
        <v>6.5251561919721484</v>
      </c>
      <c r="E135" t="str">
        <f>IF(Table1[[#This Row],[Included?]],Table2[[#This Row],[SGP]],"")</f>
        <v/>
      </c>
      <c r="F135" t="str">
        <f>IF(Table2[[#This Row],[Included SGP]]&lt;&gt;"", Data!D$186/'SGP and PVM'!E$186*Table2[[#This Row],[Included SGP]], "")</f>
        <v/>
      </c>
      <c r="G135" t="str">
        <f>IF(Table2[[#This Row],[CI SGP]]&lt;&gt;"", ((Table2[[#This Row],[CI SGP]]-F$188)*(Data!D$186-COUNT(Table2[CI SGP])))/('SGP and PVM'!F$186-'SGP and PVM'!F$188*COUNT(Table2[CI SGP]))+1, "")</f>
        <v/>
      </c>
      <c r="H135">
        <f>(Table1[[#This Row],[OBP]]-MEDIAN(Table1[OBP]))*Table1[[#This Row],[PA]]</f>
        <v>1.0147123369571485</v>
      </c>
      <c r="I135">
        <f>360*(Table1[[#This Row],[R]]/Data!H$186+Table1[[#This Row],[HR]]/Data!I$186+Table1[[#This Row],[RBI]]/Data!J$186+Table1[[#This Row],[SB]]/Data!K$186+(Table2[[#This Row],[OBP Diff]]-H$188)/(H$186-H$188*COUNT(Table2[OBP Diff])))</f>
        <v>8.1393976576474873</v>
      </c>
      <c r="J135">
        <f>(Table2[[#This Row],[Crude PVM Value]]-I$188)*('SGP and PVM'!C$186-COUNT(Table2[Crude PVM Value]))/('SGP and PVM'!C$186-'SGP and PVM'!I$188*COUNT(Table2[Crude PVM Value]))+1</f>
        <v>7.3450958421755059</v>
      </c>
      <c r="K135" t="str">
        <f>IF(Table1[[#This Row],[Included?]],Table2[[#This Row],[OBP Diff]],"")</f>
        <v/>
      </c>
      <c r="L13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5" s="13" t="str">
        <f>IF(Table1[[#This Row],[Included?]], (Table2[[#This Row],[IC PVM]]-L$188)*('SGP and PVM'!C$186-COUNT(Table2[IC PVM]))/('SGP and PVM'!C$186-'SGP and PVM'!L$188*COUNT(Table2[IC PVM]))+1, "")</f>
        <v/>
      </c>
      <c r="N135" s="13">
        <f ca="1">Table2[[#This Row],[SGP Value]]*N$192+N$193</f>
        <v>-19.2925355302689</v>
      </c>
    </row>
    <row r="136" spans="2:14" x14ac:dyDescent="0.25">
      <c r="B13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6.6679288928817622</v>
      </c>
      <c r="C136">
        <f>Data!D$186/'SGP and PVM'!B$186*Table2[[#This Row],[SGP]]</f>
        <v>7.7878961642409417</v>
      </c>
      <c r="D136">
        <f>((Table2[[#This Row],[SGP]]-B$188)*(Data!D$186-COUNT(Table2[SGP])))/('SGP and PVM'!B$186-'SGP and PVM'!B$188*COUNT(Table2[SGP]))+1</f>
        <v>7.1068978609881315</v>
      </c>
      <c r="E136" t="str">
        <f>IF(Table1[[#This Row],[Included?]],Table2[[#This Row],[SGP]],"")</f>
        <v/>
      </c>
      <c r="F136" t="str">
        <f>IF(Table2[[#This Row],[Included SGP]]&lt;&gt;"", Data!D$186/'SGP and PVM'!E$186*Table2[[#This Row],[Included SGP]], "")</f>
        <v/>
      </c>
      <c r="G136" t="str">
        <f>IF(Table2[[#This Row],[CI SGP]]&lt;&gt;"", ((Table2[[#This Row],[CI SGP]]-F$188)*(Data!D$186-COUNT(Table2[CI SGP])))/('SGP and PVM'!F$186-'SGP and PVM'!F$188*COUNT(Table2[CI SGP]))+1, "")</f>
        <v/>
      </c>
      <c r="H136">
        <f>(Table1[[#This Row],[OBP]]-MEDIAN(Table1[OBP]))*Table1[[#This Row],[PA]]</f>
        <v>-5.5525720745761065E-2</v>
      </c>
      <c r="I136">
        <f>360*(Table1[[#This Row],[R]]/Data!H$186+Table1[[#This Row],[HR]]/Data!I$186+Table1[[#This Row],[RBI]]/Data!J$186+Table1[[#This Row],[SB]]/Data!K$186+(Table2[[#This Row],[OBP Diff]]-H$188)/(H$186-H$188*COUNT(Table2[OBP Diff])))</f>
        <v>8.180371757866423</v>
      </c>
      <c r="J136">
        <f>(Table2[[#This Row],[Crude PVM Value]]-I$188)*('SGP and PVM'!C$186-COUNT(Table2[Crude PVM Value]))/('SGP and PVM'!C$186-'SGP and PVM'!I$188*COUNT(Table2[Crude PVM Value]))+1</f>
        <v>7.4046599776885085</v>
      </c>
      <c r="K136" t="str">
        <f>IF(Table1[[#This Row],[Included?]],Table2[[#This Row],[OBP Diff]],"")</f>
        <v/>
      </c>
      <c r="L13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6" s="13" t="str">
        <f>IF(Table1[[#This Row],[Included?]], (Table2[[#This Row],[IC PVM]]-L$188)*('SGP and PVM'!C$186-COUNT(Table2[IC PVM]))/('SGP and PVM'!C$186-'SGP and PVM'!L$188*COUNT(Table2[IC PVM]))+1, "")</f>
        <v/>
      </c>
      <c r="N136" s="13">
        <f ca="1">Table2[[#This Row],[SGP Value]]*N$192+N$193</f>
        <v>-15.712164513040655</v>
      </c>
    </row>
    <row r="137" spans="2:14" x14ac:dyDescent="0.25">
      <c r="B13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6.9171817658642283</v>
      </c>
      <c r="C137">
        <f>Data!D$186/'SGP and PVM'!B$186*Table2[[#This Row],[SGP]]</f>
        <v>8.0790143697002765</v>
      </c>
      <c r="D137">
        <f>((Table2[[#This Row],[SGP]]-B$188)*(Data!D$186-COUNT(Table2[SGP])))/('SGP and PVM'!B$186-'SGP and PVM'!B$188*COUNT(Table2[SGP]))+1</f>
        <v>7.4923218934545952</v>
      </c>
      <c r="E137" t="str">
        <f>IF(Table1[[#This Row],[Included?]],Table2[[#This Row],[SGP]],"")</f>
        <v/>
      </c>
      <c r="F137" t="str">
        <f>IF(Table2[[#This Row],[Included SGP]]&lt;&gt;"", Data!D$186/'SGP and PVM'!E$186*Table2[[#This Row],[Included SGP]], "")</f>
        <v/>
      </c>
      <c r="G137" t="str">
        <f>IF(Table2[[#This Row],[CI SGP]]&lt;&gt;"", ((Table2[[#This Row],[CI SGP]]-F$188)*(Data!D$186-COUNT(Table2[CI SGP])))/('SGP and PVM'!F$186-'SGP and PVM'!F$188*COUNT(Table2[CI SGP]))+1, "")</f>
        <v/>
      </c>
      <c r="H137">
        <f>(Table1[[#This Row],[OBP]]-MEDIAN(Table1[OBP]))*Table1[[#This Row],[PA]]</f>
        <v>-0.76332485053759092</v>
      </c>
      <c r="I137">
        <f>360*(Table1[[#This Row],[R]]/Data!H$186+Table1[[#This Row],[HR]]/Data!I$186+Table1[[#This Row],[RBI]]/Data!J$186+Table1[[#This Row],[SB]]/Data!K$186+(Table2[[#This Row],[OBP Diff]]-H$188)/(H$186-H$188*COUNT(Table2[OBP Diff])))</f>
        <v>7.4792397079340054</v>
      </c>
      <c r="J137">
        <f>(Table2[[#This Row],[Crude PVM Value]]-I$188)*('SGP and PVM'!C$186-COUNT(Table2[Crude PVM Value]))/('SGP and PVM'!C$186-'SGP and PVM'!I$188*COUNT(Table2[Crude PVM Value]))+1</f>
        <v>6.3854228446816395</v>
      </c>
      <c r="K137" t="str">
        <f>IF(Table1[[#This Row],[Included?]],Table2[[#This Row],[OBP Diff]],"")</f>
        <v/>
      </c>
      <c r="L13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7" s="13" t="str">
        <f>IF(Table1[[#This Row],[Included?]], (Table2[[#This Row],[IC PVM]]-L$188)*('SGP and PVM'!C$186-COUNT(Table2[IC PVM]))/('SGP and PVM'!C$186-'SGP and PVM'!L$188*COUNT(Table2[IC PVM]))+1, "")</f>
        <v/>
      </c>
      <c r="N137" s="13">
        <f ca="1">Table2[[#This Row],[SGP Value]]*N$192+N$193</f>
        <v>-13.340044534906085</v>
      </c>
    </row>
    <row r="138" spans="2:14" x14ac:dyDescent="0.25">
      <c r="B13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5.6886377859533157</v>
      </c>
      <c r="C138">
        <f>Data!D$186/'SGP and PVM'!B$186*Table2[[#This Row],[SGP]]</f>
        <v>6.6441201015620219</v>
      </c>
      <c r="D138">
        <f>((Table2[[#This Row],[SGP]]-B$188)*(Data!D$186-COUNT(Table2[SGP])))/('SGP and PVM'!B$186-'SGP and PVM'!B$188*COUNT(Table2[SGP]))+1</f>
        <v>5.5926030692187316</v>
      </c>
      <c r="E138" t="str">
        <f>IF(Table1[[#This Row],[Included?]],Table2[[#This Row],[SGP]],"")</f>
        <v/>
      </c>
      <c r="F138" t="str">
        <f>IF(Table2[[#This Row],[Included SGP]]&lt;&gt;"", Data!D$186/'SGP and PVM'!E$186*Table2[[#This Row],[Included SGP]], "")</f>
        <v/>
      </c>
      <c r="G138" t="str">
        <f>IF(Table2[[#This Row],[CI SGP]]&lt;&gt;"", ((Table2[[#This Row],[CI SGP]]-F$188)*(Data!D$186-COUNT(Table2[CI SGP])))/('SGP and PVM'!F$186-'SGP and PVM'!F$188*COUNT(Table2[CI SGP]))+1, "")</f>
        <v/>
      </c>
      <c r="H138">
        <f>(Table1[[#This Row],[OBP]]-MEDIAN(Table1[OBP]))*Table1[[#This Row],[PA]]</f>
        <v>0.58458094133111194</v>
      </c>
      <c r="I138">
        <f>360*(Table1[[#This Row],[R]]/Data!H$186+Table1[[#This Row],[HR]]/Data!I$186+Table1[[#This Row],[RBI]]/Data!J$186+Table1[[#This Row],[SB]]/Data!K$186+(Table2[[#This Row],[OBP Diff]]-H$188)/(H$186-H$188*COUNT(Table2[OBP Diff])))</f>
        <v>7.307135360827667</v>
      </c>
      <c r="J138">
        <f>(Table2[[#This Row],[Crude PVM Value]]-I$188)*('SGP and PVM'!C$186-COUNT(Table2[Crude PVM Value]))/('SGP and PVM'!C$186-'SGP and PVM'!I$188*COUNT(Table2[Crude PVM Value]))+1</f>
        <v>6.1352343939617047</v>
      </c>
      <c r="K138" t="str">
        <f>IF(Table1[[#This Row],[Included?]],Table2[[#This Row],[OBP Diff]],"")</f>
        <v/>
      </c>
      <c r="L13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8" s="13" t="str">
        <f>IF(Table1[[#This Row],[Included?]], (Table2[[#This Row],[IC PVM]]-L$188)*('SGP and PVM'!C$186-COUNT(Table2[IC PVM]))/('SGP and PVM'!C$186-'SGP and PVM'!L$188*COUNT(Table2[IC PVM]))+1, "")</f>
        <v/>
      </c>
      <c r="N138" s="13">
        <f ca="1">Table2[[#This Row],[SGP Value]]*N$192+N$193</f>
        <v>-25.032000915961071</v>
      </c>
    </row>
    <row r="139" spans="2:14" x14ac:dyDescent="0.25">
      <c r="B13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7.025314043393891</v>
      </c>
      <c r="C139">
        <f>Data!D$186/'SGP and PVM'!B$186*Table2[[#This Row],[SGP]]</f>
        <v>8.2053089002707633</v>
      </c>
      <c r="D139">
        <f>((Table2[[#This Row],[SGP]]-B$188)*(Data!D$186-COUNT(Table2[SGP])))/('SGP and PVM'!B$186-'SGP and PVM'!B$188*COUNT(Table2[SGP]))+1</f>
        <v>7.659528706144763</v>
      </c>
      <c r="E139" t="str">
        <f>IF(Table1[[#This Row],[Included?]],Table2[[#This Row],[SGP]],"")</f>
        <v/>
      </c>
      <c r="F139" t="str">
        <f>IF(Table2[[#This Row],[Included SGP]]&lt;&gt;"", Data!D$186/'SGP and PVM'!E$186*Table2[[#This Row],[Included SGP]], "")</f>
        <v/>
      </c>
      <c r="G139" t="str">
        <f>IF(Table2[[#This Row],[CI SGP]]&lt;&gt;"", ((Table2[[#This Row],[CI SGP]]-F$188)*(Data!D$186-COUNT(Table2[CI SGP])))/('SGP and PVM'!F$186-'SGP and PVM'!F$188*COUNT(Table2[CI SGP]))+1, "")</f>
        <v/>
      </c>
      <c r="H139">
        <f>(Table1[[#This Row],[OBP]]-MEDIAN(Table1[OBP]))*Table1[[#This Row],[PA]]</f>
        <v>-0.47153168820613711</v>
      </c>
      <c r="I139">
        <f>360*(Table1[[#This Row],[R]]/Data!H$186+Table1[[#This Row],[HR]]/Data!I$186+Table1[[#This Row],[RBI]]/Data!J$186+Table1[[#This Row],[SB]]/Data!K$186+(Table2[[#This Row],[OBP Diff]]-H$188)/(H$186-H$188*COUNT(Table2[OBP Diff])))</f>
        <v>7.3567181568542601</v>
      </c>
      <c r="J139">
        <f>(Table2[[#This Row],[Crude PVM Value]]-I$188)*('SGP and PVM'!C$186-COUNT(Table2[Crude PVM Value]))/('SGP and PVM'!C$186-'SGP and PVM'!I$188*COUNT(Table2[Crude PVM Value]))+1</f>
        <v>6.2073130086441752</v>
      </c>
      <c r="K139" t="str">
        <f>IF(Table1[[#This Row],[Included?]],Table2[[#This Row],[OBP Diff]],"")</f>
        <v/>
      </c>
      <c r="L13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39" s="13" t="str">
        <f>IF(Table1[[#This Row],[Included?]], (Table2[[#This Row],[IC PVM]]-L$188)*('SGP and PVM'!C$186-COUNT(Table2[IC PVM]))/('SGP and PVM'!C$186-'SGP and PVM'!L$188*COUNT(Table2[IC PVM]))+1, "")</f>
        <v/>
      </c>
      <c r="N139" s="13">
        <f ca="1">Table2[[#This Row],[SGP Value]]*N$192+N$193</f>
        <v>-12.310958158728788</v>
      </c>
    </row>
    <row r="140" spans="2:14" x14ac:dyDescent="0.25">
      <c r="B14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7.2654203820573846</v>
      </c>
      <c r="C140">
        <f>Data!D$186/'SGP and PVM'!B$186*Table2[[#This Row],[SGP]]</f>
        <v>8.4857442894188946</v>
      </c>
      <c r="D140">
        <f>((Table2[[#This Row],[SGP]]-B$188)*(Data!D$186-COUNT(Table2[SGP])))/('SGP and PVM'!B$186-'SGP and PVM'!B$188*COUNT(Table2[SGP]))+1</f>
        <v>8.0308092942523732</v>
      </c>
      <c r="E140">
        <f>IF(Table1[[#This Row],[Included?]],Table2[[#This Row],[SGP]],"")</f>
        <v>7.2654203820573846</v>
      </c>
      <c r="F140">
        <f>IF(Table2[[#This Row],[Included SGP]]&lt;&gt;"", Data!D$186/'SGP and PVM'!E$186*Table2[[#This Row],[Included SGP]], "")</f>
        <v>14.289489956532469</v>
      </c>
      <c r="G140">
        <f>IF(Table2[[#This Row],[CI SGP]]&lt;&gt;"", ((Table2[[#This Row],[CI SGP]]-F$188)*(Data!D$186-COUNT(Table2[CI SGP])))/('SGP and PVM'!F$186-'SGP and PVM'!F$188*COUNT(Table2[CI SGP]))+1, "")</f>
        <v>4.1037468832849395</v>
      </c>
      <c r="H140">
        <f>(Table1[[#This Row],[OBP]]-MEDIAN(Table1[OBP]))*Table1[[#This Row],[PA]]</f>
        <v>0.77458098890076665</v>
      </c>
      <c r="I140">
        <f>360*(Table1[[#This Row],[R]]/Data!H$186+Table1[[#This Row],[HR]]/Data!I$186+Table1[[#This Row],[RBI]]/Data!J$186+Table1[[#This Row],[SB]]/Data!K$186+(Table2[[#This Row],[OBP Diff]]-H$188)/(H$186-H$188*COUNT(Table2[OBP Diff])))</f>
        <v>9.2615426287323164</v>
      </c>
      <c r="J140">
        <f>(Table2[[#This Row],[Crude PVM Value]]-I$188)*('SGP and PVM'!C$186-COUNT(Table2[Crude PVM Value]))/('SGP and PVM'!C$186-'SGP and PVM'!I$188*COUNT(Table2[Crude PVM Value]))+1</f>
        <v>8.9763603425742833</v>
      </c>
      <c r="K140">
        <f>IF(Table1[[#This Row],[Included?]],Table2[[#This Row],[OBP Diff]],"")</f>
        <v>0.77458098890076665</v>
      </c>
      <c r="L140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15.546185308334948</v>
      </c>
      <c r="M140" s="13">
        <f>IF(Table1[[#This Row],[Included?]], (Table2[[#This Row],[IC PVM]]-L$188)*('SGP and PVM'!C$186-COUNT(Table2[IC PVM]))/('SGP and PVM'!C$186-'SGP and PVM'!L$188*COUNT(Table2[IC PVM]))+1, "")</f>
        <v>8.3377168154815298</v>
      </c>
      <c r="N140" s="13">
        <f ca="1">Table2[[#This Row],[SGP Value]]*N$192+N$193</f>
        <v>-10.025885027954956</v>
      </c>
    </row>
    <row r="141" spans="2:14" x14ac:dyDescent="0.25">
      <c r="B14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6.7512401061652021</v>
      </c>
      <c r="C141">
        <f>Data!D$186/'SGP and PVM'!B$186*Table2[[#This Row],[SGP]]</f>
        <v>7.8852006029641855</v>
      </c>
      <c r="D141">
        <f>((Table2[[#This Row],[SGP]]-B$188)*(Data!D$186-COUNT(Table2[SGP])))/('SGP and PVM'!B$186-'SGP and PVM'!B$188*COUNT(Table2[SGP]))+1</f>
        <v>7.2357234323412687</v>
      </c>
      <c r="E141">
        <f>IF(Table1[[#This Row],[Included?]],Table2[[#This Row],[SGP]],"")</f>
        <v>6.7512401061652021</v>
      </c>
      <c r="F141">
        <f>IF(Table2[[#This Row],[Included SGP]]&lt;&gt;"", Data!D$186/'SGP and PVM'!E$186*Table2[[#This Row],[Included SGP]], "")</f>
        <v>13.278210016509529</v>
      </c>
      <c r="G141">
        <f>IF(Table2[[#This Row],[CI SGP]]&lt;&gt;"", ((Table2[[#This Row],[CI SGP]]-F$188)*(Data!D$186-COUNT(Table2[CI SGP])))/('SGP and PVM'!F$186-'SGP and PVM'!F$188*COUNT(Table2[CI SGP]))+1, "")</f>
        <v>1.2886635061266245</v>
      </c>
      <c r="H141">
        <f>(Table1[[#This Row],[OBP]]-MEDIAN(Table1[OBP]))*Table1[[#This Row],[PA]]</f>
        <v>0.46675474801408201</v>
      </c>
      <c r="I141">
        <f>360*(Table1[[#This Row],[R]]/Data!H$186+Table1[[#This Row],[HR]]/Data!I$186+Table1[[#This Row],[RBI]]/Data!J$186+Table1[[#This Row],[SB]]/Data!K$186+(Table2[[#This Row],[OBP Diff]]-H$188)/(H$186-H$188*COUNT(Table2[OBP Diff])))</f>
        <v>8.357366094210434</v>
      </c>
      <c r="J141">
        <f>(Table2[[#This Row],[Crude PVM Value]]-I$188)*('SGP and PVM'!C$186-COUNT(Table2[Crude PVM Value]))/('SGP and PVM'!C$186-'SGP and PVM'!I$188*COUNT(Table2[Crude PVM Value]))+1</f>
        <v>7.6619570160297332</v>
      </c>
      <c r="K141">
        <f>IF(Table1[[#This Row],[Included?]],Table2[[#This Row],[OBP Diff]],"")</f>
        <v>0.46675474801408201</v>
      </c>
      <c r="L141" s="13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>13.93237367962816</v>
      </c>
      <c r="M141" s="13">
        <f>IF(Table1[[#This Row],[Included?]], (Table2[[#This Row],[IC PVM]]-L$188)*('SGP and PVM'!C$186-COUNT(Table2[IC PVM]))/('SGP and PVM'!C$186-'SGP and PVM'!L$188*COUNT(Table2[IC PVM]))+1, "")</f>
        <v>4.1119621482141753</v>
      </c>
      <c r="N141" s="13">
        <f ca="1">Table2[[#This Row],[SGP Value]]*N$192+N$193</f>
        <v>-14.919298252092155</v>
      </c>
    </row>
    <row r="142" spans="2:14" x14ac:dyDescent="0.25">
      <c r="B14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4.993679463223506</v>
      </c>
      <c r="C142">
        <f>Data!D$186/'SGP and PVM'!B$186*Table2[[#This Row],[SGP]]</f>
        <v>5.8324342928437289</v>
      </c>
      <c r="D142">
        <f>((Table2[[#This Row],[SGP]]-B$188)*(Data!D$186-COUNT(Table2[SGP])))/('SGP and PVM'!B$186-'SGP and PVM'!B$188*COUNT(Table2[SGP]))+1</f>
        <v>4.5179769839198256</v>
      </c>
      <c r="E142" t="str">
        <f>IF(Table1[[#This Row],[Included?]],Table2[[#This Row],[SGP]],"")</f>
        <v/>
      </c>
      <c r="F142" t="str">
        <f>IF(Table2[[#This Row],[Included SGP]]&lt;&gt;"", Data!D$186/'SGP and PVM'!E$186*Table2[[#This Row],[Included SGP]], "")</f>
        <v/>
      </c>
      <c r="G142" t="str">
        <f>IF(Table2[[#This Row],[CI SGP]]&lt;&gt;"", ((Table2[[#This Row],[CI SGP]]-F$188)*(Data!D$186-COUNT(Table2[CI SGP])))/('SGP and PVM'!F$186-'SGP and PVM'!F$188*COUNT(Table2[CI SGP]))+1, "")</f>
        <v/>
      </c>
      <c r="H142">
        <f>(Table1[[#This Row],[OBP]]-MEDIAN(Table1[OBP]))*Table1[[#This Row],[PA]]</f>
        <v>-0.50712767169283113</v>
      </c>
      <c r="I142">
        <f>360*(Table1[[#This Row],[R]]/Data!H$186+Table1[[#This Row],[HR]]/Data!I$186+Table1[[#This Row],[RBI]]/Data!J$186+Table1[[#This Row],[SB]]/Data!K$186+(Table2[[#This Row],[OBP Diff]]-H$188)/(H$186-H$188*COUNT(Table2[OBP Diff])))</f>
        <v>5.4864382944617596</v>
      </c>
      <c r="J142">
        <f>(Table2[[#This Row],[Crude PVM Value]]-I$188)*('SGP and PVM'!C$186-COUNT(Table2[Crude PVM Value]))/('SGP and PVM'!C$186-'SGP and PVM'!I$188*COUNT(Table2[Crude PVM Value]))+1</f>
        <v>3.4884832460493009</v>
      </c>
      <c r="K142" t="str">
        <f>IF(Table1[[#This Row],[Included?]],Table2[[#This Row],[OBP Diff]],"")</f>
        <v/>
      </c>
      <c r="L14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2" s="13" t="str">
        <f>IF(Table1[[#This Row],[Included?]], (Table2[[#This Row],[IC PVM]]-L$188)*('SGP and PVM'!C$186-COUNT(Table2[IC PVM]))/('SGP and PVM'!C$186-'SGP and PVM'!L$188*COUNT(Table2[IC PVM]))+1, "")</f>
        <v/>
      </c>
      <c r="N142" s="13">
        <f ca="1">Table2[[#This Row],[SGP Value]]*N$192+N$193</f>
        <v>-31.645864586187418</v>
      </c>
    </row>
    <row r="143" spans="2:14" x14ac:dyDescent="0.25">
      <c r="B14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6.0534813198169566</v>
      </c>
      <c r="C143">
        <f>Data!D$186/'SGP and PVM'!B$186*Table2[[#This Row],[SGP]]</f>
        <v>7.0702439555458287</v>
      </c>
      <c r="D143">
        <f>((Table2[[#This Row],[SGP]]-B$188)*(Data!D$186-COUNT(Table2[SGP])))/('SGP and PVM'!B$186-'SGP and PVM'!B$188*COUNT(Table2[SGP]))+1</f>
        <v>6.1567669416685833</v>
      </c>
      <c r="E143" t="str">
        <f>IF(Table1[[#This Row],[Included?]],Table2[[#This Row],[SGP]],"")</f>
        <v/>
      </c>
      <c r="F143" t="str">
        <f>IF(Table2[[#This Row],[Included SGP]]&lt;&gt;"", Data!D$186/'SGP and PVM'!E$186*Table2[[#This Row],[Included SGP]], "")</f>
        <v/>
      </c>
      <c r="G143" t="str">
        <f>IF(Table2[[#This Row],[CI SGP]]&lt;&gt;"", ((Table2[[#This Row],[CI SGP]]-F$188)*(Data!D$186-COUNT(Table2[CI SGP])))/('SGP and PVM'!F$186-'SGP and PVM'!F$188*COUNT(Table2[CI SGP]))+1, "")</f>
        <v/>
      </c>
      <c r="H143">
        <f>(Table1[[#This Row],[OBP]]-MEDIAN(Table1[OBP]))*Table1[[#This Row],[PA]]</f>
        <v>-3.811720919534866E-2</v>
      </c>
      <c r="I143">
        <f>360*(Table1[[#This Row],[R]]/Data!H$186+Table1[[#This Row],[HR]]/Data!I$186+Table1[[#This Row],[RBI]]/Data!J$186+Table1[[#This Row],[SB]]/Data!K$186+(Table2[[#This Row],[OBP Diff]]-H$188)/(H$186-H$188*COUNT(Table2[OBP Diff])))</f>
        <v>6.8480625941542961</v>
      </c>
      <c r="J143">
        <f>(Table2[[#This Row],[Crude PVM Value]]-I$188)*('SGP and PVM'!C$186-COUNT(Table2[Crude PVM Value]))/('SGP and PVM'!C$186-'SGP and PVM'!I$188*COUNT(Table2[Crude PVM Value]))+1</f>
        <v>5.4678793492296904</v>
      </c>
      <c r="K143" t="str">
        <f>IF(Table1[[#This Row],[Included?]],Table2[[#This Row],[OBP Diff]],"")</f>
        <v/>
      </c>
      <c r="L14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3" s="13" t="str">
        <f>IF(Table1[[#This Row],[Included?]], (Table2[[#This Row],[IC PVM]]-L$188)*('SGP and PVM'!C$186-COUNT(Table2[IC PVM]))/('SGP and PVM'!C$186-'SGP and PVM'!L$188*COUNT(Table2[IC PVM]))+1, "")</f>
        <v/>
      </c>
      <c r="N143" s="13">
        <f ca="1">Table2[[#This Row],[SGP Value]]*N$192+N$193</f>
        <v>-21.55981371420296</v>
      </c>
    </row>
    <row r="144" spans="2:14" x14ac:dyDescent="0.25">
      <c r="B14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4.7344773476776592</v>
      </c>
      <c r="C144">
        <f>Data!D$186/'SGP and PVM'!B$186*Table2[[#This Row],[SGP]]</f>
        <v>5.5296957373115001</v>
      </c>
      <c r="D144">
        <f>((Table2[[#This Row],[SGP]]-B$188)*(Data!D$186-COUNT(Table2[SGP])))/('SGP and PVM'!B$186-'SGP and PVM'!B$188*COUNT(Table2[SGP]))+1</f>
        <v>4.1171682654399939</v>
      </c>
      <c r="E144" t="str">
        <f>IF(Table1[[#This Row],[Included?]],Table2[[#This Row],[SGP]],"")</f>
        <v/>
      </c>
      <c r="F144" t="str">
        <f>IF(Table2[[#This Row],[Included SGP]]&lt;&gt;"", Data!D$186/'SGP and PVM'!E$186*Table2[[#This Row],[Included SGP]], "")</f>
        <v/>
      </c>
      <c r="G144" t="str">
        <f>IF(Table2[[#This Row],[CI SGP]]&lt;&gt;"", ((Table2[[#This Row],[CI SGP]]-F$188)*(Data!D$186-COUNT(Table2[CI SGP])))/('SGP and PVM'!F$186-'SGP and PVM'!F$188*COUNT(Table2[CI SGP]))+1, "")</f>
        <v/>
      </c>
      <c r="H144">
        <f>(Table1[[#This Row],[OBP]]-MEDIAN(Table1[OBP]))*Table1[[#This Row],[PA]]</f>
        <v>-0.20903536737587108</v>
      </c>
      <c r="I144">
        <f>360*(Table1[[#This Row],[R]]/Data!H$186+Table1[[#This Row],[HR]]/Data!I$186+Table1[[#This Row],[RBI]]/Data!J$186+Table1[[#This Row],[SB]]/Data!K$186+(Table2[[#This Row],[OBP Diff]]-H$188)/(H$186-H$188*COUNT(Table2[OBP Diff])))</f>
        <v>5.6104083892871639</v>
      </c>
      <c r="J144">
        <f>(Table2[[#This Row],[Crude PVM Value]]-I$188)*('SGP and PVM'!C$186-COUNT(Table2[Crude PVM Value]))/('SGP and PVM'!C$186-'SGP and PVM'!I$188*COUNT(Table2[Crude PVM Value]))+1</f>
        <v>3.6686988331710335</v>
      </c>
      <c r="K144" t="str">
        <f>IF(Table1[[#This Row],[Included?]],Table2[[#This Row],[OBP Diff]],"")</f>
        <v/>
      </c>
      <c r="L14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4" s="13" t="str">
        <f>IF(Table1[[#This Row],[Included?]], (Table2[[#This Row],[IC PVM]]-L$188)*('SGP and PVM'!C$186-COUNT(Table2[IC PVM]))/('SGP and PVM'!C$186-'SGP and PVM'!L$188*COUNT(Table2[IC PVM]))+1, "")</f>
        <v/>
      </c>
      <c r="N144" s="13">
        <f ca="1">Table2[[#This Row],[SGP Value]]*N$192+N$193</f>
        <v>-34.112670722878576</v>
      </c>
    </row>
    <row r="145" spans="2:14" x14ac:dyDescent="0.25">
      <c r="B14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4.7470064817727256</v>
      </c>
      <c r="C145">
        <f>Data!D$186/'SGP and PVM'!B$186*Table2[[#This Row],[SGP]]</f>
        <v>5.5443293059844345</v>
      </c>
      <c r="D145">
        <f>((Table2[[#This Row],[SGP]]-B$188)*(Data!D$186-COUNT(Table2[SGP])))/('SGP and PVM'!B$186-'SGP and PVM'!B$188*COUNT(Table2[SGP]))+1</f>
        <v>4.1365422823909377</v>
      </c>
      <c r="E145" t="str">
        <f>IF(Table1[[#This Row],[Included?]],Table2[[#This Row],[SGP]],"")</f>
        <v/>
      </c>
      <c r="F145" t="str">
        <f>IF(Table2[[#This Row],[Included SGP]]&lt;&gt;"", Data!D$186/'SGP and PVM'!E$186*Table2[[#This Row],[Included SGP]], "")</f>
        <v/>
      </c>
      <c r="G145" t="str">
        <f>IF(Table2[[#This Row],[CI SGP]]&lt;&gt;"", ((Table2[[#This Row],[CI SGP]]-F$188)*(Data!D$186-COUNT(Table2[CI SGP])))/('SGP and PVM'!F$186-'SGP and PVM'!F$188*COUNT(Table2[CI SGP]))+1, "")</f>
        <v/>
      </c>
      <c r="H145">
        <f>(Table1[[#This Row],[OBP]]-MEDIAN(Table1[OBP]))*Table1[[#This Row],[PA]]</f>
        <v>0.27434187994952947</v>
      </c>
      <c r="I145">
        <f>360*(Table1[[#This Row],[R]]/Data!H$186+Table1[[#This Row],[HR]]/Data!I$186+Table1[[#This Row],[RBI]]/Data!J$186+Table1[[#This Row],[SB]]/Data!K$186+(Table2[[#This Row],[OBP Diff]]-H$188)/(H$186-H$188*COUNT(Table2[OBP Diff])))</f>
        <v>6.1855011313495689</v>
      </c>
      <c r="J145">
        <f>(Table2[[#This Row],[Crude PVM Value]]-I$188)*('SGP and PVM'!C$186-COUNT(Table2[Crude PVM Value]))/('SGP and PVM'!C$186-'SGP and PVM'!I$188*COUNT(Table2[Crude PVM Value]))+1</f>
        <v>4.5047123597089289</v>
      </c>
      <c r="K145" t="str">
        <f>IF(Table1[[#This Row],[Included?]],Table2[[#This Row],[OBP Diff]],"")</f>
        <v/>
      </c>
      <c r="L14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5" s="13" t="str">
        <f>IF(Table1[[#This Row],[Included?]], (Table2[[#This Row],[IC PVM]]-L$188)*('SGP and PVM'!C$186-COUNT(Table2[IC PVM]))/('SGP and PVM'!C$186-'SGP and PVM'!L$188*COUNT(Table2[IC PVM]))+1, "")</f>
        <v/>
      </c>
      <c r="N145" s="13">
        <f ca="1">Table2[[#This Row],[SGP Value]]*N$192+N$193</f>
        <v>-33.993431939630028</v>
      </c>
    </row>
    <row r="146" spans="2:14" x14ac:dyDescent="0.25">
      <c r="B14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6.0335857170355069</v>
      </c>
      <c r="C146">
        <f>Data!D$186/'SGP and PVM'!B$186*Table2[[#This Row],[SGP]]</f>
        <v>7.0470066218735514</v>
      </c>
      <c r="D146">
        <f>((Table2[[#This Row],[SGP]]-B$188)*(Data!D$186-COUNT(Table2[SGP])))/('SGP and PVM'!B$186-'SGP and PVM'!B$188*COUNT(Table2[SGP]))+1</f>
        <v>6.1260020266623014</v>
      </c>
      <c r="E146" t="str">
        <f>IF(Table1[[#This Row],[Included?]],Table2[[#This Row],[SGP]],"")</f>
        <v/>
      </c>
      <c r="F146" t="str">
        <f>IF(Table2[[#This Row],[Included SGP]]&lt;&gt;"", Data!D$186/'SGP and PVM'!E$186*Table2[[#This Row],[Included SGP]], "")</f>
        <v/>
      </c>
      <c r="G146" t="str">
        <f>IF(Table2[[#This Row],[CI SGP]]&lt;&gt;"", ((Table2[[#This Row],[CI SGP]]-F$188)*(Data!D$186-COUNT(Table2[CI SGP])))/('SGP and PVM'!F$186-'SGP and PVM'!F$188*COUNT(Table2[CI SGP]))+1, "")</f>
        <v/>
      </c>
      <c r="H146">
        <f>(Table1[[#This Row],[OBP]]-MEDIAN(Table1[OBP]))*Table1[[#This Row],[PA]]</f>
        <v>-1.4874619188645761</v>
      </c>
      <c r="I146">
        <f>360*(Table1[[#This Row],[R]]/Data!H$186+Table1[[#This Row],[HR]]/Data!I$186+Table1[[#This Row],[RBI]]/Data!J$186+Table1[[#This Row],[SB]]/Data!K$186+(Table2[[#This Row],[OBP Diff]]-H$188)/(H$186-H$188*COUNT(Table2[OBP Diff])))</f>
        <v>5.8786846385599638</v>
      </c>
      <c r="J146">
        <f>(Table2[[#This Row],[Crude PVM Value]]-I$188)*('SGP and PVM'!C$186-COUNT(Table2[Crude PVM Value]))/('SGP and PVM'!C$186-'SGP and PVM'!I$188*COUNT(Table2[Crude PVM Value]))+1</f>
        <v>4.0586925799823526</v>
      </c>
      <c r="K146" t="str">
        <f>IF(Table1[[#This Row],[Included?]],Table2[[#This Row],[OBP Diff]],"")</f>
        <v/>
      </c>
      <c r="L14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6" s="13" t="str">
        <f>IF(Table1[[#This Row],[Included?]], (Table2[[#This Row],[IC PVM]]-L$188)*('SGP and PVM'!C$186-COUNT(Table2[IC PVM]))/('SGP and PVM'!C$186-'SGP and PVM'!L$188*COUNT(Table2[IC PVM]))+1, "")</f>
        <v/>
      </c>
      <c r="N146" s="13">
        <f ca="1">Table2[[#This Row],[SGP Value]]*N$192+N$193</f>
        <v>-21.749158600262611</v>
      </c>
    </row>
    <row r="147" spans="2:14" x14ac:dyDescent="0.25">
      <c r="B14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5.3439367092815715</v>
      </c>
      <c r="C147">
        <f>Data!D$186/'SGP and PVM'!B$186*Table2[[#This Row],[SGP]]</f>
        <v>6.2415218981397578</v>
      </c>
      <c r="D147">
        <f>((Table2[[#This Row],[SGP]]-B$188)*(Data!D$186-COUNT(Table2[SGP])))/('SGP and PVM'!B$186-'SGP and PVM'!B$188*COUNT(Table2[SGP]))+1</f>
        <v>5.059585827023489</v>
      </c>
      <c r="E147" t="str">
        <f>IF(Table1[[#This Row],[Included?]],Table2[[#This Row],[SGP]],"")</f>
        <v/>
      </c>
      <c r="F147" t="str">
        <f>IF(Table2[[#This Row],[Included SGP]]&lt;&gt;"", Data!D$186/'SGP and PVM'!E$186*Table2[[#This Row],[Included SGP]], "")</f>
        <v/>
      </c>
      <c r="G147" t="str">
        <f>IF(Table2[[#This Row],[CI SGP]]&lt;&gt;"", ((Table2[[#This Row],[CI SGP]]-F$188)*(Data!D$186-COUNT(Table2[CI SGP])))/('SGP and PVM'!F$186-'SGP and PVM'!F$188*COUNT(Table2[CI SGP]))+1, "")</f>
        <v/>
      </c>
      <c r="H147">
        <f>(Table1[[#This Row],[OBP]]-MEDIAN(Table1[OBP]))*Table1[[#This Row],[PA]]</f>
        <v>-0.94673123409516491</v>
      </c>
      <c r="I147">
        <f>360*(Table1[[#This Row],[R]]/Data!H$186+Table1[[#This Row],[HR]]/Data!I$186+Table1[[#This Row],[RBI]]/Data!J$186+Table1[[#This Row],[SB]]/Data!K$186+(Table2[[#This Row],[OBP Diff]]-H$188)/(H$186-H$188*COUNT(Table2[OBP Diff])))</f>
        <v>5.6579501193795583</v>
      </c>
      <c r="J147">
        <f>(Table2[[#This Row],[Crude PVM Value]]-I$188)*('SGP and PVM'!C$186-COUNT(Table2[Crude PVM Value]))/('SGP and PVM'!C$186-'SGP and PVM'!I$188*COUNT(Table2[Crude PVM Value]))+1</f>
        <v>3.7378103460197605</v>
      </c>
      <c r="K147" t="str">
        <f>IF(Table1[[#This Row],[Included?]],Table2[[#This Row],[OBP Diff]],"")</f>
        <v/>
      </c>
      <c r="L14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7" s="13" t="str">
        <f>IF(Table1[[#This Row],[Included?]], (Table2[[#This Row],[IC PVM]]-L$188)*('SGP and PVM'!C$186-COUNT(Table2[IC PVM]))/('SGP and PVM'!C$186-'SGP and PVM'!L$188*COUNT(Table2[IC PVM]))+1, "")</f>
        <v/>
      </c>
      <c r="N147" s="13">
        <f ca="1">Table2[[#This Row],[SGP Value]]*N$192+N$193</f>
        <v>-28.312493937660609</v>
      </c>
    </row>
    <row r="148" spans="2:14" x14ac:dyDescent="0.25">
      <c r="B14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4.8096776459357304</v>
      </c>
      <c r="C148">
        <f>Data!D$186/'SGP and PVM'!B$186*Table2[[#This Row],[SGP]]</f>
        <v>5.6175269250404227</v>
      </c>
      <c r="D148">
        <f>((Table2[[#This Row],[SGP]]-B$188)*(Data!D$186-COUNT(Table2[SGP])))/('SGP and PVM'!B$186-'SGP and PVM'!B$188*COUNT(Table2[SGP]))+1</f>
        <v>4.2334517884762377</v>
      </c>
      <c r="E148" t="str">
        <f>IF(Table1[[#This Row],[Included?]],Table2[[#This Row],[SGP]],"")</f>
        <v/>
      </c>
      <c r="F148" t="str">
        <f>IF(Table2[[#This Row],[Included SGP]]&lt;&gt;"", Data!D$186/'SGP and PVM'!E$186*Table2[[#This Row],[Included SGP]], "")</f>
        <v/>
      </c>
      <c r="G148" t="str">
        <f>IF(Table2[[#This Row],[CI SGP]]&lt;&gt;"", ((Table2[[#This Row],[CI SGP]]-F$188)*(Data!D$186-COUNT(Table2[CI SGP])))/('SGP and PVM'!F$186-'SGP and PVM'!F$188*COUNT(Table2[CI SGP]))+1, "")</f>
        <v/>
      </c>
      <c r="H148">
        <f>(Table1[[#This Row],[OBP]]-MEDIAN(Table1[OBP]))*Table1[[#This Row],[PA]]</f>
        <v>-2.8333883502788728E-2</v>
      </c>
      <c r="I148">
        <f>360*(Table1[[#This Row],[R]]/Data!H$186+Table1[[#This Row],[HR]]/Data!I$186+Table1[[#This Row],[RBI]]/Data!J$186+Table1[[#This Row],[SB]]/Data!K$186+(Table2[[#This Row],[OBP Diff]]-H$188)/(H$186-H$188*COUNT(Table2[OBP Diff])))</f>
        <v>5.8772036131079588</v>
      </c>
      <c r="J148">
        <f>(Table2[[#This Row],[Crude PVM Value]]-I$188)*('SGP and PVM'!C$186-COUNT(Table2[Crude PVM Value]))/('SGP and PVM'!C$186-'SGP and PVM'!I$188*COUNT(Table2[Crude PVM Value]))+1</f>
        <v>4.0565396101733739</v>
      </c>
      <c r="K148" t="str">
        <f>IF(Table1[[#This Row],[Included?]],Table2[[#This Row],[OBP Diff]],"")</f>
        <v/>
      </c>
      <c r="L14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8" s="13" t="str">
        <f>IF(Table1[[#This Row],[Included?]], (Table2[[#This Row],[IC PVM]]-L$188)*('SGP and PVM'!C$186-COUNT(Table2[IC PVM]))/('SGP and PVM'!C$186-'SGP and PVM'!L$188*COUNT(Table2[IC PVM]))+1, "")</f>
        <v/>
      </c>
      <c r="N148" s="13">
        <f ca="1">Table2[[#This Row],[SGP Value]]*N$192+N$193</f>
        <v>-33.396995401967843</v>
      </c>
    </row>
    <row r="149" spans="2:14" x14ac:dyDescent="0.25">
      <c r="B14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4.803241574106476</v>
      </c>
      <c r="C149">
        <f>Data!D$186/'SGP and PVM'!B$186*Table2[[#This Row],[SGP]]</f>
        <v>5.6100098294149223</v>
      </c>
      <c r="D149">
        <f>((Table2[[#This Row],[SGP]]-B$188)*(Data!D$186-COUNT(Table2[SGP])))/('SGP and PVM'!B$186-'SGP and PVM'!B$188*COUNT(Table2[SGP]))+1</f>
        <v>4.223499579187763</v>
      </c>
      <c r="E149" t="str">
        <f>IF(Table1[[#This Row],[Included?]],Table2[[#This Row],[SGP]],"")</f>
        <v/>
      </c>
      <c r="F149" t="str">
        <f>IF(Table2[[#This Row],[Included SGP]]&lt;&gt;"", Data!D$186/'SGP and PVM'!E$186*Table2[[#This Row],[Included SGP]], "")</f>
        <v/>
      </c>
      <c r="G149" t="str">
        <f>IF(Table2[[#This Row],[CI SGP]]&lt;&gt;"", ((Table2[[#This Row],[CI SGP]]-F$188)*(Data!D$186-COUNT(Table2[CI SGP])))/('SGP and PVM'!F$186-'SGP and PVM'!F$188*COUNT(Table2[CI SGP]))+1, "")</f>
        <v/>
      </c>
      <c r="H149">
        <f>(Table1[[#This Row],[OBP]]-MEDIAN(Table1[OBP]))*Table1[[#This Row],[PA]]</f>
        <v>-0.65604773006768335</v>
      </c>
      <c r="I149">
        <f>360*(Table1[[#This Row],[R]]/Data!H$186+Table1[[#This Row],[HR]]/Data!I$186+Table1[[#This Row],[RBI]]/Data!J$186+Table1[[#This Row],[SB]]/Data!K$186+(Table2[[#This Row],[OBP Diff]]-H$188)/(H$186-H$188*COUNT(Table2[OBP Diff])))</f>
        <v>5.3877216828829964</v>
      </c>
      <c r="J149">
        <f>(Table2[[#This Row],[Crude PVM Value]]-I$188)*('SGP and PVM'!C$186-COUNT(Table2[Crude PVM Value]))/('SGP and PVM'!C$186-'SGP and PVM'!I$188*COUNT(Table2[Crude PVM Value]))+1</f>
        <v>3.3449787005426597</v>
      </c>
      <c r="K149" t="str">
        <f>IF(Table1[[#This Row],[Included?]],Table2[[#This Row],[OBP Diff]],"")</f>
        <v/>
      </c>
      <c r="L14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49" s="13" t="str">
        <f>IF(Table1[[#This Row],[Included?]], (Table2[[#This Row],[IC PVM]]-L$188)*('SGP and PVM'!C$186-COUNT(Table2[IC PVM]))/('SGP and PVM'!C$186-'SGP and PVM'!L$188*COUNT(Table2[IC PVM]))+1, "")</f>
        <v/>
      </c>
      <c r="N149" s="13">
        <f ca="1">Table2[[#This Row],[SGP Value]]*N$192+N$193</f>
        <v>-33.45824699110382</v>
      </c>
    </row>
    <row r="150" spans="2:14" x14ac:dyDescent="0.25">
      <c r="B15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5.5242160579789088</v>
      </c>
      <c r="C150">
        <f>Data!D$186/'SGP and PVM'!B$186*Table2[[#This Row],[SGP]]</f>
        <v>6.4520815592829148</v>
      </c>
      <c r="D150">
        <f>((Table2[[#This Row],[SGP]]-B$188)*(Data!D$186-COUNT(Table2[SGP])))/('SGP and PVM'!B$186-'SGP and PVM'!B$188*COUNT(Table2[SGP]))+1</f>
        <v>5.3383549048436807</v>
      </c>
      <c r="E150" t="str">
        <f>IF(Table1[[#This Row],[Included?]],Table2[[#This Row],[SGP]],"")</f>
        <v/>
      </c>
      <c r="F150" t="str">
        <f>IF(Table2[[#This Row],[Included SGP]]&lt;&gt;"", Data!D$186/'SGP and PVM'!E$186*Table2[[#This Row],[Included SGP]], "")</f>
        <v/>
      </c>
      <c r="G150" t="str">
        <f>IF(Table2[[#This Row],[CI SGP]]&lt;&gt;"", ((Table2[[#This Row],[CI SGP]]-F$188)*(Data!D$186-COUNT(Table2[CI SGP])))/('SGP and PVM'!F$186-'SGP and PVM'!F$188*COUNT(Table2[CI SGP]))+1, "")</f>
        <v/>
      </c>
      <c r="H150">
        <f>(Table1[[#This Row],[OBP]]-MEDIAN(Table1[OBP]))*Table1[[#This Row],[PA]]</f>
        <v>-0.44786422667450904</v>
      </c>
      <c r="I150">
        <f>360*(Table1[[#This Row],[R]]/Data!H$186+Table1[[#This Row],[HR]]/Data!I$186+Table1[[#This Row],[RBI]]/Data!J$186+Table1[[#This Row],[SB]]/Data!K$186+(Table2[[#This Row],[OBP Diff]]-H$188)/(H$186-H$188*COUNT(Table2[OBP Diff])))</f>
        <v>6.261211422023071</v>
      </c>
      <c r="J150">
        <f>(Table2[[#This Row],[Crude PVM Value]]-I$188)*('SGP and PVM'!C$186-COUNT(Table2[Crude PVM Value]))/('SGP and PVM'!C$186-'SGP and PVM'!I$188*COUNT(Table2[Crude PVM Value]))+1</f>
        <v>4.6147725682140388</v>
      </c>
      <c r="K150" t="str">
        <f>IF(Table1[[#This Row],[Included?]],Table2[[#This Row],[OBP Diff]],"")</f>
        <v/>
      </c>
      <c r="L15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0" s="13" t="str">
        <f>IF(Table1[[#This Row],[Included?]], (Table2[[#This Row],[IC PVM]]-L$188)*('SGP and PVM'!C$186-COUNT(Table2[IC PVM]))/('SGP and PVM'!C$186-'SGP and PVM'!L$188*COUNT(Table2[IC PVM]))+1, "")</f>
        <v/>
      </c>
      <c r="N150" s="13">
        <f ca="1">Table2[[#This Row],[SGP Value]]*N$192+N$193</f>
        <v>-26.596789562529388</v>
      </c>
    </row>
    <row r="151" spans="2:14" x14ac:dyDescent="0.25">
      <c r="B15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4.2576027130782901</v>
      </c>
      <c r="C151">
        <f>Data!D$186/'SGP and PVM'!B$186*Table2[[#This Row],[SGP]]</f>
        <v>4.9727236703800592</v>
      </c>
      <c r="D151">
        <f>((Table2[[#This Row],[SGP]]-B$188)*(Data!D$186-COUNT(Table2[SGP])))/('SGP and PVM'!B$186-'SGP and PVM'!B$188*COUNT(Table2[SGP]))+1</f>
        <v>3.379768762481449</v>
      </c>
      <c r="E151" t="str">
        <f>IF(Table1[[#This Row],[Included?]],Table2[[#This Row],[SGP]],"")</f>
        <v/>
      </c>
      <c r="F151" t="str">
        <f>IF(Table2[[#This Row],[Included SGP]]&lt;&gt;"", Data!D$186/'SGP and PVM'!E$186*Table2[[#This Row],[Included SGP]], "")</f>
        <v/>
      </c>
      <c r="G151" t="str">
        <f>IF(Table2[[#This Row],[CI SGP]]&lt;&gt;"", ((Table2[[#This Row],[CI SGP]]-F$188)*(Data!D$186-COUNT(Table2[CI SGP])))/('SGP and PVM'!F$186-'SGP and PVM'!F$188*COUNT(Table2[CI SGP]))+1, "")</f>
        <v/>
      </c>
      <c r="H151">
        <f>(Table1[[#This Row],[OBP]]-MEDIAN(Table1[OBP]))*Table1[[#This Row],[PA]]</f>
        <v>-1.2894230527382051</v>
      </c>
      <c r="I151">
        <f>360*(Table1[[#This Row],[R]]/Data!H$186+Table1[[#This Row],[HR]]/Data!I$186+Table1[[#This Row],[RBI]]/Data!J$186+Table1[[#This Row],[SB]]/Data!K$186+(Table2[[#This Row],[OBP Diff]]-H$188)/(H$186-H$188*COUNT(Table2[OBP Diff])))</f>
        <v>4.3114481420031847</v>
      </c>
      <c r="J151">
        <f>(Table2[[#This Row],[Crude PVM Value]]-I$188)*('SGP and PVM'!C$186-COUNT(Table2[Crude PVM Value]))/('SGP and PVM'!C$186-'SGP and PVM'!I$188*COUNT(Table2[Crude PVM Value]))+1</f>
        <v>1.7803975945395494</v>
      </c>
      <c r="K151" t="str">
        <f>IF(Table1[[#This Row],[Included?]],Table2[[#This Row],[OBP Diff]],"")</f>
        <v/>
      </c>
      <c r="L15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1" s="13" t="str">
        <f>IF(Table1[[#This Row],[Included?]], (Table2[[#This Row],[IC PVM]]-L$188)*('SGP and PVM'!C$186-COUNT(Table2[IC PVM]))/('SGP and PVM'!C$186-'SGP and PVM'!L$188*COUNT(Table2[IC PVM]))+1, "")</f>
        <v/>
      </c>
      <c r="N151" s="13">
        <f ca="1">Table2[[#This Row],[SGP Value]]*N$192+N$193</f>
        <v>-38.651049094462529</v>
      </c>
    </row>
    <row r="152" spans="2:14" x14ac:dyDescent="0.25">
      <c r="B15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5.0404253308578237</v>
      </c>
      <c r="C152">
        <f>Data!D$186/'SGP and PVM'!B$186*Table2[[#This Row],[SGP]]</f>
        <v>5.8870317501789522</v>
      </c>
      <c r="D152">
        <f>((Table2[[#This Row],[SGP]]-B$188)*(Data!D$186-COUNT(Table2[SGP])))/('SGP and PVM'!B$186-'SGP and PVM'!B$188*COUNT(Table2[SGP]))+1</f>
        <v>4.5902609282899665</v>
      </c>
      <c r="E152" t="str">
        <f>IF(Table1[[#This Row],[Included?]],Table2[[#This Row],[SGP]],"")</f>
        <v/>
      </c>
      <c r="F152" t="str">
        <f>IF(Table2[[#This Row],[Included SGP]]&lt;&gt;"", Data!D$186/'SGP and PVM'!E$186*Table2[[#This Row],[Included SGP]], "")</f>
        <v/>
      </c>
      <c r="G152" t="str">
        <f>IF(Table2[[#This Row],[CI SGP]]&lt;&gt;"", ((Table2[[#This Row],[CI SGP]]-F$188)*(Data!D$186-COUNT(Table2[CI SGP])))/('SGP and PVM'!F$186-'SGP and PVM'!F$188*COUNT(Table2[CI SGP]))+1, "")</f>
        <v/>
      </c>
      <c r="H152">
        <f>(Table1[[#This Row],[OBP]]-MEDIAN(Table1[OBP]))*Table1[[#This Row],[PA]]</f>
        <v>-0.41006589641280844</v>
      </c>
      <c r="I152">
        <f>360*(Table1[[#This Row],[R]]/Data!H$186+Table1[[#This Row],[HR]]/Data!I$186+Table1[[#This Row],[RBI]]/Data!J$186+Table1[[#This Row],[SB]]/Data!K$186+(Table2[[#This Row],[OBP Diff]]-H$188)/(H$186-H$188*COUNT(Table2[OBP Diff])))</f>
        <v>5.8281284999406102</v>
      </c>
      <c r="J152">
        <f>(Table2[[#This Row],[Crude PVM Value]]-I$188)*('SGP and PVM'!C$186-COUNT(Table2[Crude PVM Value]))/('SGP and PVM'!C$186-'SGP and PVM'!I$188*COUNT(Table2[Crude PVM Value]))+1</f>
        <v>3.9851990151292633</v>
      </c>
      <c r="K152" t="str">
        <f>IF(Table1[[#This Row],[Included?]],Table2[[#This Row],[OBP Diff]],"")</f>
        <v/>
      </c>
      <c r="L15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2" s="13" t="str">
        <f>IF(Table1[[#This Row],[Included?]], (Table2[[#This Row],[IC PVM]]-L$188)*('SGP and PVM'!C$186-COUNT(Table2[IC PVM]))/('SGP and PVM'!C$186-'SGP and PVM'!L$188*COUNT(Table2[IC PVM]))+1, "")</f>
        <v/>
      </c>
      <c r="N152" s="13">
        <f ca="1">Table2[[#This Row],[SGP Value]]*N$192+N$193</f>
        <v>-31.200987842406011</v>
      </c>
    </row>
    <row r="153" spans="2:14" x14ac:dyDescent="0.25">
      <c r="B15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3.4456746912206189</v>
      </c>
      <c r="C153">
        <f>Data!D$186/'SGP and PVM'!B$186*Table2[[#This Row],[SGP]]</f>
        <v>4.0244215470902729</v>
      </c>
      <c r="D153">
        <f>((Table2[[#This Row],[SGP]]-B$188)*(Data!D$186-COUNT(Table2[SGP])))/('SGP and PVM'!B$186-'SGP and PVM'!B$188*COUNT(Table2[SGP]))+1</f>
        <v>2.1242704064849018</v>
      </c>
      <c r="E153" t="str">
        <f>IF(Table1[[#This Row],[Included?]],Table2[[#This Row],[SGP]],"")</f>
        <v/>
      </c>
      <c r="F153" t="str">
        <f>IF(Table2[[#This Row],[Included SGP]]&lt;&gt;"", Data!D$186/'SGP and PVM'!E$186*Table2[[#This Row],[Included SGP]], "")</f>
        <v/>
      </c>
      <c r="G153" t="str">
        <f>IF(Table2[[#This Row],[CI SGP]]&lt;&gt;"", ((Table2[[#This Row],[CI SGP]]-F$188)*(Data!D$186-COUNT(Table2[CI SGP])))/('SGP and PVM'!F$186-'SGP and PVM'!F$188*COUNT(Table2[CI SGP]))+1, "")</f>
        <v/>
      </c>
      <c r="H153">
        <f>(Table1[[#This Row],[OBP]]-MEDIAN(Table1[OBP]))*Table1[[#This Row],[PA]]</f>
        <v>0.23591377297856603</v>
      </c>
      <c r="I153">
        <f>360*(Table1[[#This Row],[R]]/Data!H$186+Table1[[#This Row],[HR]]/Data!I$186+Table1[[#This Row],[RBI]]/Data!J$186+Table1[[#This Row],[SB]]/Data!K$186+(Table2[[#This Row],[OBP Diff]]-H$188)/(H$186-H$188*COUNT(Table2[OBP Diff])))</f>
        <v>4.9040088559067181</v>
      </c>
      <c r="J153">
        <f>(Table2[[#This Row],[Crude PVM Value]]-I$188)*('SGP and PVM'!C$186-COUNT(Table2[Crude PVM Value]))/('SGP and PVM'!C$186-'SGP and PVM'!I$188*COUNT(Table2[Crude PVM Value]))+1</f>
        <v>2.6418043484167351</v>
      </c>
      <c r="K153" t="str">
        <f>IF(Table1[[#This Row],[Included?]],Table2[[#This Row],[OBP Diff]],"")</f>
        <v/>
      </c>
      <c r="L15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3" s="13" t="str">
        <f>IF(Table1[[#This Row],[Included?]], (Table2[[#This Row],[IC PVM]]-L$188)*('SGP and PVM'!C$186-COUNT(Table2[IC PVM]))/('SGP and PVM'!C$186-'SGP and PVM'!L$188*COUNT(Table2[IC PVM]))+1, "")</f>
        <v/>
      </c>
      <c r="N153" s="13">
        <f ca="1">Table2[[#This Row],[SGP Value]]*N$192+N$193</f>
        <v>-46.37810418678778</v>
      </c>
    </row>
    <row r="154" spans="2:14" x14ac:dyDescent="0.25">
      <c r="B15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3.4866244662274646</v>
      </c>
      <c r="C154">
        <f>Data!D$186/'SGP and PVM'!B$186*Table2[[#This Row],[SGP]]</f>
        <v>4.0722493810137559</v>
      </c>
      <c r="D154">
        <f>((Table2[[#This Row],[SGP]]-B$188)*(Data!D$186-COUNT(Table2[SGP])))/('SGP and PVM'!B$186-'SGP and PVM'!B$188*COUNT(Table2[SGP]))+1</f>
        <v>2.1875917524853676</v>
      </c>
      <c r="E154" t="str">
        <f>IF(Table1[[#This Row],[Included?]],Table2[[#This Row],[SGP]],"")</f>
        <v/>
      </c>
      <c r="F154" t="str">
        <f>IF(Table2[[#This Row],[Included SGP]]&lt;&gt;"", Data!D$186/'SGP and PVM'!E$186*Table2[[#This Row],[Included SGP]], "")</f>
        <v/>
      </c>
      <c r="G154" t="str">
        <f>IF(Table2[[#This Row],[CI SGP]]&lt;&gt;"", ((Table2[[#This Row],[CI SGP]]-F$188)*(Data!D$186-COUNT(Table2[CI SGP])))/('SGP and PVM'!F$186-'SGP and PVM'!F$188*COUNT(Table2[CI SGP]))+1, "")</f>
        <v/>
      </c>
      <c r="H154">
        <f>(Table1[[#This Row],[OBP]]-MEDIAN(Table1[OBP]))*Table1[[#This Row],[PA]]</f>
        <v>-0.74630279718891845</v>
      </c>
      <c r="I154">
        <f>360*(Table1[[#This Row],[R]]/Data!H$186+Table1[[#This Row],[HR]]/Data!I$186+Table1[[#This Row],[RBI]]/Data!J$186+Table1[[#This Row],[SB]]/Data!K$186+(Table2[[#This Row],[OBP Diff]]-H$188)/(H$186-H$188*COUNT(Table2[OBP Diff])))</f>
        <v>4.1360975969948566</v>
      </c>
      <c r="J154">
        <f>(Table2[[#This Row],[Crude PVM Value]]-I$188)*('SGP and PVM'!C$186-COUNT(Table2[Crude PVM Value]))/('SGP and PVM'!C$186-'SGP and PVM'!I$188*COUNT(Table2[Crude PVM Value]))+1</f>
        <v>1.5254901391141305</v>
      </c>
      <c r="K154" t="str">
        <f>IF(Table1[[#This Row],[Included?]],Table2[[#This Row],[OBP Diff]],"")</f>
        <v/>
      </c>
      <c r="L15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4" s="13" t="str">
        <f>IF(Table1[[#This Row],[Included?]], (Table2[[#This Row],[IC PVM]]-L$188)*('SGP and PVM'!C$186-COUNT(Table2[IC PVM]))/('SGP and PVM'!C$186-'SGP and PVM'!L$188*COUNT(Table2[IC PVM]))+1, "")</f>
        <v/>
      </c>
      <c r="N154" s="13">
        <f ca="1">Table2[[#This Row],[SGP Value]]*N$192+N$193</f>
        <v>-45.988388400439803</v>
      </c>
    </row>
    <row r="155" spans="2:14" x14ac:dyDescent="0.25">
      <c r="B15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2.7186114953107734</v>
      </c>
      <c r="C155">
        <f>Data!D$186/'SGP and PVM'!B$186*Table2[[#This Row],[SGP]]</f>
        <v>3.1752384250819179</v>
      </c>
      <c r="D155">
        <f>((Table2[[#This Row],[SGP]]-B$188)*(Data!D$186-COUNT(Table2[SGP])))/('SGP and PVM'!B$186-'SGP and PVM'!B$188*COUNT(Table2[SGP]))+1</f>
        <v>1</v>
      </c>
      <c r="E155" t="str">
        <f>IF(Table1[[#This Row],[Included?]],Table2[[#This Row],[SGP]],"")</f>
        <v/>
      </c>
      <c r="F155" t="str">
        <f>IF(Table2[[#This Row],[Included SGP]]&lt;&gt;"", Data!D$186/'SGP and PVM'!E$186*Table2[[#This Row],[Included SGP]], "")</f>
        <v/>
      </c>
      <c r="G155" t="str">
        <f>IF(Table2[[#This Row],[CI SGP]]&lt;&gt;"", ((Table2[[#This Row],[CI SGP]]-F$188)*(Data!D$186-COUNT(Table2[CI SGP])))/('SGP and PVM'!F$186-'SGP and PVM'!F$188*COUNT(Table2[CI SGP]))+1, "")</f>
        <v/>
      </c>
      <c r="H155">
        <f>(Table1[[#This Row],[OBP]]-MEDIAN(Table1[OBP]))*Table1[[#This Row],[PA]]</f>
        <v>-0.37831448849535049</v>
      </c>
      <c r="I155">
        <f>360*(Table1[[#This Row],[R]]/Data!H$186+Table1[[#This Row],[HR]]/Data!I$186+Table1[[#This Row],[RBI]]/Data!J$186+Table1[[#This Row],[SB]]/Data!K$186+(Table2[[#This Row],[OBP Diff]]-H$188)/(H$186-H$188*COUNT(Table2[OBP Diff])))</f>
        <v>3.7746135355091583</v>
      </c>
      <c r="J155">
        <f>(Table2[[#This Row],[Crude PVM Value]]-I$188)*('SGP and PVM'!C$186-COUNT(Table2[Crude PVM Value]))/('SGP and PVM'!C$186-'SGP and PVM'!I$188*COUNT(Table2[Crude PVM Value]))+1</f>
        <v>1</v>
      </c>
      <c r="K155" t="str">
        <f>IF(Table1[[#This Row],[Included?]],Table2[[#This Row],[OBP Diff]],"")</f>
        <v/>
      </c>
      <c r="L15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5" s="13" t="str">
        <f>IF(Table1[[#This Row],[Included?]], (Table2[[#This Row],[IC PVM]]-L$188)*('SGP and PVM'!C$186-COUNT(Table2[IC PVM]))/('SGP and PVM'!C$186-'SGP and PVM'!L$188*COUNT(Table2[IC PVM]))+1, "")</f>
        <v/>
      </c>
      <c r="N155" s="13">
        <f ca="1">Table2[[#This Row],[SGP Value]]*N$192+N$193</f>
        <v>-53.297507408693427</v>
      </c>
    </row>
    <row r="156" spans="2:14" x14ac:dyDescent="0.25">
      <c r="B15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3.4575747072268017</v>
      </c>
      <c r="C156">
        <f>Data!D$186/'SGP and PVM'!B$186*Table2[[#This Row],[SGP]]</f>
        <v>4.0383203289305962</v>
      </c>
      <c r="D156">
        <f>((Table2[[#This Row],[SGP]]-B$188)*(Data!D$186-COUNT(Table2[SGP])))/('SGP and PVM'!B$186-'SGP and PVM'!B$188*COUNT(Table2[SGP]))+1</f>
        <v>2.142671607243944</v>
      </c>
      <c r="E156" t="str">
        <f>IF(Table1[[#This Row],[Included?]],Table2[[#This Row],[SGP]],"")</f>
        <v/>
      </c>
      <c r="F156" t="str">
        <f>IF(Table2[[#This Row],[Included SGP]]&lt;&gt;"", Data!D$186/'SGP and PVM'!E$186*Table2[[#This Row],[Included SGP]], "")</f>
        <v/>
      </c>
      <c r="G156" t="str">
        <f>IF(Table2[[#This Row],[CI SGP]]&lt;&gt;"", ((Table2[[#This Row],[CI SGP]]-F$188)*(Data!D$186-COUNT(Table2[CI SGP])))/('SGP and PVM'!F$186-'SGP and PVM'!F$188*COUNT(Table2[CI SGP]))+1, "")</f>
        <v/>
      </c>
      <c r="H156">
        <f>(Table1[[#This Row],[OBP]]-MEDIAN(Table1[OBP]))*Table1[[#This Row],[PA]]</f>
        <v>-0.62200943605690229</v>
      </c>
      <c r="I156">
        <f>360*(Table1[[#This Row],[R]]/Data!H$186+Table1[[#This Row],[HR]]/Data!I$186+Table1[[#This Row],[RBI]]/Data!J$186+Table1[[#This Row],[SB]]/Data!K$186+(Table2[[#This Row],[OBP Diff]]-H$188)/(H$186-H$188*COUNT(Table2[OBP Diff])))</f>
        <v>4.4458763753723405</v>
      </c>
      <c r="J156">
        <f>(Table2[[#This Row],[Crude PVM Value]]-I$188)*('SGP and PVM'!C$186-COUNT(Table2[Crude PVM Value]))/('SGP and PVM'!C$186-'SGP and PVM'!I$188*COUNT(Table2[Crude PVM Value]))+1</f>
        <v>1.9758161996190966</v>
      </c>
      <c r="K156" t="str">
        <f>IF(Table1[[#This Row],[Included?]],Table2[[#This Row],[OBP Diff]],"")</f>
        <v/>
      </c>
      <c r="L15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6" s="13" t="str">
        <f>IF(Table1[[#This Row],[Included?]], (Table2[[#This Row],[IC PVM]]-L$188)*('SGP and PVM'!C$186-COUNT(Table2[IC PVM]))/('SGP and PVM'!C$186-'SGP and PVM'!L$188*COUNT(Table2[IC PVM]))+1, "")</f>
        <v/>
      </c>
      <c r="N156" s="13">
        <f ca="1">Table2[[#This Row],[SGP Value]]*N$192+N$193</f>
        <v>-46.264852670885006</v>
      </c>
    </row>
    <row r="157" spans="2:14" x14ac:dyDescent="0.25">
      <c r="B15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4.1380504429045191</v>
      </c>
      <c r="C157">
        <f>Data!D$186/'SGP and PVM'!B$186*Table2[[#This Row],[SGP]]</f>
        <v>4.8330910076342786</v>
      </c>
      <c r="D157">
        <f>((Table2[[#This Row],[SGP]]-B$188)*(Data!D$186-COUNT(Table2[SGP])))/('SGP and PVM'!B$186-'SGP and PVM'!B$188*COUNT(Table2[SGP]))+1</f>
        <v>3.1949030174670021</v>
      </c>
      <c r="E157" t="str">
        <f>IF(Table1[[#This Row],[Included?]],Table2[[#This Row],[SGP]],"")</f>
        <v/>
      </c>
      <c r="F157" t="str">
        <f>IF(Table2[[#This Row],[Included SGP]]&lt;&gt;"", Data!D$186/'SGP and PVM'!E$186*Table2[[#This Row],[Included SGP]], "")</f>
        <v/>
      </c>
      <c r="G157" t="str">
        <f>IF(Table2[[#This Row],[CI SGP]]&lt;&gt;"", ((Table2[[#This Row],[CI SGP]]-F$188)*(Data!D$186-COUNT(Table2[CI SGP])))/('SGP and PVM'!F$186-'SGP and PVM'!F$188*COUNT(Table2[CI SGP]))+1, "")</f>
        <v/>
      </c>
      <c r="H157">
        <f>(Table1[[#This Row],[OBP]]-MEDIAN(Table1[OBP]))*Table1[[#This Row],[PA]]</f>
        <v>-0.17753887287557676</v>
      </c>
      <c r="I157">
        <f>360*(Table1[[#This Row],[R]]/Data!H$186+Table1[[#This Row],[HR]]/Data!I$186+Table1[[#This Row],[RBI]]/Data!J$186+Table1[[#This Row],[SB]]/Data!K$186+(Table2[[#This Row],[OBP Diff]]-H$188)/(H$186-H$188*COUNT(Table2[OBP Diff])))</f>
        <v>5.2631386075582274</v>
      </c>
      <c r="J157">
        <f>(Table2[[#This Row],[Crude PVM Value]]-I$188)*('SGP and PVM'!C$186-COUNT(Table2[Crude PVM Value]))/('SGP and PVM'!C$186-'SGP and PVM'!I$188*COUNT(Table2[Crude PVM Value]))+1</f>
        <v>3.1638720223820536</v>
      </c>
      <c r="K157" t="str">
        <f>IF(Table1[[#This Row],[Included?]],Table2[[#This Row],[OBP Diff]],"")</f>
        <v/>
      </c>
      <c r="L15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7" s="13" t="str">
        <f>IF(Table1[[#This Row],[Included?]], (Table2[[#This Row],[IC PVM]]-L$188)*('SGP and PVM'!C$186-COUNT(Table2[IC PVM]))/('SGP and PVM'!C$186-'SGP and PVM'!L$188*COUNT(Table2[IC PVM]))+1, "")</f>
        <v/>
      </c>
      <c r="N157" s="13">
        <f ca="1">Table2[[#This Row],[SGP Value]]*N$192+N$193</f>
        <v>-39.788818641979411</v>
      </c>
    </row>
    <row r="158" spans="2:14" x14ac:dyDescent="0.25">
      <c r="B15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3.2985450679282673</v>
      </c>
      <c r="C158">
        <f>Data!D$186/'SGP and PVM'!B$186*Table2[[#This Row],[SGP]]</f>
        <v>3.8525795482789276</v>
      </c>
      <c r="D158">
        <f>((Table2[[#This Row],[SGP]]-B$188)*(Data!D$186-COUNT(Table2[SGP])))/('SGP and PVM'!B$186-'SGP and PVM'!B$188*COUNT(Table2[SGP]))+1</f>
        <v>1.8967613229342422</v>
      </c>
      <c r="E158" t="str">
        <f>IF(Table1[[#This Row],[Included?]],Table2[[#This Row],[SGP]],"")</f>
        <v/>
      </c>
      <c r="F158" t="str">
        <f>IF(Table2[[#This Row],[Included SGP]]&lt;&gt;"", Data!D$186/'SGP and PVM'!E$186*Table2[[#This Row],[Included SGP]], "")</f>
        <v/>
      </c>
      <c r="G158" t="str">
        <f>IF(Table2[[#This Row],[CI SGP]]&lt;&gt;"", ((Table2[[#This Row],[CI SGP]]-F$188)*(Data!D$186-COUNT(Table2[CI SGP])))/('SGP and PVM'!F$186-'SGP and PVM'!F$188*COUNT(Table2[CI SGP]))+1, "")</f>
        <v/>
      </c>
      <c r="H158">
        <f>(Table1[[#This Row],[OBP]]-MEDIAN(Table1[OBP]))*Table1[[#This Row],[PA]]</f>
        <v>-0.23259955120500181</v>
      </c>
      <c r="I158">
        <f>360*(Table1[[#This Row],[R]]/Data!H$186+Table1[[#This Row],[HR]]/Data!I$186+Table1[[#This Row],[RBI]]/Data!J$186+Table1[[#This Row],[SB]]/Data!K$186+(Table2[[#This Row],[OBP Diff]]-H$188)/(H$186-H$188*COUNT(Table2[OBP Diff])))</f>
        <v>4.4934278540553363</v>
      </c>
      <c r="J158">
        <f>(Table2[[#This Row],[Crude PVM Value]]-I$188)*('SGP and PVM'!C$186-COUNT(Table2[Crude PVM Value]))/('SGP and PVM'!C$186-'SGP and PVM'!I$188*COUNT(Table2[Crude PVM Value]))+1</f>
        <v>2.044941884014448</v>
      </c>
      <c r="K158" t="str">
        <f>IF(Table1[[#This Row],[Included?]],Table2[[#This Row],[OBP Diff]],"")</f>
        <v/>
      </c>
      <c r="L15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8" s="13" t="str">
        <f>IF(Table1[[#This Row],[Included?]], (Table2[[#This Row],[IC PVM]]-L$188)*('SGP and PVM'!C$186-COUNT(Table2[IC PVM]))/('SGP and PVM'!C$186-'SGP and PVM'!L$188*COUNT(Table2[IC PVM]))+1, "")</f>
        <v/>
      </c>
      <c r="N158" s="13">
        <f ca="1">Table2[[#This Row],[SGP Value]]*N$192+N$193</f>
        <v>-47.778325233835666</v>
      </c>
    </row>
    <row r="159" spans="2:14" x14ac:dyDescent="0.25">
      <c r="B15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3.1308797503309185</v>
      </c>
      <c r="C159">
        <f>Data!D$186/'SGP and PVM'!B$186*Table2[[#This Row],[SGP]]</f>
        <v>3.6567526123938472</v>
      </c>
      <c r="D159">
        <f>((Table2[[#This Row],[SGP]]-B$188)*(Data!D$186-COUNT(Table2[SGP])))/('SGP and PVM'!B$186-'SGP and PVM'!B$188*COUNT(Table2[SGP]))+1</f>
        <v>1.6374975397734106</v>
      </c>
      <c r="E159" t="str">
        <f>IF(Table1[[#This Row],[Included?]],Table2[[#This Row],[SGP]],"")</f>
        <v/>
      </c>
      <c r="F159" t="str">
        <f>IF(Table2[[#This Row],[Included SGP]]&lt;&gt;"", Data!D$186/'SGP and PVM'!E$186*Table2[[#This Row],[Included SGP]], "")</f>
        <v/>
      </c>
      <c r="G159" t="str">
        <f>IF(Table2[[#This Row],[CI SGP]]&lt;&gt;"", ((Table2[[#This Row],[CI SGP]]-F$188)*(Data!D$186-COUNT(Table2[CI SGP])))/('SGP and PVM'!F$186-'SGP and PVM'!F$188*COUNT(Table2[CI SGP]))+1, "")</f>
        <v/>
      </c>
      <c r="H159">
        <f>(Table1[[#This Row],[OBP]]-MEDIAN(Table1[OBP]))*Table1[[#This Row],[PA]]</f>
        <v>0.34037216140515464</v>
      </c>
      <c r="I159">
        <f>360*(Table1[[#This Row],[R]]/Data!H$186+Table1[[#This Row],[HR]]/Data!I$186+Table1[[#This Row],[RBI]]/Data!J$186+Table1[[#This Row],[SB]]/Data!K$186+(Table2[[#This Row],[OBP Diff]]-H$188)/(H$186-H$188*COUNT(Table2[OBP Diff])))</f>
        <v>4.7641870358121867</v>
      </c>
      <c r="J159">
        <f>(Table2[[#This Row],[Crude PVM Value]]-I$188)*('SGP and PVM'!C$186-COUNT(Table2[Crude PVM Value]))/('SGP and PVM'!C$186-'SGP and PVM'!I$188*COUNT(Table2[Crude PVM Value]))+1</f>
        <v>2.4385450749907243</v>
      </c>
      <c r="K159" t="str">
        <f>IF(Table1[[#This Row],[Included?]],Table2[[#This Row],[OBP Diff]],"")</f>
        <v/>
      </c>
      <c r="L15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59" s="13" t="str">
        <f>IF(Table1[[#This Row],[Included?]], (Table2[[#This Row],[IC PVM]]-L$188)*('SGP and PVM'!C$186-COUNT(Table2[IC PVM]))/('SGP and PVM'!C$186-'SGP and PVM'!L$188*COUNT(Table2[IC PVM]))+1, "")</f>
        <v/>
      </c>
      <c r="N159" s="13">
        <f ca="1">Table2[[#This Row],[SGP Value]]*N$192+N$193</f>
        <v>-49.373982867603146</v>
      </c>
    </row>
    <row r="160" spans="2:14" x14ac:dyDescent="0.25">
      <c r="B16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7.9472822898634181</v>
      </c>
      <c r="C160">
        <f>Data!D$186/'SGP and PVM'!B$186*Table2[[#This Row],[SGP]]</f>
        <v>9.282133966281453</v>
      </c>
      <c r="D160">
        <f>((Table2[[#This Row],[SGP]]-B$188)*(Data!D$186-COUNT(Table2[SGP])))/('SGP and PVM'!B$186-'SGP and PVM'!B$188*COUNT(Table2[SGP]))+1</f>
        <v>9.0851841664343489</v>
      </c>
      <c r="E160" t="str">
        <f>IF(Table1[[#This Row],[Included?]],Table2[[#This Row],[SGP]],"")</f>
        <v/>
      </c>
      <c r="F160" t="str">
        <f>IF(Table2[[#This Row],[Included SGP]]&lt;&gt;"", Data!D$186/'SGP and PVM'!E$186*Table2[[#This Row],[Included SGP]], "")</f>
        <v/>
      </c>
      <c r="G160" t="str">
        <f>IF(Table2[[#This Row],[CI SGP]]&lt;&gt;"", ((Table2[[#This Row],[CI SGP]]-F$188)*(Data!D$186-COUNT(Table2[CI SGP])))/('SGP and PVM'!F$186-'SGP and PVM'!F$188*COUNT(Table2[CI SGP]))+1, "")</f>
        <v/>
      </c>
      <c r="H160">
        <f>(Table1[[#This Row],[OBP]]-MEDIAN(Table1[OBP]))*Table1[[#This Row],[PA]]</f>
        <v>-0.44776515266806988</v>
      </c>
      <c r="I160">
        <f>360*(Table1[[#This Row],[R]]/Data!H$186+Table1[[#This Row],[HR]]/Data!I$186+Table1[[#This Row],[RBI]]/Data!J$186+Table1[[#This Row],[SB]]/Data!K$186+(Table2[[#This Row],[OBP Diff]]-H$188)/(H$186-H$188*COUNT(Table2[OBP Diff])))</f>
        <v>10.063785890714282</v>
      </c>
      <c r="J160">
        <f>(Table2[[#This Row],[Crude PVM Value]]-I$188)*('SGP and PVM'!C$186-COUNT(Table2[Crude PVM Value]))/('SGP and PVM'!C$186-'SGP and PVM'!I$188*COUNT(Table2[Crude PVM Value]))+1</f>
        <v>10.142583056819614</v>
      </c>
      <c r="K160" t="str">
        <f>IF(Table1[[#This Row],[Included?]],Table2[[#This Row],[OBP Diff]],"")</f>
        <v/>
      </c>
      <c r="L16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0" s="13" t="str">
        <f>IF(Table1[[#This Row],[Included?]], (Table2[[#This Row],[IC PVM]]-L$188)*('SGP and PVM'!C$186-COUNT(Table2[IC PVM]))/('SGP and PVM'!C$186-'SGP and PVM'!L$188*COUNT(Table2[IC PVM]))+1, "")</f>
        <v/>
      </c>
      <c r="N160" s="13">
        <f ca="1">Table2[[#This Row],[SGP Value]]*N$192+N$193</f>
        <v>-3.5366589079838917</v>
      </c>
    </row>
    <row r="161" spans="2:14" x14ac:dyDescent="0.25">
      <c r="B16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7.2220585436966189</v>
      </c>
      <c r="C161">
        <f>Data!D$186/'SGP and PVM'!B$186*Table2[[#This Row],[SGP]]</f>
        <v>8.4350992540459551</v>
      </c>
      <c r="D161">
        <f>((Table2[[#This Row],[SGP]]-B$188)*(Data!D$186-COUNT(Table2[SGP])))/('SGP and PVM'!B$186-'SGP and PVM'!B$188*COUNT(Table2[SGP]))+1</f>
        <v>7.9637581329309928</v>
      </c>
      <c r="E161" t="str">
        <f>IF(Table1[[#This Row],[Included?]],Table2[[#This Row],[SGP]],"")</f>
        <v/>
      </c>
      <c r="F161" t="str">
        <f>IF(Table2[[#This Row],[Included SGP]]&lt;&gt;"", Data!D$186/'SGP and PVM'!E$186*Table2[[#This Row],[Included SGP]], "")</f>
        <v/>
      </c>
      <c r="G161" t="str">
        <f>IF(Table2[[#This Row],[CI SGP]]&lt;&gt;"", ((Table2[[#This Row],[CI SGP]]-F$188)*(Data!D$186-COUNT(Table2[CI SGP])))/('SGP and PVM'!F$186-'SGP and PVM'!F$188*COUNT(Table2[CI SGP]))+1, "")</f>
        <v/>
      </c>
      <c r="H161">
        <f>(Table1[[#This Row],[OBP]]-MEDIAN(Table1[OBP]))*Table1[[#This Row],[PA]]</f>
        <v>-0.77156261299753404</v>
      </c>
      <c r="I161">
        <f>360*(Table1[[#This Row],[R]]/Data!H$186+Table1[[#This Row],[HR]]/Data!I$186+Table1[[#This Row],[RBI]]/Data!J$186+Table1[[#This Row],[SB]]/Data!K$186+(Table2[[#This Row],[OBP Diff]]-H$188)/(H$186-H$188*COUNT(Table2[OBP Diff])))</f>
        <v>7.9325951737142901</v>
      </c>
      <c r="J161">
        <f>(Table2[[#This Row],[Crude PVM Value]]-I$188)*('SGP and PVM'!C$186-COUNT(Table2[Crude PVM Value]))/('SGP and PVM'!C$186-'SGP and PVM'!I$188*COUNT(Table2[Crude PVM Value]))+1</f>
        <v>7.0444666371019551</v>
      </c>
      <c r="K161" t="str">
        <f>IF(Table1[[#This Row],[Included?]],Table2[[#This Row],[OBP Diff]],"")</f>
        <v/>
      </c>
      <c r="L16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1" s="13" t="str">
        <f>IF(Table1[[#This Row],[Included?]], (Table2[[#This Row],[IC PVM]]-L$188)*('SGP and PVM'!C$186-COUNT(Table2[IC PVM]))/('SGP and PVM'!C$186-'SGP and PVM'!L$188*COUNT(Table2[IC PVM]))+1, "")</f>
        <v/>
      </c>
      <c r="N161" s="13">
        <f ca="1">Table2[[#This Row],[SGP Value]]*N$192+N$193</f>
        <v>-10.438556231433715</v>
      </c>
    </row>
    <row r="162" spans="2:14" x14ac:dyDescent="0.25">
      <c r="B16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7.3721297187701076</v>
      </c>
      <c r="C162">
        <f>Data!D$186/'SGP and PVM'!B$186*Table2[[#This Row],[SGP]]</f>
        <v>8.6103768773519889</v>
      </c>
      <c r="D162">
        <f>((Table2[[#This Row],[SGP]]-B$188)*(Data!D$186-COUNT(Table2[SGP])))/('SGP and PVM'!B$186-'SGP and PVM'!B$188*COUNT(Table2[SGP]))+1</f>
        <v>8.1958157889238823</v>
      </c>
      <c r="E162" t="str">
        <f>IF(Table1[[#This Row],[Included?]],Table2[[#This Row],[SGP]],"")</f>
        <v/>
      </c>
      <c r="F162" t="str">
        <f>IF(Table2[[#This Row],[Included SGP]]&lt;&gt;"", Data!D$186/'SGP and PVM'!E$186*Table2[[#This Row],[Included SGP]], "")</f>
        <v/>
      </c>
      <c r="G162" t="str">
        <f>IF(Table2[[#This Row],[CI SGP]]&lt;&gt;"", ((Table2[[#This Row],[CI SGP]]-F$188)*(Data!D$186-COUNT(Table2[CI SGP])))/('SGP and PVM'!F$186-'SGP and PVM'!F$188*COUNT(Table2[CI SGP]))+1, "")</f>
        <v/>
      </c>
      <c r="H162">
        <f>(Table1[[#This Row],[OBP]]-MEDIAN(Table1[OBP]))*Table1[[#This Row],[PA]]</f>
        <v>-1.0688756046857302</v>
      </c>
      <c r="I162">
        <f>360*(Table1[[#This Row],[R]]/Data!H$186+Table1[[#This Row],[HR]]/Data!I$186+Table1[[#This Row],[RBI]]/Data!J$186+Table1[[#This Row],[SB]]/Data!K$186+(Table2[[#This Row],[OBP Diff]]-H$188)/(H$186-H$188*COUNT(Table2[OBP Diff])))</f>
        <v>8.6726592433008847</v>
      </c>
      <c r="J162">
        <f>(Table2[[#This Row],[Crude PVM Value]]-I$188)*('SGP and PVM'!C$186-COUNT(Table2[Crude PVM Value]))/('SGP and PVM'!C$186-'SGP and PVM'!I$188*COUNT(Table2[Crude PVM Value]))+1</f>
        <v>8.1202993288175094</v>
      </c>
      <c r="K162" t="str">
        <f>IF(Table1[[#This Row],[Included?]],Table2[[#This Row],[OBP Diff]],"")</f>
        <v/>
      </c>
      <c r="L16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2" s="13" t="str">
        <f>IF(Table1[[#This Row],[Included?]], (Table2[[#This Row],[IC PVM]]-L$188)*('SGP and PVM'!C$186-COUNT(Table2[IC PVM]))/('SGP and PVM'!C$186-'SGP and PVM'!L$188*COUNT(Table2[IC PVM]))+1, "")</f>
        <v/>
      </c>
      <c r="N162" s="13">
        <f ca="1">Table2[[#This Row],[SGP Value]]*N$192+N$193</f>
        <v>-9.0103406675593689</v>
      </c>
    </row>
    <row r="163" spans="2:14" x14ac:dyDescent="0.25">
      <c r="B16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7.7582874608360761</v>
      </c>
      <c r="C163">
        <f>Data!D$186/'SGP and PVM'!B$186*Table2[[#This Row],[SGP]]</f>
        <v>9.0613949440620214</v>
      </c>
      <c r="D163">
        <f>((Table2[[#This Row],[SGP]]-B$188)*(Data!D$186-COUNT(Table2[SGP])))/('SGP and PVM'!B$186-'SGP and PVM'!B$188*COUNT(Table2[SGP]))+1</f>
        <v>8.7929381905006938</v>
      </c>
      <c r="E163" t="str">
        <f>IF(Table1[[#This Row],[Included?]],Table2[[#This Row],[SGP]],"")</f>
        <v/>
      </c>
      <c r="F163" t="str">
        <f>IF(Table2[[#This Row],[Included SGP]]&lt;&gt;"", Data!D$186/'SGP and PVM'!E$186*Table2[[#This Row],[Included SGP]], "")</f>
        <v/>
      </c>
      <c r="G163" t="str">
        <f>IF(Table2[[#This Row],[CI SGP]]&lt;&gt;"", ((Table2[[#This Row],[CI SGP]]-F$188)*(Data!D$186-COUNT(Table2[CI SGP])))/('SGP and PVM'!F$186-'SGP and PVM'!F$188*COUNT(Table2[CI SGP]))+1, "")</f>
        <v/>
      </c>
      <c r="H163">
        <f>(Table1[[#This Row],[OBP]]-MEDIAN(Table1[OBP]))*Table1[[#This Row],[PA]]</f>
        <v>-0.4529701975299682</v>
      </c>
      <c r="I163">
        <f>360*(Table1[[#This Row],[R]]/Data!H$186+Table1[[#This Row],[HR]]/Data!I$186+Table1[[#This Row],[RBI]]/Data!J$186+Table1[[#This Row],[SB]]/Data!K$186+(Table2[[#This Row],[OBP Diff]]-H$188)/(H$186-H$188*COUNT(Table2[OBP Diff])))</f>
        <v>9.3054140929270019</v>
      </c>
      <c r="J163">
        <f>(Table2[[#This Row],[Crude PVM Value]]-I$188)*('SGP and PVM'!C$186-COUNT(Table2[Crude PVM Value]))/('SGP and PVM'!C$186-'SGP and PVM'!I$188*COUNT(Table2[Crude PVM Value]))+1</f>
        <v>9.0401363821818226</v>
      </c>
      <c r="K163" t="str">
        <f>IF(Table1[[#This Row],[Included?]],Table2[[#This Row],[OBP Diff]],"")</f>
        <v/>
      </c>
      <c r="L16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3" s="13" t="str">
        <f>IF(Table1[[#This Row],[Included?]], (Table2[[#This Row],[IC PVM]]-L$188)*('SGP and PVM'!C$186-COUNT(Table2[IC PVM]))/('SGP and PVM'!C$186-'SGP and PVM'!L$188*COUNT(Table2[IC PVM]))+1, "")</f>
        <v/>
      </c>
      <c r="N163" s="13">
        <f ca="1">Table2[[#This Row],[SGP Value]]*N$192+N$193</f>
        <v>-5.3353078235830509</v>
      </c>
    </row>
    <row r="164" spans="2:14" x14ac:dyDescent="0.25">
      <c r="B16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7.2663020696489378</v>
      </c>
      <c r="C164">
        <f>Data!D$186/'SGP and PVM'!B$186*Table2[[#This Row],[SGP]]</f>
        <v>8.4867740681586845</v>
      </c>
      <c r="D164">
        <f>((Table2[[#This Row],[SGP]]-B$188)*(Data!D$186-COUNT(Table2[SGP])))/('SGP and PVM'!B$186-'SGP and PVM'!B$188*COUNT(Table2[SGP]))+1</f>
        <v>8.0321726630386419</v>
      </c>
      <c r="E164" t="str">
        <f>IF(Table1[[#This Row],[Included?]],Table2[[#This Row],[SGP]],"")</f>
        <v/>
      </c>
      <c r="F164" t="str">
        <f>IF(Table2[[#This Row],[Included SGP]]&lt;&gt;"", Data!D$186/'SGP and PVM'!E$186*Table2[[#This Row],[Included SGP]], "")</f>
        <v/>
      </c>
      <c r="G164" t="str">
        <f>IF(Table2[[#This Row],[CI SGP]]&lt;&gt;"", ((Table2[[#This Row],[CI SGP]]-F$188)*(Data!D$186-COUNT(Table2[CI SGP])))/('SGP and PVM'!F$186-'SGP and PVM'!F$188*COUNT(Table2[CI SGP]))+1, "")</f>
        <v/>
      </c>
      <c r="H164">
        <f>(Table1[[#This Row],[OBP]]-MEDIAN(Table1[OBP]))*Table1[[#This Row],[PA]]</f>
        <v>-0.34902287039685148</v>
      </c>
      <c r="I164">
        <f>360*(Table1[[#This Row],[R]]/Data!H$186+Table1[[#This Row],[HR]]/Data!I$186+Table1[[#This Row],[RBI]]/Data!J$186+Table1[[#This Row],[SB]]/Data!K$186+(Table2[[#This Row],[OBP Diff]]-H$188)/(H$186-H$188*COUNT(Table2[OBP Diff])))</f>
        <v>8.9324457235190575</v>
      </c>
      <c r="J164">
        <f>(Table2[[#This Row],[Crude PVM Value]]-I$188)*('SGP and PVM'!C$186-COUNT(Table2[Crude PVM Value]))/('SGP and PVM'!C$186-'SGP and PVM'!I$188*COUNT(Table2[Crude PVM Value]))+1</f>
        <v>8.4979514805299274</v>
      </c>
      <c r="K164" t="str">
        <f>IF(Table1[[#This Row],[Included?]],Table2[[#This Row],[OBP Diff]],"")</f>
        <v/>
      </c>
      <c r="L16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4" s="13" t="str">
        <f>IF(Table1[[#This Row],[Included?]], (Table2[[#This Row],[IC PVM]]-L$188)*('SGP and PVM'!C$186-COUNT(Table2[IC PVM]))/('SGP and PVM'!C$186-'SGP and PVM'!L$188*COUNT(Table2[IC PVM]))+1, "")</f>
        <v/>
      </c>
      <c r="N164" s="13">
        <f ca="1">Table2[[#This Row],[SGP Value]]*N$192+N$193</f>
        <v>-10.017494076527313</v>
      </c>
    </row>
    <row r="165" spans="2:14" x14ac:dyDescent="0.25">
      <c r="B16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7.5885397131791743</v>
      </c>
      <c r="C165">
        <f>Data!D$186/'SGP and PVM'!B$186*Table2[[#This Row],[SGP]]</f>
        <v>8.86313580631432</v>
      </c>
      <c r="D165">
        <f>((Table2[[#This Row],[SGP]]-B$188)*(Data!D$186-COUNT(Table2[SGP])))/('SGP and PVM'!B$186-'SGP and PVM'!B$188*COUNT(Table2[SGP]))+1</f>
        <v>8.5304543096885137</v>
      </c>
      <c r="E165" t="str">
        <f>IF(Table1[[#This Row],[Included?]],Table2[[#This Row],[SGP]],"")</f>
        <v/>
      </c>
      <c r="F165" t="str">
        <f>IF(Table2[[#This Row],[Included SGP]]&lt;&gt;"", Data!D$186/'SGP and PVM'!E$186*Table2[[#This Row],[Included SGP]], "")</f>
        <v/>
      </c>
      <c r="G165" t="str">
        <f>IF(Table2[[#This Row],[CI SGP]]&lt;&gt;"", ((Table2[[#This Row],[CI SGP]]-F$188)*(Data!D$186-COUNT(Table2[CI SGP])))/('SGP and PVM'!F$186-'SGP and PVM'!F$188*COUNT(Table2[CI SGP]))+1, "")</f>
        <v/>
      </c>
      <c r="H165">
        <f>(Table1[[#This Row],[OBP]]-MEDIAN(Table1[OBP]))*Table1[[#This Row],[PA]]</f>
        <v>-0.87343924409544504</v>
      </c>
      <c r="I165">
        <f>360*(Table1[[#This Row],[R]]/Data!H$186+Table1[[#This Row],[HR]]/Data!I$186+Table1[[#This Row],[RBI]]/Data!J$186+Table1[[#This Row],[SB]]/Data!K$186+(Table2[[#This Row],[OBP Diff]]-H$188)/(H$186-H$188*COUNT(Table2[OBP Diff])))</f>
        <v>8.848063566801466</v>
      </c>
      <c r="J165">
        <f>(Table2[[#This Row],[Crude PVM Value]]-I$188)*('SGP and PVM'!C$186-COUNT(Table2[Crude PVM Value]))/('SGP and PVM'!C$186-'SGP and PVM'!I$188*COUNT(Table2[Crude PVM Value]))+1</f>
        <v>8.3752849621500225</v>
      </c>
      <c r="K165" t="str">
        <f>IF(Table1[[#This Row],[Included?]],Table2[[#This Row],[OBP Diff]],"")</f>
        <v/>
      </c>
      <c r="L16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5" s="13" t="str">
        <f>IF(Table1[[#This Row],[Included?]], (Table2[[#This Row],[IC PVM]]-L$188)*('SGP and PVM'!C$186-COUNT(Table2[IC PVM]))/('SGP and PVM'!C$186-'SGP and PVM'!L$188*COUNT(Table2[IC PVM]))+1, "")</f>
        <v/>
      </c>
      <c r="N165" s="13">
        <f ca="1">Table2[[#This Row],[SGP Value]]*N$192+N$193</f>
        <v>-6.9507837803581225</v>
      </c>
    </row>
    <row r="166" spans="2:14" x14ac:dyDescent="0.25">
      <c r="B16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6.3529713634198011</v>
      </c>
      <c r="C166">
        <f>Data!D$186/'SGP and PVM'!B$186*Table2[[#This Row],[SGP]]</f>
        <v>7.4200373320608151</v>
      </c>
      <c r="D166">
        <f>((Table2[[#This Row],[SGP]]-B$188)*(Data!D$186-COUNT(Table2[SGP])))/('SGP and PVM'!B$186-'SGP and PVM'!B$188*COUNT(Table2[SGP]))+1</f>
        <v>6.6198735807526798</v>
      </c>
      <c r="E166" t="str">
        <f>IF(Table1[[#This Row],[Included?]],Table2[[#This Row],[SGP]],"")</f>
        <v/>
      </c>
      <c r="F166" t="str">
        <f>IF(Table2[[#This Row],[Included SGP]]&lt;&gt;"", Data!D$186/'SGP and PVM'!E$186*Table2[[#This Row],[Included SGP]], "")</f>
        <v/>
      </c>
      <c r="G166" t="str">
        <f>IF(Table2[[#This Row],[CI SGP]]&lt;&gt;"", ((Table2[[#This Row],[CI SGP]]-F$188)*(Data!D$186-COUNT(Table2[CI SGP])))/('SGP and PVM'!F$186-'SGP and PVM'!F$188*COUNT(Table2[CI SGP]))+1, "")</f>
        <v/>
      </c>
      <c r="H166">
        <f>(Table1[[#This Row],[OBP]]-MEDIAN(Table1[OBP]))*Table1[[#This Row],[PA]]</f>
        <v>-0.17097788568615888</v>
      </c>
      <c r="I166">
        <f>360*(Table1[[#This Row],[R]]/Data!H$186+Table1[[#This Row],[HR]]/Data!I$186+Table1[[#This Row],[RBI]]/Data!J$186+Table1[[#This Row],[SB]]/Data!K$186+(Table2[[#This Row],[OBP Diff]]-H$188)/(H$186-H$188*COUNT(Table2[OBP Diff])))</f>
        <v>8.3083604325623295</v>
      </c>
      <c r="J166">
        <f>(Table2[[#This Row],[Crude PVM Value]]-I$188)*('SGP and PVM'!C$186-COUNT(Table2[Crude PVM Value]))/('SGP and PVM'!C$186-'SGP and PVM'!I$188*COUNT(Table2[Crude PVM Value]))+1</f>
        <v>7.5907173828049608</v>
      </c>
      <c r="K166" t="str">
        <f>IF(Table1[[#This Row],[Included?]],Table2[[#This Row],[OBP Diff]],"")</f>
        <v/>
      </c>
      <c r="L16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6" s="13" t="str">
        <f>IF(Table1[[#This Row],[Included?]], (Table2[[#This Row],[IC PVM]]-L$188)*('SGP and PVM'!C$186-COUNT(Table2[IC PVM]))/('SGP and PVM'!C$186-'SGP and PVM'!L$188*COUNT(Table2[IC PVM]))+1, "")</f>
        <v/>
      </c>
      <c r="N166" s="13">
        <f ca="1">Table2[[#This Row],[SGP Value]]*N$192+N$193</f>
        <v>-18.709590536503917</v>
      </c>
    </row>
    <row r="167" spans="2:14" x14ac:dyDescent="0.25">
      <c r="B16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7.1428438799985887</v>
      </c>
      <c r="C167">
        <f>Data!D$186/'SGP and PVM'!B$186*Table2[[#This Row],[SGP]]</f>
        <v>8.3425794348523059</v>
      </c>
      <c r="D167">
        <f>((Table2[[#This Row],[SGP]]-B$188)*(Data!D$186-COUNT(Table2[SGP])))/('SGP and PVM'!B$186-'SGP and PVM'!B$188*COUNT(Table2[SGP]))+1</f>
        <v>7.8412671271197283</v>
      </c>
      <c r="E167" t="str">
        <f>IF(Table1[[#This Row],[Included?]],Table2[[#This Row],[SGP]],"")</f>
        <v/>
      </c>
      <c r="F167" t="str">
        <f>IF(Table2[[#This Row],[Included SGP]]&lt;&gt;"", Data!D$186/'SGP and PVM'!E$186*Table2[[#This Row],[Included SGP]], "")</f>
        <v/>
      </c>
      <c r="G167" t="str">
        <f>IF(Table2[[#This Row],[CI SGP]]&lt;&gt;"", ((Table2[[#This Row],[CI SGP]]-F$188)*(Data!D$186-COUNT(Table2[CI SGP])))/('SGP and PVM'!F$186-'SGP and PVM'!F$188*COUNT(Table2[CI SGP]))+1, "")</f>
        <v/>
      </c>
      <c r="H167">
        <f>(Table1[[#This Row],[OBP]]-MEDIAN(Table1[OBP]))*Table1[[#This Row],[PA]]</f>
        <v>-0.28997647152890949</v>
      </c>
      <c r="I167">
        <f>360*(Table1[[#This Row],[R]]/Data!H$186+Table1[[#This Row],[HR]]/Data!I$186+Table1[[#This Row],[RBI]]/Data!J$186+Table1[[#This Row],[SB]]/Data!K$186+(Table2[[#This Row],[OBP Diff]]-H$188)/(H$186-H$188*COUNT(Table2[OBP Diff])))</f>
        <v>8.7960232512161127</v>
      </c>
      <c r="J167">
        <f>(Table2[[#This Row],[Crude PVM Value]]-I$188)*('SGP and PVM'!C$186-COUNT(Table2[Crude PVM Value]))/('SGP and PVM'!C$186-'SGP and PVM'!I$188*COUNT(Table2[Crude PVM Value]))+1</f>
        <v>8.2996338461254453</v>
      </c>
      <c r="K167" t="str">
        <f>IF(Table1[[#This Row],[Included?]],Table2[[#This Row],[OBP Diff]],"")</f>
        <v/>
      </c>
      <c r="L16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7" s="13" t="str">
        <f>IF(Table1[[#This Row],[Included?]], (Table2[[#This Row],[IC PVM]]-L$188)*('SGP and PVM'!C$186-COUNT(Table2[IC PVM]))/('SGP and PVM'!C$186-'SGP and PVM'!L$188*COUNT(Table2[IC PVM]))+1, "")</f>
        <v/>
      </c>
      <c r="N167" s="13">
        <f ca="1">Table2[[#This Row],[SGP Value]]*N$192+N$193</f>
        <v>-11.192435952340794</v>
      </c>
    </row>
    <row r="168" spans="2:14" x14ac:dyDescent="0.25">
      <c r="B16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7.3634848757953701</v>
      </c>
      <c r="C168">
        <f>Data!D$186/'SGP and PVM'!B$186*Table2[[#This Row],[SGP]]</f>
        <v>8.6002800181135388</v>
      </c>
      <c r="D168">
        <f>((Table2[[#This Row],[SGP]]-B$188)*(Data!D$186-COUNT(Table2[SGP])))/('SGP and PVM'!B$186-'SGP and PVM'!B$188*COUNT(Table2[SGP]))+1</f>
        <v>8.1824481185757172</v>
      </c>
      <c r="E168" t="str">
        <f>IF(Table1[[#This Row],[Included?]],Table2[[#This Row],[SGP]],"")</f>
        <v/>
      </c>
      <c r="F168" t="str">
        <f>IF(Table2[[#This Row],[Included SGP]]&lt;&gt;"", Data!D$186/'SGP and PVM'!E$186*Table2[[#This Row],[Included SGP]], "")</f>
        <v/>
      </c>
      <c r="G168" t="str">
        <f>IF(Table2[[#This Row],[CI SGP]]&lt;&gt;"", ((Table2[[#This Row],[CI SGP]]-F$188)*(Data!D$186-COUNT(Table2[CI SGP])))/('SGP and PVM'!F$186-'SGP and PVM'!F$188*COUNT(Table2[CI SGP]))+1, "")</f>
        <v/>
      </c>
      <c r="H168">
        <f>(Table1[[#This Row],[OBP]]-MEDIAN(Table1[OBP]))*Table1[[#This Row],[PA]]</f>
        <v>-0.83058999789809873</v>
      </c>
      <c r="I168">
        <f>360*(Table1[[#This Row],[R]]/Data!H$186+Table1[[#This Row],[HR]]/Data!I$186+Table1[[#This Row],[RBI]]/Data!J$186+Table1[[#This Row],[SB]]/Data!K$186+(Table2[[#This Row],[OBP Diff]]-H$188)/(H$186-H$188*COUNT(Table2[OBP Diff])))</f>
        <v>8.7189664984288271</v>
      </c>
      <c r="J168">
        <f>(Table2[[#This Row],[Crude PVM Value]]-I$188)*('SGP and PVM'!C$186-COUNT(Table2[Crude PVM Value]))/('SGP and PVM'!C$186-'SGP and PVM'!I$188*COUNT(Table2[Crude PVM Value]))+1</f>
        <v>8.1876162828186434</v>
      </c>
      <c r="K168" t="str">
        <f>IF(Table1[[#This Row],[Included?]],Table2[[#This Row],[OBP Diff]],"")</f>
        <v/>
      </c>
      <c r="L16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8" s="13" t="str">
        <f>IF(Table1[[#This Row],[Included?]], (Table2[[#This Row],[IC PVM]]-L$188)*('SGP and PVM'!C$186-COUNT(Table2[IC PVM]))/('SGP and PVM'!C$186-'SGP and PVM'!L$188*COUNT(Table2[IC PVM]))+1, "")</f>
        <v/>
      </c>
      <c r="N168" s="13">
        <f ca="1">Table2[[#This Row],[SGP Value]]*N$192+N$193</f>
        <v>-9.0926129578757724</v>
      </c>
    </row>
    <row r="169" spans="2:14" x14ac:dyDescent="0.25">
      <c r="B16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4.903530816799675</v>
      </c>
      <c r="C169">
        <f>Data!D$186/'SGP and PVM'!B$186*Table2[[#This Row],[SGP]]</f>
        <v>5.7271439832177293</v>
      </c>
      <c r="D169">
        <f>((Table2[[#This Row],[SGP]]-B$188)*(Data!D$186-COUNT(Table2[SGP])))/('SGP and PVM'!B$186-'SGP and PVM'!B$188*COUNT(Table2[SGP]))+1</f>
        <v>4.3785785713345851</v>
      </c>
      <c r="E169" t="str">
        <f>IF(Table1[[#This Row],[Included?]],Table2[[#This Row],[SGP]],"")</f>
        <v/>
      </c>
      <c r="F169" t="str">
        <f>IF(Table2[[#This Row],[Included SGP]]&lt;&gt;"", Data!D$186/'SGP and PVM'!E$186*Table2[[#This Row],[Included SGP]], "")</f>
        <v/>
      </c>
      <c r="G169" t="str">
        <f>IF(Table2[[#This Row],[CI SGP]]&lt;&gt;"", ((Table2[[#This Row],[CI SGP]]-F$188)*(Data!D$186-COUNT(Table2[CI SGP])))/('SGP and PVM'!F$186-'SGP and PVM'!F$188*COUNT(Table2[CI SGP]))+1, "")</f>
        <v/>
      </c>
      <c r="H169">
        <f>(Table1[[#This Row],[OBP]]-MEDIAN(Table1[OBP]))*Table1[[#This Row],[PA]]</f>
        <v>-0.28253345212164227</v>
      </c>
      <c r="I169">
        <f>360*(Table1[[#This Row],[R]]/Data!H$186+Table1[[#This Row],[HR]]/Data!I$186+Table1[[#This Row],[RBI]]/Data!J$186+Table1[[#This Row],[SB]]/Data!K$186+(Table2[[#This Row],[OBP Diff]]-H$188)/(H$186-H$188*COUNT(Table2[OBP Diff])))</f>
        <v>5.7232601652994415</v>
      </c>
      <c r="J169">
        <f>(Table2[[#This Row],[Crude PVM Value]]-I$188)*('SGP and PVM'!C$186-COUNT(Table2[Crude PVM Value]))/('SGP and PVM'!C$186-'SGP and PVM'!I$188*COUNT(Table2[Crude PVM Value]))+1</f>
        <v>3.8327516968913189</v>
      </c>
      <c r="K169" t="str">
        <f>IF(Table1[[#This Row],[Included?]],Table2[[#This Row],[OBP Diff]],"")</f>
        <v/>
      </c>
      <c r="L16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69" s="13" t="str">
        <f>IF(Table1[[#This Row],[Included?]], (Table2[[#This Row],[IC PVM]]-L$188)*('SGP and PVM'!C$186-COUNT(Table2[IC PVM]))/('SGP and PVM'!C$186-'SGP and PVM'!L$188*COUNT(Table2[IC PVM]))+1, "")</f>
        <v/>
      </c>
      <c r="N169" s="13">
        <f ca="1">Table2[[#This Row],[SGP Value]]*N$192+N$193</f>
        <v>-32.50380216028632</v>
      </c>
    </row>
    <row r="170" spans="2:14" x14ac:dyDescent="0.25">
      <c r="B17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5.0761412991478947</v>
      </c>
      <c r="C170">
        <f>Data!D$186/'SGP and PVM'!B$186*Table2[[#This Row],[SGP]]</f>
        <v>5.9287466899926224</v>
      </c>
      <c r="D170">
        <f>((Table2[[#This Row],[SGP]]-B$188)*(Data!D$186-COUNT(Table2[SGP])))/('SGP and PVM'!B$186-'SGP and PVM'!B$188*COUNT(Table2[SGP]))+1</f>
        <v>4.6454891483585543</v>
      </c>
      <c r="E170" t="str">
        <f>IF(Table1[[#This Row],[Included?]],Table2[[#This Row],[SGP]],"")</f>
        <v/>
      </c>
      <c r="F170" t="str">
        <f>IF(Table2[[#This Row],[Included SGP]]&lt;&gt;"", Data!D$186/'SGP and PVM'!E$186*Table2[[#This Row],[Included SGP]], "")</f>
        <v/>
      </c>
      <c r="G170" t="str">
        <f>IF(Table2[[#This Row],[CI SGP]]&lt;&gt;"", ((Table2[[#This Row],[CI SGP]]-F$188)*(Data!D$186-COUNT(Table2[CI SGP])))/('SGP and PVM'!F$186-'SGP and PVM'!F$188*COUNT(Table2[CI SGP]))+1, "")</f>
        <v/>
      </c>
      <c r="H170">
        <f>(Table1[[#This Row],[OBP]]-MEDIAN(Table1[OBP]))*Table1[[#This Row],[PA]]</f>
        <v>-1.2211126766524392</v>
      </c>
      <c r="I170">
        <f>360*(Table1[[#This Row],[R]]/Data!H$186+Table1[[#This Row],[HR]]/Data!I$186+Table1[[#This Row],[RBI]]/Data!J$186+Table1[[#This Row],[SB]]/Data!K$186+(Table2[[#This Row],[OBP Diff]]-H$188)/(H$186-H$188*COUNT(Table2[OBP Diff])))</f>
        <v>5.399648610500897</v>
      </c>
      <c r="J170">
        <f>(Table2[[#This Row],[Crude PVM Value]]-I$188)*('SGP and PVM'!C$186-COUNT(Table2[Crude PVM Value]))/('SGP and PVM'!C$186-'SGP and PVM'!I$188*COUNT(Table2[Crude PVM Value]))+1</f>
        <v>3.3623169002612734</v>
      </c>
      <c r="K170" t="str">
        <f>IF(Table1[[#This Row],[Included?]],Table2[[#This Row],[OBP Diff]],"")</f>
        <v/>
      </c>
      <c r="L17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0" s="13" t="str">
        <f>IF(Table1[[#This Row],[Included?]], (Table2[[#This Row],[IC PVM]]-L$188)*('SGP and PVM'!C$186-COUNT(Table2[IC PVM]))/('SGP and PVM'!C$186-'SGP and PVM'!L$188*COUNT(Table2[IC PVM]))+1, "")</f>
        <v/>
      </c>
      <c r="N170" s="13">
        <f ca="1">Table2[[#This Row],[SGP Value]]*N$192+N$193</f>
        <v>-30.86108178272638</v>
      </c>
    </row>
    <row r="171" spans="2:14" x14ac:dyDescent="0.25">
      <c r="B17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5.6457745981641843</v>
      </c>
      <c r="C171">
        <f>Data!D$186/'SGP and PVM'!B$186*Table2[[#This Row],[SGP]]</f>
        <v>6.594057471751066</v>
      </c>
      <c r="D171">
        <f>((Table2[[#This Row],[SGP]]-B$188)*(Data!D$186-COUNT(Table2[SGP])))/('SGP and PVM'!B$186-'SGP and PVM'!B$188*COUNT(Table2[SGP]))+1</f>
        <v>5.5263229799087226</v>
      </c>
      <c r="E171" t="str">
        <f>IF(Table1[[#This Row],[Included?]],Table2[[#This Row],[SGP]],"")</f>
        <v/>
      </c>
      <c r="F171" t="str">
        <f>IF(Table2[[#This Row],[Included SGP]]&lt;&gt;"", Data!D$186/'SGP and PVM'!E$186*Table2[[#This Row],[Included SGP]], "")</f>
        <v/>
      </c>
      <c r="G171" t="str">
        <f>IF(Table2[[#This Row],[CI SGP]]&lt;&gt;"", ((Table2[[#This Row],[CI SGP]]-F$188)*(Data!D$186-COUNT(Table2[CI SGP])))/('SGP and PVM'!F$186-'SGP and PVM'!F$188*COUNT(Table2[CI SGP]))+1, "")</f>
        <v/>
      </c>
      <c r="H171">
        <f>(Table1[[#This Row],[OBP]]-MEDIAN(Table1[OBP]))*Table1[[#This Row],[PA]]</f>
        <v>-0.21225400979894035</v>
      </c>
      <c r="I171">
        <f>360*(Table1[[#This Row],[R]]/Data!H$186+Table1[[#This Row],[HR]]/Data!I$186+Table1[[#This Row],[RBI]]/Data!J$186+Table1[[#This Row],[SB]]/Data!K$186+(Table2[[#This Row],[OBP Diff]]-H$188)/(H$186-H$188*COUNT(Table2[OBP Diff])))</f>
        <v>7.3249852505179014</v>
      </c>
      <c r="J171">
        <f>(Table2[[#This Row],[Crude PVM Value]]-I$188)*('SGP and PVM'!C$186-COUNT(Table2[Crude PVM Value]))/('SGP and PVM'!C$186-'SGP and PVM'!I$188*COUNT(Table2[Crude PVM Value]))+1</f>
        <v>6.1611828160800739</v>
      </c>
      <c r="K171" t="str">
        <f>IF(Table1[[#This Row],[Included?]],Table2[[#This Row],[OBP Diff]],"")</f>
        <v/>
      </c>
      <c r="L17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1" s="13" t="str">
        <f>IF(Table1[[#This Row],[Included?]], (Table2[[#This Row],[IC PVM]]-L$188)*('SGP and PVM'!C$186-COUNT(Table2[IC PVM]))/('SGP and PVM'!C$186-'SGP and PVM'!L$188*COUNT(Table2[IC PVM]))+1, "")</f>
        <v/>
      </c>
      <c r="N171" s="13">
        <f ca="1">Table2[[#This Row],[SGP Value]]*N$192+N$193</f>
        <v>-25.439926501189063</v>
      </c>
    </row>
    <row r="172" spans="2:14" x14ac:dyDescent="0.25">
      <c r="B17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7.114928315289923</v>
      </c>
      <c r="C172">
        <f>Data!D$186/'SGP and PVM'!B$186*Table2[[#This Row],[SGP]]</f>
        <v>8.3099750800654206</v>
      </c>
      <c r="D172">
        <f>((Table2[[#This Row],[SGP]]-B$188)*(Data!D$186-COUNT(Table2[SGP])))/('SGP and PVM'!B$186-'SGP and PVM'!B$188*COUNT(Table2[SGP]))+1</f>
        <v>7.7981008061467731</v>
      </c>
      <c r="E172" t="str">
        <f>IF(Table1[[#This Row],[Included?]],Table2[[#This Row],[SGP]],"")</f>
        <v/>
      </c>
      <c r="F172" t="str">
        <f>IF(Table2[[#This Row],[Included SGP]]&lt;&gt;"", Data!D$186/'SGP and PVM'!E$186*Table2[[#This Row],[Included SGP]], "")</f>
        <v/>
      </c>
      <c r="G172" t="str">
        <f>IF(Table2[[#This Row],[CI SGP]]&lt;&gt;"", ((Table2[[#This Row],[CI SGP]]-F$188)*(Data!D$186-COUNT(Table2[CI SGP])))/('SGP and PVM'!F$186-'SGP and PVM'!F$188*COUNT(Table2[CI SGP]))+1, "")</f>
        <v/>
      </c>
      <c r="H172">
        <f>(Table1[[#This Row],[OBP]]-MEDIAN(Table1[OBP]))*Table1[[#This Row],[PA]]</f>
        <v>-0.70623075125994572</v>
      </c>
      <c r="I172">
        <f>360*(Table1[[#This Row],[R]]/Data!H$186+Table1[[#This Row],[HR]]/Data!I$186+Table1[[#This Row],[RBI]]/Data!J$186+Table1[[#This Row],[SB]]/Data!K$186+(Table2[[#This Row],[OBP Diff]]-H$188)/(H$186-H$188*COUNT(Table2[OBP Diff])))</f>
        <v>9.7101583380321603</v>
      </c>
      <c r="J172">
        <f>(Table2[[#This Row],[Crude PVM Value]]-I$188)*('SGP and PVM'!C$186-COUNT(Table2[Crude PVM Value]))/('SGP and PVM'!C$186-'SGP and PVM'!I$188*COUNT(Table2[Crude PVM Value]))+1</f>
        <v>9.6285139410479097</v>
      </c>
      <c r="K172" t="str">
        <f>IF(Table1[[#This Row],[Included?]],Table2[[#This Row],[OBP Diff]],"")</f>
        <v/>
      </c>
      <c r="L17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2" s="13" t="str">
        <f>IF(Table1[[#This Row],[Included?]], (Table2[[#This Row],[IC PVM]]-L$188)*('SGP and PVM'!C$186-COUNT(Table2[IC PVM]))/('SGP and PVM'!C$186-'SGP and PVM'!L$188*COUNT(Table2[IC PVM]))+1, "")</f>
        <v/>
      </c>
      <c r="N172" s="13">
        <f ca="1">Table2[[#This Row],[SGP Value]]*N$192+N$193</f>
        <v>-11.458106184960307</v>
      </c>
    </row>
    <row r="173" spans="2:14" x14ac:dyDescent="0.25">
      <c r="B17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5.1852433935865783</v>
      </c>
      <c r="C173">
        <f>Data!D$186/'SGP and PVM'!B$186*Table2[[#This Row],[SGP]]</f>
        <v>6.0561739311104361</v>
      </c>
      <c r="D173">
        <f>((Table2[[#This Row],[SGP]]-B$188)*(Data!D$186-COUNT(Table2[SGP])))/('SGP and PVM'!B$186-'SGP and PVM'!B$188*COUNT(Table2[SGP]))+1</f>
        <v>4.8141956057242528</v>
      </c>
      <c r="E173" t="str">
        <f>IF(Table1[[#This Row],[Included?]],Table2[[#This Row],[SGP]],"")</f>
        <v/>
      </c>
      <c r="F173" t="str">
        <f>IF(Table2[[#This Row],[Included SGP]]&lt;&gt;"", Data!D$186/'SGP and PVM'!E$186*Table2[[#This Row],[Included SGP]], "")</f>
        <v/>
      </c>
      <c r="G173" t="str">
        <f>IF(Table2[[#This Row],[CI SGP]]&lt;&gt;"", ((Table2[[#This Row],[CI SGP]]-F$188)*(Data!D$186-COUNT(Table2[CI SGP])))/('SGP and PVM'!F$186-'SGP and PVM'!F$188*COUNT(Table2[CI SGP]))+1, "")</f>
        <v/>
      </c>
      <c r="H173">
        <f>(Table1[[#This Row],[OBP]]-MEDIAN(Table1[OBP]))*Table1[[#This Row],[PA]]</f>
        <v>-0.4197253517394014</v>
      </c>
      <c r="I173">
        <f>360*(Table1[[#This Row],[R]]/Data!H$186+Table1[[#This Row],[HR]]/Data!I$186+Table1[[#This Row],[RBI]]/Data!J$186+Table1[[#This Row],[SB]]/Data!K$186+(Table2[[#This Row],[OBP Diff]]-H$188)/(H$186-H$188*COUNT(Table2[OBP Diff])))</f>
        <v>6.1935854917467106</v>
      </c>
      <c r="J173">
        <f>(Table2[[#This Row],[Crude PVM Value]]-I$188)*('SGP and PVM'!C$186-COUNT(Table2[Crude PVM Value]))/('SGP and PVM'!C$186-'SGP and PVM'!I$188*COUNT(Table2[Crude PVM Value]))+1</f>
        <v>4.5164646113912923</v>
      </c>
      <c r="K173" t="str">
        <f>IF(Table1[[#This Row],[Included?]],Table2[[#This Row],[OBP Diff]],"")</f>
        <v/>
      </c>
      <c r="L17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3" s="13" t="str">
        <f>IF(Table1[[#This Row],[Included?]], (Table2[[#This Row],[IC PVM]]-L$188)*('SGP and PVM'!C$186-COUNT(Table2[IC PVM]))/('SGP and PVM'!C$186-'SGP and PVM'!L$188*COUNT(Table2[IC PVM]))+1, "")</f>
        <v/>
      </c>
      <c r="N173" s="13">
        <f ca="1">Table2[[#This Row],[SGP Value]]*N$192+N$193</f>
        <v>-29.822765735342116</v>
      </c>
    </row>
    <row r="174" spans="2:14" x14ac:dyDescent="0.25">
      <c r="B174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6.0574186509109555</v>
      </c>
      <c r="C174">
        <f>Data!D$186/'SGP and PVM'!B$186*Table2[[#This Row],[SGP]]</f>
        <v>7.0748426137224385</v>
      </c>
      <c r="D174">
        <f>((Table2[[#This Row],[SGP]]-B$188)*(Data!D$186-COUNT(Table2[SGP])))/('SGP and PVM'!B$186-'SGP and PVM'!B$188*COUNT(Table2[SGP]))+1</f>
        <v>6.1628553049008552</v>
      </c>
      <c r="E174" t="str">
        <f>IF(Table1[[#This Row],[Included?]],Table2[[#This Row],[SGP]],"")</f>
        <v/>
      </c>
      <c r="F174" t="str">
        <f>IF(Table2[[#This Row],[Included SGP]]&lt;&gt;"", Data!D$186/'SGP and PVM'!E$186*Table2[[#This Row],[Included SGP]], "")</f>
        <v/>
      </c>
      <c r="G174" t="str">
        <f>IF(Table2[[#This Row],[CI SGP]]&lt;&gt;"", ((Table2[[#This Row],[CI SGP]]-F$188)*(Data!D$186-COUNT(Table2[CI SGP])))/('SGP and PVM'!F$186-'SGP and PVM'!F$188*COUNT(Table2[CI SGP]))+1, "")</f>
        <v/>
      </c>
      <c r="H174">
        <f>(Table1[[#This Row],[OBP]]-MEDIAN(Table1[OBP]))*Table1[[#This Row],[PA]]</f>
        <v>-0.50485518418705388</v>
      </c>
      <c r="I174">
        <f>360*(Table1[[#This Row],[R]]/Data!H$186+Table1[[#This Row],[HR]]/Data!I$186+Table1[[#This Row],[RBI]]/Data!J$186+Table1[[#This Row],[SB]]/Data!K$186+(Table2[[#This Row],[OBP Diff]]-H$188)/(H$186-H$188*COUNT(Table2[OBP Diff])))</f>
        <v>7.4057075036602846</v>
      </c>
      <c r="J174">
        <f>(Table2[[#This Row],[Crude PVM Value]]-I$188)*('SGP and PVM'!C$186-COUNT(Table2[Crude PVM Value]))/('SGP and PVM'!C$186-'SGP and PVM'!I$188*COUNT(Table2[Crude PVM Value]))+1</f>
        <v>6.2785289249487644</v>
      </c>
      <c r="K174" t="str">
        <f>IF(Table1[[#This Row],[Included?]],Table2[[#This Row],[OBP Diff]],"")</f>
        <v/>
      </c>
      <c r="L174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4" s="13" t="str">
        <f>IF(Table1[[#This Row],[Included?]], (Table2[[#This Row],[IC PVM]]-L$188)*('SGP and PVM'!C$186-COUNT(Table2[IC PVM]))/('SGP and PVM'!C$186-'SGP and PVM'!L$188*COUNT(Table2[IC PVM]))+1, "")</f>
        <v/>
      </c>
      <c r="N174" s="13">
        <f ca="1">Table2[[#This Row],[SGP Value]]*N$192+N$193</f>
        <v>-21.52234244401518</v>
      </c>
    </row>
    <row r="175" spans="2:14" x14ac:dyDescent="0.25">
      <c r="B175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6.6626236578952387</v>
      </c>
      <c r="C175">
        <f>Data!D$186/'SGP and PVM'!B$186*Table2[[#This Row],[SGP]]</f>
        <v>7.7816998445342263</v>
      </c>
      <c r="D175">
        <f>((Table2[[#This Row],[SGP]]-B$188)*(Data!D$186-COUNT(Table2[SGP])))/('SGP and PVM'!B$186-'SGP and PVM'!B$188*COUNT(Table2[SGP]))+1</f>
        <v>7.0986942842862017</v>
      </c>
      <c r="E175" t="str">
        <f>IF(Table1[[#This Row],[Included?]],Table2[[#This Row],[SGP]],"")</f>
        <v/>
      </c>
      <c r="F175" t="str">
        <f>IF(Table2[[#This Row],[Included SGP]]&lt;&gt;"", Data!D$186/'SGP and PVM'!E$186*Table2[[#This Row],[Included SGP]], "")</f>
        <v/>
      </c>
      <c r="G175" t="str">
        <f>IF(Table2[[#This Row],[CI SGP]]&lt;&gt;"", ((Table2[[#This Row],[CI SGP]]-F$188)*(Data!D$186-COUNT(Table2[CI SGP])))/('SGP and PVM'!F$186-'SGP and PVM'!F$188*COUNT(Table2[CI SGP]))+1, "")</f>
        <v/>
      </c>
      <c r="H175">
        <f>(Table1[[#This Row],[OBP]]-MEDIAN(Table1[OBP]))*Table1[[#This Row],[PA]]</f>
        <v>-1.1597905702479292</v>
      </c>
      <c r="I175">
        <f>360*(Table1[[#This Row],[R]]/Data!H$186+Table1[[#This Row],[HR]]/Data!I$186+Table1[[#This Row],[RBI]]/Data!J$186+Table1[[#This Row],[SB]]/Data!K$186+(Table2[[#This Row],[OBP Diff]]-H$188)/(H$186-H$188*COUNT(Table2[OBP Diff])))</f>
        <v>8.2037163520429477</v>
      </c>
      <c r="J175">
        <f>(Table2[[#This Row],[Crude PVM Value]]-I$188)*('SGP and PVM'!C$186-COUNT(Table2[Crude PVM Value]))/('SGP and PVM'!C$186-'SGP and PVM'!I$188*COUNT(Table2[Crude PVM Value]))+1</f>
        <v>7.4385960632546766</v>
      </c>
      <c r="K175" t="str">
        <f>IF(Table1[[#This Row],[Included?]],Table2[[#This Row],[OBP Diff]],"")</f>
        <v/>
      </c>
      <c r="L175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5" s="13" t="str">
        <f>IF(Table1[[#This Row],[Included?]], (Table2[[#This Row],[IC PVM]]-L$188)*('SGP and PVM'!C$186-COUNT(Table2[IC PVM]))/('SGP and PVM'!C$186-'SGP and PVM'!L$188*COUNT(Table2[IC PVM]))+1, "")</f>
        <v/>
      </c>
      <c r="N175" s="13">
        <f ca="1">Table2[[#This Row],[SGP Value]]*N$192+N$193</f>
        <v>-15.762654016931414</v>
      </c>
    </row>
    <row r="176" spans="2:14" x14ac:dyDescent="0.25">
      <c r="B176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5.9878220186925004</v>
      </c>
      <c r="C176">
        <f>Data!D$186/'SGP and PVM'!B$186*Table2[[#This Row],[SGP]]</f>
        <v>6.9935563022147065</v>
      </c>
      <c r="D176">
        <f>((Table2[[#This Row],[SGP]]-B$188)*(Data!D$186-COUNT(Table2[SGP])))/('SGP and PVM'!B$186-'SGP and PVM'!B$188*COUNT(Table2[SGP]))+1</f>
        <v>6.0552368276702664</v>
      </c>
      <c r="E176" t="str">
        <f>IF(Table1[[#This Row],[Included?]],Table2[[#This Row],[SGP]],"")</f>
        <v/>
      </c>
      <c r="F176" t="str">
        <f>IF(Table2[[#This Row],[Included SGP]]&lt;&gt;"", Data!D$186/'SGP and PVM'!E$186*Table2[[#This Row],[Included SGP]], "")</f>
        <v/>
      </c>
      <c r="G176" t="str">
        <f>IF(Table2[[#This Row],[CI SGP]]&lt;&gt;"", ((Table2[[#This Row],[CI SGP]]-F$188)*(Data!D$186-COUNT(Table2[CI SGP])))/('SGP and PVM'!F$186-'SGP and PVM'!F$188*COUNT(Table2[CI SGP]))+1, "")</f>
        <v/>
      </c>
      <c r="H176">
        <f>(Table1[[#This Row],[OBP]]-MEDIAN(Table1[OBP]))*Table1[[#This Row],[PA]]</f>
        <v>-6.5532426085521303E-2</v>
      </c>
      <c r="I176">
        <f>360*(Table1[[#This Row],[R]]/Data!H$186+Table1[[#This Row],[HR]]/Data!I$186+Table1[[#This Row],[RBI]]/Data!J$186+Table1[[#This Row],[SB]]/Data!K$186+(Table2[[#This Row],[OBP Diff]]-H$188)/(H$186-H$188*COUNT(Table2[OBP Diff])))</f>
        <v>6.943887330297084</v>
      </c>
      <c r="J176">
        <f>(Table2[[#This Row],[Crude PVM Value]]-I$188)*('SGP and PVM'!C$186-COUNT(Table2[Crude PVM Value]))/('SGP and PVM'!C$186-'SGP and PVM'!I$188*COUNT(Table2[Crude PVM Value]))+1</f>
        <v>5.6071799693435898</v>
      </c>
      <c r="K176" t="str">
        <f>IF(Table1[[#This Row],[Included?]],Table2[[#This Row],[OBP Diff]],"")</f>
        <v/>
      </c>
      <c r="L176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6" s="13" t="str">
        <f>IF(Table1[[#This Row],[Included?]], (Table2[[#This Row],[IC PVM]]-L$188)*('SGP and PVM'!C$186-COUNT(Table2[IC PVM]))/('SGP and PVM'!C$186-'SGP and PVM'!L$188*COUNT(Table2[IC PVM]))+1, "")</f>
        <v/>
      </c>
      <c r="N176" s="13">
        <f ca="1">Table2[[#This Row],[SGP Value]]*N$192+N$193</f>
        <v>-22.184688116186813</v>
      </c>
    </row>
    <row r="177" spans="1:14" x14ac:dyDescent="0.25">
      <c r="B177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5.337570435805322</v>
      </c>
      <c r="C177">
        <f>Data!D$186/'SGP and PVM'!B$186*Table2[[#This Row],[SGP]]</f>
        <v>6.2340863244282385</v>
      </c>
      <c r="D177">
        <f>((Table2[[#This Row],[SGP]]-B$188)*(Data!D$186-COUNT(Table2[SGP])))/('SGP and PVM'!B$186-'SGP and PVM'!B$188*COUNT(Table2[SGP]))+1</f>
        <v>5.0497415481365895</v>
      </c>
      <c r="E177" t="str">
        <f>IF(Table1[[#This Row],[Included?]],Table2[[#This Row],[SGP]],"")</f>
        <v/>
      </c>
      <c r="F177" t="str">
        <f>IF(Table2[[#This Row],[Included SGP]]&lt;&gt;"", Data!D$186/'SGP and PVM'!E$186*Table2[[#This Row],[Included SGP]], "")</f>
        <v/>
      </c>
      <c r="G177" t="str">
        <f>IF(Table2[[#This Row],[CI SGP]]&lt;&gt;"", ((Table2[[#This Row],[CI SGP]]-F$188)*(Data!D$186-COUNT(Table2[CI SGP])))/('SGP and PVM'!F$186-'SGP and PVM'!F$188*COUNT(Table2[CI SGP]))+1, "")</f>
        <v/>
      </c>
      <c r="H177">
        <f>(Table1[[#This Row],[OBP]]-MEDIAN(Table1[OBP]))*Table1[[#This Row],[PA]]</f>
        <v>0.27595385720582927</v>
      </c>
      <c r="I177">
        <f>360*(Table1[[#This Row],[R]]/Data!H$186+Table1[[#This Row],[HR]]/Data!I$186+Table1[[#This Row],[RBI]]/Data!J$186+Table1[[#This Row],[SB]]/Data!K$186+(Table2[[#This Row],[OBP Diff]]-H$188)/(H$186-H$188*COUNT(Table2[OBP Diff])))</f>
        <v>7.853558486656949</v>
      </c>
      <c r="J177">
        <f>(Table2[[#This Row],[Crude PVM Value]]-I$188)*('SGP and PVM'!C$186-COUNT(Table2[Crude PVM Value]))/('SGP and PVM'!C$186-'SGP and PVM'!I$188*COUNT(Table2[Crude PVM Value]))+1</f>
        <v>6.9295708391899211</v>
      </c>
      <c r="K177" t="str">
        <f>IF(Table1[[#This Row],[Included?]],Table2[[#This Row],[OBP Diff]],"")</f>
        <v/>
      </c>
      <c r="L177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7" s="13" t="str">
        <f>IF(Table1[[#This Row],[Included?]], (Table2[[#This Row],[IC PVM]]-L$188)*('SGP and PVM'!C$186-COUNT(Table2[IC PVM]))/('SGP and PVM'!C$186-'SGP and PVM'!L$188*COUNT(Table2[IC PVM]))+1, "")</f>
        <v/>
      </c>
      <c r="N177" s="13">
        <f ca="1">Table2[[#This Row],[SGP Value]]*N$192+N$193</f>
        <v>-28.373081261363559</v>
      </c>
    </row>
    <row r="178" spans="1:14" x14ac:dyDescent="0.25">
      <c r="B178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5.208886122599365</v>
      </c>
      <c r="C178">
        <f>Data!D$186/'SGP and PVM'!B$186*Table2[[#This Row],[SGP]]</f>
        <v>6.083787770662239</v>
      </c>
      <c r="D178">
        <f>((Table2[[#This Row],[SGP]]-B$188)*(Data!D$186-COUNT(Table2[SGP])))/('SGP and PVM'!B$186-'SGP and PVM'!B$188*COUNT(Table2[SGP]))+1</f>
        <v>4.8507547668909172</v>
      </c>
      <c r="E178" t="str">
        <f>IF(Table1[[#This Row],[Included?]],Table2[[#This Row],[SGP]],"")</f>
        <v/>
      </c>
      <c r="F178" t="str">
        <f>IF(Table2[[#This Row],[Included SGP]]&lt;&gt;"", Data!D$186/'SGP and PVM'!E$186*Table2[[#This Row],[Included SGP]], "")</f>
        <v/>
      </c>
      <c r="G178" t="str">
        <f>IF(Table2[[#This Row],[CI SGP]]&lt;&gt;"", ((Table2[[#This Row],[CI SGP]]-F$188)*(Data!D$186-COUNT(Table2[CI SGP])))/('SGP and PVM'!F$186-'SGP and PVM'!F$188*COUNT(Table2[CI SGP]))+1, "")</f>
        <v/>
      </c>
      <c r="H178">
        <f>(Table1[[#This Row],[OBP]]-MEDIAN(Table1[OBP]))*Table1[[#This Row],[PA]]</f>
        <v>-0.95846456936006197</v>
      </c>
      <c r="I178">
        <f>360*(Table1[[#This Row],[R]]/Data!H$186+Table1[[#This Row],[HR]]/Data!I$186+Table1[[#This Row],[RBI]]/Data!J$186+Table1[[#This Row],[SB]]/Data!K$186+(Table2[[#This Row],[OBP Diff]]-H$188)/(H$186-H$188*COUNT(Table2[OBP Diff])))</f>
        <v>6.5320724868206721</v>
      </c>
      <c r="J178">
        <f>(Table2[[#This Row],[Crude PVM Value]]-I$188)*('SGP and PVM'!C$186-COUNT(Table2[Crude PVM Value]))/('SGP and PVM'!C$186-'SGP and PVM'!I$188*COUNT(Table2[Crude PVM Value]))+1</f>
        <v>5.0085238667805569</v>
      </c>
      <c r="K178" t="str">
        <f>IF(Table1[[#This Row],[Included?]],Table2[[#This Row],[OBP Diff]],"")</f>
        <v/>
      </c>
      <c r="L178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8" s="13" t="str">
        <f>IF(Table1[[#This Row],[Included?]], (Table2[[#This Row],[IC PVM]]-L$188)*('SGP and PVM'!C$186-COUNT(Table2[IC PVM]))/('SGP and PVM'!C$186-'SGP and PVM'!L$188*COUNT(Table2[IC PVM]))+1, "")</f>
        <v/>
      </c>
      <c r="N178" s="13">
        <f ca="1">Table2[[#This Row],[SGP Value]]*N$192+N$193</f>
        <v>-29.597759743805167</v>
      </c>
    </row>
    <row r="179" spans="1:14" x14ac:dyDescent="0.25">
      <c r="B179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6.0488209923006124</v>
      </c>
      <c r="C179">
        <f>Data!D$186/'SGP and PVM'!B$186*Table2[[#This Row],[SGP]]</f>
        <v>7.0648008640894417</v>
      </c>
      <c r="D179">
        <f>((Table2[[#This Row],[SGP]]-B$188)*(Data!D$186-COUNT(Table2[SGP])))/('SGP and PVM'!B$186-'SGP and PVM'!B$188*COUNT(Table2[SGP]))+1</f>
        <v>6.1495605965521909</v>
      </c>
      <c r="E179" t="str">
        <f>IF(Table1[[#This Row],[Included?]],Table2[[#This Row],[SGP]],"")</f>
        <v/>
      </c>
      <c r="F179" t="str">
        <f>IF(Table2[[#This Row],[Included SGP]]&lt;&gt;"", Data!D$186/'SGP and PVM'!E$186*Table2[[#This Row],[Included SGP]], "")</f>
        <v/>
      </c>
      <c r="G179" t="str">
        <f>IF(Table2[[#This Row],[CI SGP]]&lt;&gt;"", ((Table2[[#This Row],[CI SGP]]-F$188)*(Data!D$186-COUNT(Table2[CI SGP])))/('SGP and PVM'!F$186-'SGP and PVM'!F$188*COUNT(Table2[CI SGP]))+1, "")</f>
        <v/>
      </c>
      <c r="H179">
        <f>(Table1[[#This Row],[OBP]]-MEDIAN(Table1[OBP]))*Table1[[#This Row],[PA]]</f>
        <v>-0.86705244420350758</v>
      </c>
      <c r="I179">
        <f>360*(Table1[[#This Row],[R]]/Data!H$186+Table1[[#This Row],[HR]]/Data!I$186+Table1[[#This Row],[RBI]]/Data!J$186+Table1[[#This Row],[SB]]/Data!K$186+(Table2[[#This Row],[OBP Diff]]-H$188)/(H$186-H$188*COUNT(Table2[OBP Diff])))</f>
        <v>7.5247854526789109</v>
      </c>
      <c r="J179">
        <f>(Table2[[#This Row],[Crude PVM Value]]-I$188)*('SGP and PVM'!C$186-COUNT(Table2[Crude PVM Value]))/('SGP and PVM'!C$186-'SGP and PVM'!I$188*COUNT(Table2[Crude PVM Value]))+1</f>
        <v>6.4516327894401693</v>
      </c>
      <c r="K179" t="str">
        <f>IF(Table1[[#This Row],[Included?]],Table2[[#This Row],[OBP Diff]],"")</f>
        <v/>
      </c>
      <c r="L179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79" s="13" t="str">
        <f>IF(Table1[[#This Row],[Included?]], (Table2[[#This Row],[IC PVM]]-L$188)*('SGP and PVM'!C$186-COUNT(Table2[IC PVM]))/('SGP and PVM'!C$186-'SGP and PVM'!L$188*COUNT(Table2[IC PVM]))+1, "")</f>
        <v/>
      </c>
      <c r="N179" s="13">
        <f ca="1">Table2[[#This Row],[SGP Value]]*N$192+N$193</f>
        <v>-21.604165684448645</v>
      </c>
    </row>
    <row r="180" spans="1:14" x14ac:dyDescent="0.25">
      <c r="B180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4.2685316083542659</v>
      </c>
      <c r="C180">
        <f>Data!D$186/'SGP and PVM'!B$186*Table2[[#This Row],[SGP]]</f>
        <v>4.9854882188577774</v>
      </c>
      <c r="D180">
        <f>((Table2[[#This Row],[SGP]]-B$188)*(Data!D$186-COUNT(Table2[SGP])))/('SGP and PVM'!B$186-'SGP and PVM'!B$188*COUNT(Table2[SGP]))+1</f>
        <v>3.3966683024436883</v>
      </c>
      <c r="E180" t="str">
        <f>IF(Table1[[#This Row],[Included?]],Table2[[#This Row],[SGP]],"")</f>
        <v/>
      </c>
      <c r="F180" t="str">
        <f>IF(Table2[[#This Row],[Included SGP]]&lt;&gt;"", Data!D$186/'SGP and PVM'!E$186*Table2[[#This Row],[Included SGP]], "")</f>
        <v/>
      </c>
      <c r="G180" t="str">
        <f>IF(Table2[[#This Row],[CI SGP]]&lt;&gt;"", ((Table2[[#This Row],[CI SGP]]-F$188)*(Data!D$186-COUNT(Table2[CI SGP])))/('SGP and PVM'!F$186-'SGP and PVM'!F$188*COUNT(Table2[CI SGP]))+1, "")</f>
        <v/>
      </c>
      <c r="H180">
        <f>(Table1[[#This Row],[OBP]]-MEDIAN(Table1[OBP]))*Table1[[#This Row],[PA]]</f>
        <v>-0.82622407423764177</v>
      </c>
      <c r="I180">
        <f>360*(Table1[[#This Row],[R]]/Data!H$186+Table1[[#This Row],[HR]]/Data!I$186+Table1[[#This Row],[RBI]]/Data!J$186+Table1[[#This Row],[SB]]/Data!K$186+(Table2[[#This Row],[OBP Diff]]-H$188)/(H$186-H$188*COUNT(Table2[OBP Diff])))</f>
        <v>4.8949657739486092</v>
      </c>
      <c r="J180">
        <f>(Table2[[#This Row],[Crude PVM Value]]-I$188)*('SGP and PVM'!C$186-COUNT(Table2[Crude PVM Value]))/('SGP and PVM'!C$186-'SGP and PVM'!I$188*COUNT(Table2[Crude PVM Value]))+1</f>
        <v>2.6286584011883667</v>
      </c>
      <c r="K180" t="str">
        <f>IF(Table1[[#This Row],[Included?]],Table2[[#This Row],[OBP Diff]],"")</f>
        <v/>
      </c>
      <c r="L180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0" s="13" t="str">
        <f>IF(Table1[[#This Row],[Included?]], (Table2[[#This Row],[IC PVM]]-L$188)*('SGP and PVM'!C$186-COUNT(Table2[IC PVM]))/('SGP and PVM'!C$186-'SGP and PVM'!L$188*COUNT(Table2[IC PVM]))+1, "")</f>
        <v/>
      </c>
      <c r="N180" s="13">
        <f ca="1">Table2[[#This Row],[SGP Value]]*N$192+N$193</f>
        <v>-38.547039658130352</v>
      </c>
    </row>
    <row r="181" spans="1:14" x14ac:dyDescent="0.25">
      <c r="B181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5.1475908780407726</v>
      </c>
      <c r="C181">
        <f>Data!D$186/'SGP and PVM'!B$186*Table2[[#This Row],[SGP]]</f>
        <v>6.0121971751935819</v>
      </c>
      <c r="D181">
        <f>((Table2[[#This Row],[SGP]]-B$188)*(Data!D$186-COUNT(Table2[SGP])))/('SGP and PVM'!B$186-'SGP and PVM'!B$188*COUNT(Table2[SGP]))+1</f>
        <v>4.7559728691093319</v>
      </c>
      <c r="E181" t="str">
        <f>IF(Table1[[#This Row],[Included?]],Table2[[#This Row],[SGP]],"")</f>
        <v/>
      </c>
      <c r="F181" t="str">
        <f>IF(Table2[[#This Row],[Included SGP]]&lt;&gt;"", Data!D$186/'SGP and PVM'!E$186*Table2[[#This Row],[Included SGP]], "")</f>
        <v/>
      </c>
      <c r="G181" t="str">
        <f>IF(Table2[[#This Row],[CI SGP]]&lt;&gt;"", ((Table2[[#This Row],[CI SGP]]-F$188)*(Data!D$186-COUNT(Table2[CI SGP])))/('SGP and PVM'!F$186-'SGP and PVM'!F$188*COUNT(Table2[CI SGP]))+1, "")</f>
        <v/>
      </c>
      <c r="H181">
        <f>(Table1[[#This Row],[OBP]]-MEDIAN(Table1[OBP]))*Table1[[#This Row],[PA]]</f>
        <v>-0.40099836500933728</v>
      </c>
      <c r="I181">
        <f>360*(Table1[[#This Row],[R]]/Data!H$186+Table1[[#This Row],[HR]]/Data!I$186+Table1[[#This Row],[RBI]]/Data!J$186+Table1[[#This Row],[SB]]/Data!K$186+(Table2[[#This Row],[OBP Diff]]-H$188)/(H$186-H$188*COUNT(Table2[OBP Diff])))</f>
        <v>6.2045578403277393</v>
      </c>
      <c r="J181">
        <f>(Table2[[#This Row],[Crude PVM Value]]-I$188)*('SGP and PVM'!C$186-COUNT(Table2[Crude PVM Value]))/('SGP and PVM'!C$186-'SGP and PVM'!I$188*COUNT(Table2[Crude PVM Value]))+1</f>
        <v>4.5324151375598749</v>
      </c>
      <c r="K181" t="str">
        <f>IF(Table1[[#This Row],[Included?]],Table2[[#This Row],[OBP Diff]],"")</f>
        <v/>
      </c>
      <c r="L181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1" s="13" t="str">
        <f>IF(Table1[[#This Row],[Included?]], (Table2[[#This Row],[IC PVM]]-L$188)*('SGP and PVM'!C$186-COUNT(Table2[IC PVM]))/('SGP and PVM'!C$186-'SGP and PVM'!L$188*COUNT(Table2[IC PVM]))+1, "")</f>
        <v/>
      </c>
      <c r="N181" s="13">
        <f ca="1">Table2[[#This Row],[SGP Value]]*N$192+N$193</f>
        <v>-30.181101762865097</v>
      </c>
    </row>
    <row r="182" spans="1:14" x14ac:dyDescent="0.25">
      <c r="B182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5.6763742071678287</v>
      </c>
      <c r="C182">
        <f>Data!D$186/'SGP and PVM'!B$186*Table2[[#This Row],[SGP]]</f>
        <v>6.6297966917420226</v>
      </c>
      <c r="D182">
        <f>((Table2[[#This Row],[SGP]]-B$188)*(Data!D$186-COUNT(Table2[SGP])))/('SGP and PVM'!B$186-'SGP and PVM'!B$188*COUNT(Table2[SGP]))+1</f>
        <v>5.5736396850401864</v>
      </c>
      <c r="E182" t="str">
        <f>IF(Table1[[#This Row],[Included?]],Table2[[#This Row],[SGP]],"")</f>
        <v/>
      </c>
      <c r="F182" t="str">
        <f>IF(Table2[[#This Row],[Included SGP]]&lt;&gt;"", Data!D$186/'SGP and PVM'!E$186*Table2[[#This Row],[Included SGP]], "")</f>
        <v/>
      </c>
      <c r="G182" t="str">
        <f>IF(Table2[[#This Row],[CI SGP]]&lt;&gt;"", ((Table2[[#This Row],[CI SGP]]-F$188)*(Data!D$186-COUNT(Table2[CI SGP])))/('SGP and PVM'!F$186-'SGP and PVM'!F$188*COUNT(Table2[CI SGP]))+1, "")</f>
        <v/>
      </c>
      <c r="H182">
        <f>(Table1[[#This Row],[OBP]]-MEDIAN(Table1[OBP]))*Table1[[#This Row],[PA]]</f>
        <v>-0.68890242164618576</v>
      </c>
      <c r="I182">
        <f>360*(Table1[[#This Row],[R]]/Data!H$186+Table1[[#This Row],[HR]]/Data!I$186+Table1[[#This Row],[RBI]]/Data!J$186+Table1[[#This Row],[SB]]/Data!K$186+(Table2[[#This Row],[OBP Diff]]-H$188)/(H$186-H$188*COUNT(Table2[OBP Diff])))</f>
        <v>7.3820792498582843</v>
      </c>
      <c r="J182">
        <f>(Table2[[#This Row],[Crude PVM Value]]-I$188)*('SGP and PVM'!C$186-COUNT(Table2[Crude PVM Value]))/('SGP and PVM'!C$186-'SGP and PVM'!I$188*COUNT(Table2[Crude PVM Value]))+1</f>
        <v>6.2441804827895009</v>
      </c>
      <c r="K182" t="str">
        <f>IF(Table1[[#This Row],[Included?]],Table2[[#This Row],[OBP Diff]],"")</f>
        <v/>
      </c>
      <c r="L182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2" s="13" t="str">
        <f>IF(Table1[[#This Row],[Included?]], (Table2[[#This Row],[IC PVM]]-L$188)*('SGP and PVM'!C$186-COUNT(Table2[IC PVM]))/('SGP and PVM'!C$186-'SGP and PVM'!L$188*COUNT(Table2[IC PVM]))+1, "")</f>
        <v/>
      </c>
      <c r="N182" s="13">
        <f ca="1">Table2[[#This Row],[SGP Value]]*N$192+N$193</f>
        <v>-25.148712430225252</v>
      </c>
    </row>
    <row r="183" spans="1:14" x14ac:dyDescent="0.25">
      <c r="B183">
        <f>Table1[[#This Row],[R]]*Data!B$191+Table1[[#This Row],[HR]]*Data!C$191+Table1[[#This Row],[RBI]]*Data!D$191+Table1[[#This Row],[SB]]*Data!E$191+(((Data!P$185*8+Table1[[#This Row],[OB]])/(Data!M$185*8+Table1[[#This Row],[PA]])-Data!P$185/Data!M$185)/Data!F$191)</f>
        <v>5.1289901587911473</v>
      </c>
      <c r="C183">
        <f>Data!D$186/'SGP and PVM'!B$186*Table2[[#This Row],[SGP]]</f>
        <v>5.9904722179507228</v>
      </c>
      <c r="D183">
        <f>((Table2[[#This Row],[SGP]]-B$188)*(Data!D$186-COUNT(Table2[SGP])))/('SGP and PVM'!B$186-'SGP and PVM'!B$188*COUNT(Table2[SGP]))+1</f>
        <v>4.727210254924854</v>
      </c>
      <c r="E183" t="str">
        <f>IF(Table1[[#This Row],[Included?]],Table2[[#This Row],[SGP]],"")</f>
        <v/>
      </c>
      <c r="F183" t="str">
        <f>IF(Table2[[#This Row],[Included SGP]]&lt;&gt;"", Data!D$186/'SGP and PVM'!E$186*Table2[[#This Row],[Included SGP]], "")</f>
        <v/>
      </c>
      <c r="G183" t="str">
        <f>IF(Table2[[#This Row],[CI SGP]]&lt;&gt;"", ((Table2[[#This Row],[CI SGP]]-F$188)*(Data!D$186-COUNT(Table2[CI SGP])))/('SGP and PVM'!F$186-'SGP and PVM'!F$188*COUNT(Table2[CI SGP]))+1, "")</f>
        <v/>
      </c>
      <c r="H183">
        <f>(Table1[[#This Row],[OBP]]-MEDIAN(Table1[OBP]))*Table1[[#This Row],[PA]]</f>
        <v>-6.762889769221915E-2</v>
      </c>
      <c r="I183">
        <f>360*(Table1[[#This Row],[R]]/Data!H$186+Table1[[#This Row],[HR]]/Data!I$186+Table1[[#This Row],[RBI]]/Data!J$186+Table1[[#This Row],[SB]]/Data!K$186+(Table2[[#This Row],[OBP Diff]]-H$188)/(H$186-H$188*COUNT(Table2[OBP Diff])))</f>
        <v>6.7219012389735484</v>
      </c>
      <c r="J183">
        <f>(Table2[[#This Row],[Crude PVM Value]]-I$188)*('SGP and PVM'!C$186-COUNT(Table2[Crude PVM Value]))/('SGP and PVM'!C$186-'SGP and PVM'!I$188*COUNT(Table2[Crude PVM Value]))+1</f>
        <v>5.2844783223288649</v>
      </c>
      <c r="K183" t="str">
        <f>IF(Table1[[#This Row],[Included?]],Table2[[#This Row],[OBP Diff]],"")</f>
        <v/>
      </c>
      <c r="L183" s="13" t="str">
        <f>IF(Table1[[#This Row],[Included?]],360*(Table1[[#This Row],[I R]]/Data!S$186+Table1[[#This Row],[I HR]]/Data!T$186+Table1[[#This Row],[I RBI]]/Data!U$186+Table1[[#This Row],[I SB]]/Data!V$186+(Table2[[#This Row],[Incl OBP Diff]]-K$188)/(SUM(Table2[Incl OBP Diff])-K$188*COUNT(Table2[Incl OBP Diff]))), "")</f>
        <v/>
      </c>
      <c r="M183" s="13" t="str">
        <f>IF(Table1[[#This Row],[Included?]], (Table2[[#This Row],[IC PVM]]-L$188)*('SGP and PVM'!C$186-COUNT(Table2[IC PVM]))/('SGP and PVM'!C$186-'SGP and PVM'!L$188*COUNT(Table2[IC PVM]))+1, "")</f>
        <v/>
      </c>
      <c r="N183" s="13">
        <f ca="1">Table2[[#This Row],[SGP Value]]*N$192+N$193</f>
        <v>-30.35812334424849</v>
      </c>
    </row>
    <row r="185" spans="1:14" x14ac:dyDescent="0.25">
      <c r="A185" s="4" t="s">
        <v>177</v>
      </c>
      <c r="B185">
        <f>AVERAGE(Table2[SGP])</f>
        <v>8.4678259826884812</v>
      </c>
      <c r="C185">
        <f>AVERAGE(Table2[Crude SGP Value])</f>
        <v>9.8901098901098958</v>
      </c>
      <c r="D185">
        <f>AVERAGE(Table2[SGP Value])</f>
        <v>9.8901098901099012</v>
      </c>
      <c r="E185">
        <f>AVERAGE(Table2[Included SGP])</f>
        <v>10.168900925306971</v>
      </c>
      <c r="F185">
        <f>AVERAGE(Table2[CI SGP])</f>
        <v>20.000000000000004</v>
      </c>
      <c r="G185">
        <f>AVERAGE(Table2[Incl SGP Value])</f>
        <v>19.999999999999968</v>
      </c>
      <c r="H185">
        <f>AVERAGE(Table2[OBP Diff])</f>
        <v>0.11164959910277042</v>
      </c>
      <c r="I185">
        <f>AVERAGE(Table2[Crude PVM Value])</f>
        <v>9.8901098901098958</v>
      </c>
      <c r="J185">
        <f>AVERAGE(Table2[PVM Value])</f>
        <v>9.8901098901098923</v>
      </c>
      <c r="K185">
        <f>AVERAGE(Table2[Incl OBP Diff])</f>
        <v>0.57037568427245833</v>
      </c>
      <c r="L185">
        <f>AVERAGE(Table2[IC PVM])</f>
        <v>19.999999999999996</v>
      </c>
      <c r="M185">
        <f>AVERAGE(Table2[Incl PVM Value])</f>
        <v>19.999999999999986</v>
      </c>
      <c r="N185">
        <f ca="1">AVERAGE(Table2[BSKL SGP])</f>
        <v>1.4173144543578404</v>
      </c>
    </row>
    <row r="186" spans="1:14" x14ac:dyDescent="0.25">
      <c r="A186" s="4" t="s">
        <v>178</v>
      </c>
      <c r="B186">
        <f>SUM(Table2[SGP])</f>
        <v>1541.1443288493035</v>
      </c>
      <c r="C186">
        <f>SUM(Table2[Crude SGP Value])</f>
        <v>1800.0000000000011</v>
      </c>
      <c r="D186">
        <f>SUM(Table2[SGP Value])</f>
        <v>1800.000000000002</v>
      </c>
      <c r="E186">
        <f>SUM(Table2[Included SGP])</f>
        <v>915.20108327762739</v>
      </c>
      <c r="F186">
        <f>SUM(Table2[CI SGP])</f>
        <v>1800.0000000000005</v>
      </c>
      <c r="G186">
        <f>SUM(Table2[Incl SGP Value])</f>
        <v>1799.9999999999973</v>
      </c>
      <c r="H186">
        <f>SUM(Table2[OBP Diff])</f>
        <v>20.320227036704217</v>
      </c>
      <c r="I186">
        <f>SUM(Table2[Crude PVM Value])</f>
        <v>1800.0000000000009</v>
      </c>
      <c r="J186">
        <f>SUM(Table2[PVM Value])</f>
        <v>1800.0000000000005</v>
      </c>
      <c r="K186">
        <f>SUM(Table2[Incl OBP Diff])</f>
        <v>51.33381158452125</v>
      </c>
      <c r="L186">
        <f>SUM(Table2[IC PVM])</f>
        <v>1799.9999999999995</v>
      </c>
      <c r="M186">
        <f>SUM(Table2[Incl PVM Value])</f>
        <v>1799.9999999999989</v>
      </c>
      <c r="N186">
        <f ca="1">SUM(Table2[BSKL SGP])</f>
        <v>257.95123069312694</v>
      </c>
    </row>
    <row r="187" spans="1:14" x14ac:dyDescent="0.25">
      <c r="A187" s="4" t="s">
        <v>179</v>
      </c>
      <c r="B187">
        <f>MAX(Table2[SGP])</f>
        <v>17.077766456915409</v>
      </c>
      <c r="C187">
        <f>MAX(Table2[Crude SGP Value])</f>
        <v>19.946204289250289</v>
      </c>
      <c r="D187">
        <f>MAX(Table2[SGP Value])</f>
        <v>23.203809897516411</v>
      </c>
      <c r="E187">
        <f>MAX(Table2[Included SGP])</f>
        <v>17.077766456915409</v>
      </c>
      <c r="F187">
        <f>MAX(Table2[CI SGP])</f>
        <v>33.588224690860343</v>
      </c>
      <c r="G187">
        <f>MAX(Table2[Incl SGP Value])</f>
        <v>57.825318132450491</v>
      </c>
      <c r="H187">
        <f>MAX(Table2[OBP Diff])</f>
        <v>2.4234644885820065</v>
      </c>
      <c r="I187">
        <f>MAX(Table2[Crude PVM Value])</f>
        <v>20.459952634069406</v>
      </c>
      <c r="J187">
        <f>MAX(Table2[PVM Value])</f>
        <v>25.255512478288793</v>
      </c>
      <c r="K187">
        <f>MAX(Table2[Incl OBP Diff])</f>
        <v>2.4234644885820065</v>
      </c>
      <c r="L187">
        <f>MAX(Table2[IC PVM])</f>
        <v>35.047827303535797</v>
      </c>
      <c r="M187">
        <f>MAX(Table2[Incl PVM Value])</f>
        <v>59.402632456617908</v>
      </c>
      <c r="N187">
        <f ca="1">MAX(Table2[BSKL SGP])</f>
        <v>83.357440419926405</v>
      </c>
    </row>
    <row r="188" spans="1:14" x14ac:dyDescent="0.25">
      <c r="A188" s="4" t="s">
        <v>180</v>
      </c>
      <c r="B188">
        <f>MIN(Table2[SGP])</f>
        <v>2.7186114953107734</v>
      </c>
      <c r="C188">
        <f>MIN(Table2[Crude SGP Value])</f>
        <v>3.1752384250819179</v>
      </c>
      <c r="D188">
        <f>MIN(Table2[SGP Value])</f>
        <v>1</v>
      </c>
      <c r="E188">
        <f>MIN(Table2[Included SGP])</f>
        <v>6.6985151736020958</v>
      </c>
      <c r="F188">
        <f>MIN(Table2[CI SGP])</f>
        <v>13.174511626781115</v>
      </c>
      <c r="G188">
        <f>MIN(Table2[Incl SGP Value])</f>
        <v>1</v>
      </c>
      <c r="H188">
        <f>MIN(Table2[OBP Diff])</f>
        <v>-1.4874619188645761</v>
      </c>
      <c r="I188">
        <f>MIN(Table2[Crude PVM Value])</f>
        <v>3.7746135355091583</v>
      </c>
      <c r="J188">
        <f>MIN(Table2[PVM Value])</f>
        <v>1</v>
      </c>
      <c r="K188">
        <f>MIN(Table2[Incl OBP Diff])</f>
        <v>-1.0210351702363007</v>
      </c>
      <c r="L188">
        <f>MIN(Table2[IC PVM])</f>
        <v>12.743918338908861</v>
      </c>
      <c r="M188">
        <f>MIN(Table2[Incl PVM Value])</f>
        <v>1</v>
      </c>
      <c r="N188">
        <f ca="1">MIN(Table2[BSKL SGP])</f>
        <v>-53.297507408693427</v>
      </c>
    </row>
    <row r="189" spans="1:14" x14ac:dyDescent="0.25">
      <c r="A189" s="4" t="s">
        <v>181</v>
      </c>
      <c r="B189">
        <f>_xlfn.STDEV.P(Table2[SGP])</f>
        <v>2.5386464715557588</v>
      </c>
      <c r="C189">
        <f>_xlfn.STDEV.P(Table2[Crude SGP Value])</f>
        <v>2.9650458839323748</v>
      </c>
      <c r="D189">
        <f>_xlfn.STDEV.P(Table2[SGP Value])</f>
        <v>3.9255529870767081</v>
      </c>
      <c r="E189">
        <f>_xlfn.STDEV.P(Table2[Included SGP])</f>
        <v>2.0791762358167309</v>
      </c>
      <c r="F189">
        <f>_xlfn.STDEV.P(Table2[CI SGP])</f>
        <v>4.089284085052582</v>
      </c>
      <c r="G189">
        <f>_xlfn.STDEV.P(Table2[Incl SGP Value])</f>
        <v>11.383273015430886</v>
      </c>
      <c r="H189">
        <f>_xlfn.STDEV.P(Table2[OBP Diff])</f>
        <v>0.72037282361375587</v>
      </c>
      <c r="I189">
        <f>_xlfn.STDEV.P(Table2[Crude PVM Value])</f>
        <v>3.1140127406449443</v>
      </c>
      <c r="J189">
        <f>_xlfn.STDEV.P(Table2[PVM Value])</f>
        <v>4.5268468589158957</v>
      </c>
      <c r="K189">
        <f>_xlfn.STDEV.P(Table2[Incl OBP Diff])</f>
        <v>0.65047592412843891</v>
      </c>
      <c r="L189">
        <f>_xlfn.STDEV.P(Table2[IC PVM])</f>
        <v>4.6123135028341631</v>
      </c>
      <c r="M189">
        <f>_xlfn.STDEV.P(Table2[Incl PVM Value])</f>
        <v>12.077311233108437</v>
      </c>
      <c r="N189">
        <f ca="1">_xlfn.STDEV.P(Table2[BSKL SGP])</f>
        <v>24.160098700334114</v>
      </c>
    </row>
    <row r="191" spans="1:14" x14ac:dyDescent="0.25">
      <c r="A191" s="4"/>
    </row>
    <row r="192" spans="1:14" x14ac:dyDescent="0.25">
      <c r="A192" s="4"/>
      <c r="N192">
        <f ca="1">(Data!$D$186-Data!$B$195)/(SUMPRODUCT(LARGE(Table2[SGP Value], ROW(INDIRECT(Data!$C$195)))) - Data!$B$195*LARGE(Table2[SGP Value], Data!$B$195))</f>
        <v>6.1545720513444522</v>
      </c>
    </row>
    <row r="193" spans="1:14" x14ac:dyDescent="0.25">
      <c r="A193" s="4"/>
      <c r="N193">
        <f ca="1">1-'SGP and PVM'!N$192*LARGE(Table2[SGP Value], Data!$B$195)</f>
        <v>-59.452079460037879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"/>
  <sheetViews>
    <sheetView zoomScale="80" zoomScaleNormal="80" workbookViewId="0">
      <selection activeCell="S176" sqref="S176"/>
    </sheetView>
  </sheetViews>
  <sheetFormatPr defaultRowHeight="15" x14ac:dyDescent="0.25"/>
  <cols>
    <col min="5" max="5" width="9.85546875" customWidth="1"/>
    <col min="6" max="7" width="10.5703125" customWidth="1"/>
  </cols>
  <sheetData>
    <row r="1" spans="1:9" x14ac:dyDescent="0.25">
      <c r="A1" t="s">
        <v>329</v>
      </c>
      <c r="B1" t="s">
        <v>330</v>
      </c>
      <c r="C1" t="s">
        <v>331</v>
      </c>
      <c r="D1" t="s">
        <v>332</v>
      </c>
      <c r="E1" t="s">
        <v>333</v>
      </c>
      <c r="F1" t="s">
        <v>334</v>
      </c>
      <c r="G1" t="s">
        <v>348</v>
      </c>
      <c r="H1" t="s">
        <v>335</v>
      </c>
      <c r="I1" t="s">
        <v>336</v>
      </c>
    </row>
    <row r="2" spans="1:9" x14ac:dyDescent="0.25">
      <c r="A2">
        <f>IF(Table1[[#This Row],[Included?]], (Table1[[#This Row],[I R]]-Data!S$188)/(Data!S$186-90*Data!S$188)*Data!B$193, "")</f>
        <v>9.3464945258486409</v>
      </c>
      <c r="B2">
        <f>IF(Table1[[#This Row],[Included?]], (Table1[[#This Row],[I HR]]-Data!T$188)/(Data!T$186-90*Data!T$188)*Data!C$193, "")</f>
        <v>9.5713687345837055</v>
      </c>
      <c r="C2">
        <f>IF(Table1[[#This Row],[Included?]], (Table1[[#This Row],[I RBI]]-Data!U$188)/(Data!U$186-90*Data!U$188)*Data!D$193, "")</f>
        <v>6.9374134406120156</v>
      </c>
      <c r="D2">
        <f>IF(Table1[[#This Row],[Included?]], (Table1[[#This Row],[I SB]]-Data!V$188)/(Data!V$186-90*Data!V$188)*Data!E$193, "")</f>
        <v>5.6112396694214866</v>
      </c>
      <c r="E2">
        <f>IF(Table1[[#This Row],[Included?]], (Table1[[#This Row],[I OBP]]-Data!W$188)/(Data!W$186-90*Data!W$188)*Data!F$193, "")</f>
        <v>7.3902615387510808</v>
      </c>
      <c r="F2">
        <f>IF( Table1[[#This Row],[Included?]], SUM(Table5[[#This Row],[Radj]:[OBPAdj]]), "")</f>
        <v>38.85677790921693</v>
      </c>
      <c r="G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2">
        <f>IF(Table1[[#This Row],[Included?]], Table5[[#This Row],[TotalAdj]]-Table5[[#This Row],[MinPos]], "")</f>
        <v>23.866084551379974</v>
      </c>
      <c r="I2">
        <f>IF(Table1[[#This Row],[Included?]], 1+(Data!D$186-Data!B$185)*Table5[[#This Row],[Diff]]/SUM(Table5[Diff]), "")</f>
        <v>78.115864203754811</v>
      </c>
    </row>
    <row r="3" spans="1:9" x14ac:dyDescent="0.25">
      <c r="A3">
        <f>IF(Table1[[#This Row],[Included?]], (Table1[[#This Row],[I R]]-Data!S$188)/(Data!S$186-90*Data!S$188)*Data!B$193, "")</f>
        <v>8.6551559720515812</v>
      </c>
      <c r="B3">
        <f>IF(Table1[[#This Row],[Included?]], (Table1[[#This Row],[I HR]]-Data!T$188)/(Data!T$186-90*Data!T$188)*Data!C$193, "")</f>
        <v>7.1345464699585817</v>
      </c>
      <c r="C3">
        <f>IF(Table1[[#This Row],[Included?]], (Table1[[#This Row],[I RBI]]-Data!U$188)/(Data!U$186-90*Data!U$188)*Data!D$193, "")</f>
        <v>9.7330343599551483</v>
      </c>
      <c r="D3">
        <f>IF(Table1[[#This Row],[Included?]], (Table1[[#This Row],[I SB]]-Data!V$188)/(Data!V$186-90*Data!V$188)*Data!E$193, "")</f>
        <v>3.4333884297520654</v>
      </c>
      <c r="E3">
        <f>IF(Table1[[#This Row],[Included?]], (Table1[[#This Row],[I OBP]]-Data!W$188)/(Data!W$186-90*Data!W$188)*Data!F$193, "")</f>
        <v>6.4188959619845054</v>
      </c>
      <c r="F3">
        <f>IF( Table1[[#This Row],[Included?]], SUM(Table5[[#This Row],[Radj]:[OBPAdj]]), "")</f>
        <v>35.375021193701883</v>
      </c>
      <c r="G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3">
        <f>IF(Table1[[#This Row],[Included?]], Table5[[#This Row],[TotalAdj]]-Table5[[#This Row],[MinPos]], "")</f>
        <v>20.541622826985844</v>
      </c>
      <c r="I3">
        <f>IF(Table1[[#This Row],[Included?]], 1+(Data!D$186-Data!B$185)*Table5[[#This Row],[Diff]]/SUM(Table5[Diff]), "")</f>
        <v>67.373895267164642</v>
      </c>
    </row>
    <row r="4" spans="1:9" x14ac:dyDescent="0.25">
      <c r="A4">
        <f>IF(Table1[[#This Row],[Included?]], (Table1[[#This Row],[I R]]-Data!S$188)/(Data!S$186-90*Data!S$188)*Data!B$193, "")</f>
        <v>6.9268095875589237</v>
      </c>
      <c r="B4">
        <f>IF(Table1[[#This Row],[Included?]], (Table1[[#This Row],[I HR]]-Data!T$188)/(Data!T$186-90*Data!T$188)*Data!C$193, "")</f>
        <v>9.2846837622748684</v>
      </c>
      <c r="C4">
        <f>IF(Table1[[#This Row],[Included?]], (Table1[[#This Row],[I RBI]]-Data!U$188)/(Data!U$186-90*Data!U$188)*Data!D$193, "")</f>
        <v>8.2408494361274105</v>
      </c>
      <c r="D4">
        <f>IF(Table1[[#This Row],[Included?]], (Table1[[#This Row],[I SB]]-Data!V$188)/(Data!V$186-90*Data!V$188)*Data!E$193, "")</f>
        <v>4.4092561983471059</v>
      </c>
      <c r="E4">
        <f>IF(Table1[[#This Row],[Included?]], (Table1[[#This Row],[I OBP]]-Data!W$188)/(Data!W$186-90*Data!W$188)*Data!F$193, "")</f>
        <v>3.4612993869739581</v>
      </c>
      <c r="F4">
        <f>IF( Table1[[#This Row],[Included?]], SUM(Table5[[#This Row],[Radj]:[OBPAdj]]), "")</f>
        <v>32.322898371282264</v>
      </c>
      <c r="G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4">
        <f>IF(Table1[[#This Row],[Included?]], Table5[[#This Row],[TotalAdj]]-Table5[[#This Row],[MinPos]], "")</f>
        <v>17.489500004566224</v>
      </c>
      <c r="I4">
        <f>IF(Table1[[#This Row],[Included?]], 1+(Data!D$186-Data!B$185)*Table5[[#This Row],[Diff]]/SUM(Table5[Diff]), "")</f>
        <v>57.511905186630749</v>
      </c>
    </row>
    <row r="5" spans="1:9" x14ac:dyDescent="0.25">
      <c r="A5">
        <f>IF(Table1[[#This Row],[Included?]], (Table1[[#This Row],[I R]]-Data!S$188)/(Data!S$186-90*Data!S$188)*Data!B$193, "")</f>
        <v>5.8226815089218649</v>
      </c>
      <c r="B5">
        <f>IF(Table1[[#This Row],[Included?]], (Table1[[#This Row],[I HR]]-Data!T$188)/(Data!T$186-90*Data!T$188)*Data!C$193, "")</f>
        <v>7.9750546842276737</v>
      </c>
      <c r="C5">
        <f>IF(Table1[[#This Row],[Included?]], (Table1[[#This Row],[I RBI]]-Data!U$188)/(Data!U$186-90*Data!U$188)*Data!D$193, "")</f>
        <v>7.4680472202070804</v>
      </c>
      <c r="D5">
        <f>IF(Table1[[#This Row],[Included?]], (Table1[[#This Row],[I SB]]-Data!V$188)/(Data!V$186-90*Data!V$188)*Data!E$193, "")</f>
        <v>5.3434710743801634</v>
      </c>
      <c r="E5">
        <f>IF(Table1[[#This Row],[Included?]], (Table1[[#This Row],[I OBP]]-Data!W$188)/(Data!W$186-90*Data!W$188)*Data!F$193, "")</f>
        <v>8.8678345822849742</v>
      </c>
      <c r="F5">
        <f>IF( Table1[[#This Row],[Included?]], SUM(Table5[[#This Row],[Radj]:[OBPAdj]]), "")</f>
        <v>35.477089070021762</v>
      </c>
      <c r="G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5">
        <f>IF(Table1[[#This Row],[Included?]], Table5[[#This Row],[TotalAdj]]-Table5[[#This Row],[MinPos]], "")</f>
        <v>20.486395712184805</v>
      </c>
      <c r="I5">
        <f>IF(Table1[[#This Row],[Included?]], 1+(Data!D$186-Data!B$185)*Table5[[#This Row],[Diff]]/SUM(Table5[Diff]), "")</f>
        <v>67.195445941880749</v>
      </c>
    </row>
    <row r="6" spans="1:9" x14ac:dyDescent="0.25">
      <c r="A6">
        <f>IF(Table1[[#This Row],[Included?]], (Table1[[#This Row],[I R]]-Data!S$188)/(Data!S$186-90*Data!S$188)*Data!B$193, "")</f>
        <v>9.2189660547598606</v>
      </c>
      <c r="B6">
        <f>IF(Table1[[#This Row],[Included?]], (Table1[[#This Row],[I HR]]-Data!T$188)/(Data!T$186-90*Data!T$188)*Data!C$193, "")</f>
        <v>3.9158560990366271</v>
      </c>
      <c r="C6">
        <f>IF(Table1[[#This Row],[Included?]], (Table1[[#This Row],[I RBI]]-Data!U$188)/(Data!U$186-90*Data!U$188)*Data!D$193, "")</f>
        <v>2.849040427356063</v>
      </c>
      <c r="D6">
        <f>IF(Table1[[#This Row],[Included?]], (Table1[[#This Row],[I SB]]-Data!V$188)/(Data!V$186-90*Data!V$188)*Data!E$193, "")</f>
        <v>7.4142148760330553</v>
      </c>
      <c r="E6">
        <f>IF(Table1[[#This Row],[Included?]], (Table1[[#This Row],[I OBP]]-Data!W$188)/(Data!W$186-90*Data!W$188)*Data!F$193, "")</f>
        <v>4.4478162816087909</v>
      </c>
      <c r="F6">
        <f>IF( Table1[[#This Row],[Included?]], SUM(Table5[[#This Row],[Radj]:[OBPAdj]]), "")</f>
        <v>27.845893738794398</v>
      </c>
      <c r="G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6">
        <f>IF(Table1[[#This Row],[Included?]], Table5[[#This Row],[TotalAdj]]-Table5[[#This Row],[MinPos]], "")</f>
        <v>13.516889720821073</v>
      </c>
      <c r="I6">
        <f>IF(Table1[[#This Row],[Included?]], 1+(Data!D$186-Data!B$185)*Table5[[#This Row],[Diff]]/SUM(Table5[Diff]), "")</f>
        <v>44.675644822422107</v>
      </c>
    </row>
    <row r="7" spans="1:9" x14ac:dyDescent="0.25">
      <c r="A7">
        <f>IF(Table1[[#This Row],[Included?]], (Table1[[#This Row],[I R]]-Data!S$188)/(Data!S$186-90*Data!S$188)*Data!B$193, "")</f>
        <v>4.7185534302848087</v>
      </c>
      <c r="B7">
        <f>IF(Table1[[#This Row],[Included?]], (Table1[[#This Row],[I HR]]-Data!T$188)/(Data!T$186-90*Data!T$188)*Data!C$193, "")</f>
        <v>9.0827011681481853</v>
      </c>
      <c r="C7">
        <f>IF(Table1[[#This Row],[Included?]], (Table1[[#This Row],[I RBI]]-Data!U$188)/(Data!U$186-90*Data!U$188)*Data!D$193, "")</f>
        <v>7.8206159730923916</v>
      </c>
      <c r="D7">
        <f>IF(Table1[[#This Row],[Included?]], (Table1[[#This Row],[I SB]]-Data!V$188)/(Data!V$186-90*Data!V$188)*Data!E$193, "")</f>
        <v>3.8856198347107429</v>
      </c>
      <c r="E7">
        <f>IF(Table1[[#This Row],[Included?]], (Table1[[#This Row],[I OBP]]-Data!W$188)/(Data!W$186-90*Data!W$188)*Data!F$193, "")</f>
        <v>7.4646879369401589</v>
      </c>
      <c r="F7">
        <f>IF( Table1[[#This Row],[Included?]], SUM(Table5[[#This Row],[Radj]:[OBPAdj]]), "")</f>
        <v>32.972178343176282</v>
      </c>
      <c r="G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7">
        <f>IF(Table1[[#This Row],[Included?]], Table5[[#This Row],[TotalAdj]]-Table5[[#This Row],[MinPos]], "")</f>
        <v>18.643174325202956</v>
      </c>
      <c r="I7">
        <f>IF(Table1[[#This Row],[Included?]], 1+(Data!D$186-Data!B$185)*Table5[[#This Row],[Diff]]/SUM(Table5[Diff]), "")</f>
        <v>61.23964662046545</v>
      </c>
    </row>
    <row r="8" spans="1:9" x14ac:dyDescent="0.25">
      <c r="A8">
        <f>IF(Table1[[#This Row],[Included?]], (Table1[[#This Row],[I R]]-Data!S$188)/(Data!S$186-90*Data!S$188)*Data!B$193, "")</f>
        <v>6.7355168809257577</v>
      </c>
      <c r="B8">
        <f>IF(Table1[[#This Row],[Included?]], (Table1[[#This Row],[I HR]]-Data!T$188)/(Data!T$186-90*Data!T$188)*Data!C$193, "")</f>
        <v>5.818401824358916</v>
      </c>
      <c r="C8">
        <f>IF(Table1[[#This Row],[Included?]], (Table1[[#This Row],[I RBI]]-Data!U$188)/(Data!U$186-90*Data!U$188)*Data!D$193, "")</f>
        <v>4.077689111653366</v>
      </c>
      <c r="D8">
        <f>IF(Table1[[#This Row],[Included?]], (Table1[[#This Row],[I SB]]-Data!V$188)/(Data!V$186-90*Data!V$188)*Data!E$193, "")</f>
        <v>2.1540495867768588</v>
      </c>
      <c r="E8">
        <f>IF(Table1[[#This Row],[Included?]], (Table1[[#This Row],[I OBP]]-Data!W$188)/(Data!W$186-90*Data!W$188)*Data!F$193, "")</f>
        <v>7.786395020437384</v>
      </c>
      <c r="F8">
        <f>IF( Table1[[#This Row],[Included?]], SUM(Table5[[#This Row],[Radj]:[OBPAdj]]), "")</f>
        <v>26.572052424152282</v>
      </c>
      <c r="G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8">
        <f>IF(Table1[[#This Row],[Included?]], Table5[[#This Row],[TotalAdj]]-Table5[[#This Row],[MinPos]], "")</f>
        <v>11.581359066315326</v>
      </c>
      <c r="I8">
        <f>IF(Table1[[#This Row],[Included?]], 1+(Data!D$186-Data!B$185)*Table5[[#This Row],[Diff]]/SUM(Table5[Diff]), "")</f>
        <v>38.421576678410638</v>
      </c>
    </row>
    <row r="9" spans="1:9" x14ac:dyDescent="0.25">
      <c r="A9">
        <f>IF(Table1[[#This Row],[Included?]], (Table1[[#This Row],[I R]]-Data!S$188)/(Data!S$186-90*Data!S$188)*Data!B$193, "")</f>
        <v>5.6381008270828437</v>
      </c>
      <c r="B9">
        <f>IF(Table1[[#This Row],[Included?]], (Table1[[#This Row],[I HR]]-Data!T$188)/(Data!T$186-90*Data!T$188)*Data!C$193, "")</f>
        <v>5.9682598780658083</v>
      </c>
      <c r="C9">
        <f>IF(Table1[[#This Row],[Included?]], (Table1[[#This Row],[I RBI]]-Data!U$188)/(Data!U$186-90*Data!U$188)*Data!D$193, "")</f>
        <v>7.4288729143309356</v>
      </c>
      <c r="D9">
        <f>IF(Table1[[#This Row],[Included?]], (Table1[[#This Row],[I SB]]-Data!V$188)/(Data!V$186-90*Data!V$188)*Data!E$193, "")</f>
        <v>2.398016528925619</v>
      </c>
      <c r="E9">
        <f>IF(Table1[[#This Row],[Included?]], (Table1[[#This Row],[I OBP]]-Data!W$188)/(Data!W$186-90*Data!W$188)*Data!F$193, "")</f>
        <v>7.9385312879197798</v>
      </c>
      <c r="F9">
        <f>IF( Table1[[#This Row],[Included?]], SUM(Table5[[#This Row],[Radj]:[OBPAdj]]), "")</f>
        <v>29.371781436324987</v>
      </c>
      <c r="G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9">
        <f>IF(Table1[[#This Row],[Included?]], Table5[[#This Row],[TotalAdj]]-Table5[[#This Row],[MinPos]], "")</f>
        <v>15.042777418351662</v>
      </c>
      <c r="I9">
        <f>IF(Table1[[#This Row],[Included?]], 1+(Data!D$186-Data!B$185)*Table5[[#This Row],[Diff]]/SUM(Table5[Diff]), "")</f>
        <v>49.60607856070974</v>
      </c>
    </row>
    <row r="10" spans="1:9" x14ac:dyDescent="0.25">
      <c r="A10">
        <f>IF(Table1[[#This Row],[Included?]], (Table1[[#This Row],[I R]]-Data!S$188)/(Data!S$186-90*Data!S$188)*Data!B$193, "")</f>
        <v>6.1649947734233255</v>
      </c>
      <c r="B10">
        <f>IF(Table1[[#This Row],[Included?]], (Table1[[#This Row],[I HR]]-Data!T$188)/(Data!T$186-90*Data!T$188)*Data!C$193, "")</f>
        <v>5.1668450691115568</v>
      </c>
      <c r="C10">
        <f>IF(Table1[[#This Row],[Included?]], (Table1[[#This Row],[I RBI]]-Data!U$188)/(Data!U$186-90*Data!U$188)*Data!D$193, "")</f>
        <v>9.871925080788758</v>
      </c>
      <c r="D10">
        <f>IF(Table1[[#This Row],[Included?]], (Table1[[#This Row],[I SB]]-Data!V$188)/(Data!V$186-90*Data!V$188)*Data!E$193, "")</f>
        <v>0.55338842975206592</v>
      </c>
      <c r="E10">
        <f>IF(Table1[[#This Row],[Included?]], (Table1[[#This Row],[I OBP]]-Data!W$188)/(Data!W$186-90*Data!W$188)*Data!F$193, "")</f>
        <v>2.9486232444074072</v>
      </c>
      <c r="F10">
        <f>IF( Table1[[#This Row],[Included?]], SUM(Table5[[#This Row],[Radj]:[OBPAdj]]), "")</f>
        <v>24.705776597483112</v>
      </c>
      <c r="G1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0">
        <f>IF(Table1[[#This Row],[Included?]], Table5[[#This Row],[TotalAdj]]-Table5[[#This Row],[MinPos]], "")</f>
        <v>10.376772579509787</v>
      </c>
      <c r="I10">
        <f>IF(Table1[[#This Row],[Included?]], 1+(Data!D$186-Data!B$185)*Table5[[#This Row],[Diff]]/SUM(Table5[Diff]), "")</f>
        <v>34.529328340054576</v>
      </c>
    </row>
    <row r="11" spans="1:9" hidden="1" x14ac:dyDescent="0.25">
      <c r="A11">
        <f>IF(Table1[[#This Row],[Included?]], (Table1[[#This Row],[I R]]-Data!S$188)/(Data!S$186-90*Data!S$188)*Data!B$193, "")</f>
        <v>7.5980120669735483</v>
      </c>
      <c r="B11">
        <f>IF(Table1[[#This Row],[Included?]], (Table1[[#This Row],[I HR]]-Data!T$188)/(Data!T$186-90*Data!T$188)*Data!C$193, "")</f>
        <v>7.1149997673011605</v>
      </c>
      <c r="C11">
        <f>IF(Table1[[#This Row],[Included?]], (Table1[[#This Row],[I RBI]]-Data!U$188)/(Data!U$186-90*Data!U$188)*Data!D$193, "")</f>
        <v>3.5541779331266885</v>
      </c>
      <c r="D11">
        <f>IF(Table1[[#This Row],[Included?]], (Table1[[#This Row],[I SB]]-Data!V$188)/(Data!V$186-90*Data!V$188)*Data!E$193, "")</f>
        <v>1.8624793388429746</v>
      </c>
      <c r="E11">
        <f>IF(Table1[[#This Row],[Included?]], (Table1[[#This Row],[I OBP]]-Data!W$188)/(Data!W$186-90*Data!W$188)*Data!F$193, "")</f>
        <v>5.7310599770940671</v>
      </c>
      <c r="F11">
        <f>IF( Table1[[#This Row],[Included?]], SUM(Table5[[#This Row],[Radj]:[OBPAdj]]), "")</f>
        <v>25.860729083338438</v>
      </c>
      <c r="G1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1">
        <f>IF(Table1[[#This Row],[Included?]], Table5[[#This Row],[TotalAdj]]-Table5[[#This Row],[MinPos]], "")</f>
        <v>11.531725065365112</v>
      </c>
      <c r="I11">
        <f>IF(Table1[[#This Row],[Included?]], 1+(Data!D$186-Data!B$185)*Table5[[#This Row],[Diff]]/SUM(Table5[Diff]), "")</f>
        <v>38.261199769122243</v>
      </c>
    </row>
    <row r="12" spans="1:9" hidden="1" x14ac:dyDescent="0.25">
      <c r="A12">
        <f>IF(Table1[[#This Row],[Included?]], (Table1[[#This Row],[I R]]-Data!S$188)/(Data!S$186-90*Data!S$188)*Data!B$193, "")</f>
        <v>4.2285756203121316</v>
      </c>
      <c r="B12">
        <f>IF(Table1[[#This Row],[Included?]], (Table1[[#This Row],[I HR]]-Data!T$188)/(Data!T$186-90*Data!T$188)*Data!C$193, "")</f>
        <v>3.4337041001535815</v>
      </c>
      <c r="C12">
        <f>IF(Table1[[#This Row],[Included?]], (Table1[[#This Row],[I RBI]]-Data!U$188)/(Data!U$186-90*Data!U$188)*Data!D$193, "")</f>
        <v>6.7379806106970879</v>
      </c>
      <c r="D12">
        <f>IF(Table1[[#This Row],[Included?]], (Table1[[#This Row],[I SB]]-Data!V$188)/(Data!V$186-90*Data!V$188)*Data!E$193, "")</f>
        <v>9.2945454545454513</v>
      </c>
      <c r="E12">
        <f>IF(Table1[[#This Row],[Included?]], (Table1[[#This Row],[I OBP]]-Data!W$188)/(Data!W$186-90*Data!W$188)*Data!F$193, "")</f>
        <v>3.6859170142793167</v>
      </c>
      <c r="F12">
        <f>IF( Table1[[#This Row],[Included?]], SUM(Table5[[#This Row],[Radj]:[OBPAdj]]), "")</f>
        <v>27.38072279998757</v>
      </c>
      <c r="G1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2">
        <f>IF(Table1[[#This Row],[Included?]], Table5[[#This Row],[TotalAdj]]-Table5[[#This Row],[MinPos]], "")</f>
        <v>13.051718782014245</v>
      </c>
      <c r="I12">
        <f>IF(Table1[[#This Row],[Included?]], 1+(Data!D$186-Data!B$185)*Table5[[#This Row],[Diff]]/SUM(Table5[Diff]), "")</f>
        <v>43.172588932741775</v>
      </c>
    </row>
    <row r="13" spans="1:9" hidden="1" x14ac:dyDescent="0.25">
      <c r="A13">
        <f>IF(Table1[[#This Row],[Included?]], (Table1[[#This Row],[I R]]-Data!S$188)/(Data!S$186-90*Data!S$188)*Data!B$193, "")</f>
        <v>5.4031799592877263</v>
      </c>
      <c r="B13">
        <f>IF(Table1[[#This Row],[Included?]], (Table1[[#This Row],[I HR]]-Data!T$188)/(Data!T$186-90*Data!T$188)*Data!C$193, "")</f>
        <v>6.5807232279983259</v>
      </c>
      <c r="C13">
        <f>IF(Table1[[#This Row],[Included?]], (Table1[[#This Row],[I RBI]]-Data!U$188)/(Data!U$186-90*Data!U$188)*Data!D$193, "")</f>
        <v>8.6290311943546723</v>
      </c>
      <c r="D13">
        <f>IF(Table1[[#This Row],[Included?]], (Table1[[#This Row],[I SB]]-Data!V$188)/(Data!V$186-90*Data!V$188)*Data!E$193, "")</f>
        <v>0.31537190082644617</v>
      </c>
      <c r="E13">
        <f>IF(Table1[[#This Row],[Included?]], (Table1[[#This Row],[I OBP]]-Data!W$188)/(Data!W$186-90*Data!W$188)*Data!F$193, "")</f>
        <v>5.4888734065800744</v>
      </c>
      <c r="F13">
        <f>IF( Table1[[#This Row],[Included?]], SUM(Table5[[#This Row],[Radj]:[OBPAdj]]), "")</f>
        <v>26.417179689047245</v>
      </c>
      <c r="G1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3">
        <f>IF(Table1[[#This Row],[Included?]], Table5[[#This Row],[TotalAdj]]-Table5[[#This Row],[MinPos]], "")</f>
        <v>15.961781770232836</v>
      </c>
      <c r="I13">
        <f>IF(Table1[[#This Row],[Included?]], 1+(Data!D$186-Data!B$185)*Table5[[#This Row],[Diff]]/SUM(Table5[Diff]), "")</f>
        <v>52.57555663532883</v>
      </c>
    </row>
    <row r="14" spans="1:9" hidden="1" x14ac:dyDescent="0.25">
      <c r="A14">
        <f>IF(Table1[[#This Row],[Included?]], (Table1[[#This Row],[I R]]-Data!S$188)/(Data!S$186-90*Data!S$188)*Data!B$193, "")</f>
        <v>4.4937005996809116</v>
      </c>
      <c r="B14">
        <f>IF(Table1[[#This Row],[Included?]], (Table1[[#This Row],[I HR]]-Data!T$188)/(Data!T$186-90*Data!T$188)*Data!C$193, "")</f>
        <v>7.7861032252059417</v>
      </c>
      <c r="C14">
        <f>IF(Table1[[#This Row],[Included?]], (Table1[[#This Row],[I RBI]]-Data!U$188)/(Data!U$186-90*Data!U$188)*Data!D$193, "")</f>
        <v>6.6916837037525525</v>
      </c>
      <c r="D14">
        <f>IF(Table1[[#This Row],[Included?]], (Table1[[#This Row],[I SB]]-Data!V$188)/(Data!V$186-90*Data!V$188)*Data!E$193, "")</f>
        <v>1.3447933884297518</v>
      </c>
      <c r="E14">
        <f>IF(Table1[[#This Row],[Included?]], (Table1[[#This Row],[I OBP]]-Data!W$188)/(Data!W$186-90*Data!W$188)*Data!F$193, "")</f>
        <v>7.1974918509764603</v>
      </c>
      <c r="F14">
        <f>IF( Table1[[#This Row],[Included?]], SUM(Table5[[#This Row],[Radj]:[OBPAdj]]), "")</f>
        <v>27.513772768045619</v>
      </c>
      <c r="G1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4">
        <f>IF(Table1[[#This Row],[Included?]], Table5[[#This Row],[TotalAdj]]-Table5[[#This Row],[MinPos]], "")</f>
        <v>13.184768750072294</v>
      </c>
      <c r="I14">
        <f>IF(Table1[[#This Row],[Included?]], 1+(Data!D$186-Data!B$185)*Table5[[#This Row],[Diff]]/SUM(Table5[Diff]), "")</f>
        <v>43.602498717356411</v>
      </c>
    </row>
    <row r="15" spans="1:9" hidden="1" x14ac:dyDescent="0.25">
      <c r="A15">
        <f>IF(Table1[[#This Row],[Included?]], (Table1[[#This Row],[I R]]-Data!S$188)/(Data!S$186-90*Data!S$188)*Data!B$193, "")</f>
        <v>6.668396632984293</v>
      </c>
      <c r="B15">
        <f>IF(Table1[[#This Row],[Included?]], (Table1[[#This Row],[I HR]]-Data!T$188)/(Data!T$186-90*Data!T$188)*Data!C$193, "")</f>
        <v>2.788662912458697</v>
      </c>
      <c r="C15">
        <f>IF(Table1[[#This Row],[Included?]], (Table1[[#This Row],[I RBI]]-Data!U$188)/(Data!U$186-90*Data!U$188)*Data!D$193, "")</f>
        <v>7.9345775901866373</v>
      </c>
      <c r="D15">
        <f>IF(Table1[[#This Row],[Included?]], (Table1[[#This Row],[I SB]]-Data!V$188)/(Data!V$186-90*Data!V$188)*Data!E$193, "")</f>
        <v>1.4816528925619832</v>
      </c>
      <c r="E15">
        <f>IF(Table1[[#This Row],[Included?]], (Table1[[#This Row],[I OBP]]-Data!W$188)/(Data!W$186-90*Data!W$188)*Data!F$193, "")</f>
        <v>5.7013822347716765</v>
      </c>
      <c r="F15">
        <f>IF( Table1[[#This Row],[Included?]], SUM(Table5[[#This Row],[Radj]:[OBPAdj]]), "")</f>
        <v>24.574672262963283</v>
      </c>
      <c r="G1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5">
        <f>IF(Table1[[#This Row],[Included?]], Table5[[#This Row],[TotalAdj]]-Table5[[#This Row],[MinPos]], "")</f>
        <v>11.635048620882191</v>
      </c>
      <c r="I15">
        <f>IF(Table1[[#This Row],[Included?]], 1+(Data!D$186-Data!B$185)*Table5[[#This Row],[Diff]]/SUM(Table5[Diff]), "")</f>
        <v>38.59505785376745</v>
      </c>
    </row>
    <row r="16" spans="1:9" hidden="1" x14ac:dyDescent="0.25">
      <c r="A16">
        <f>IF(Table1[[#This Row],[Included?]], (Table1[[#This Row],[I R]]-Data!S$188)/(Data!S$186-90*Data!S$188)*Data!B$193, "")</f>
        <v>5.5743365915384544</v>
      </c>
      <c r="B16">
        <f>IF(Table1[[#This Row],[Included?]], (Table1[[#This Row],[I HR]]-Data!T$188)/(Data!T$186-90*Data!T$188)*Data!C$193, "")</f>
        <v>6.0399311211430184</v>
      </c>
      <c r="C16">
        <f>IF(Table1[[#This Row],[Included?]], (Table1[[#This Row],[I RBI]]-Data!U$188)/(Data!U$186-90*Data!U$188)*Data!D$193, "")</f>
        <v>8.8427092264063827</v>
      </c>
      <c r="D16">
        <f>IF(Table1[[#This Row],[Included?]], (Table1[[#This Row],[I SB]]-Data!V$188)/(Data!V$186-90*Data!V$188)*Data!E$193, "")</f>
        <v>0.20231404958677679</v>
      </c>
      <c r="E16">
        <f>IF(Table1[[#This Row],[Included?]], (Table1[[#This Row],[I OBP]]-Data!W$188)/(Data!W$186-90*Data!W$188)*Data!F$193, "")</f>
        <v>4.2798089176638392</v>
      </c>
      <c r="F16">
        <f>IF( Table1[[#This Row],[Included?]], SUM(Table5[[#This Row],[Radj]:[OBPAdj]]), "")</f>
        <v>24.939099906338473</v>
      </c>
      <c r="G1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16">
        <f>IF(Table1[[#This Row],[Included?]], Table5[[#This Row],[TotalAdj]]-Table5[[#This Row],[MinPos]], "")</f>
        <v>9.9484065485015165</v>
      </c>
      <c r="I16">
        <f>IF(Table1[[#This Row],[Included?]], 1+(Data!D$186-Data!B$185)*Table5[[#This Row],[Diff]]/SUM(Table5[Diff]), "")</f>
        <v>33.145196116538038</v>
      </c>
    </row>
    <row r="17" spans="1:9" hidden="1" x14ac:dyDescent="0.25">
      <c r="A17">
        <f>IF(Table1[[#This Row],[Included?]], (Table1[[#This Row],[I R]]-Data!S$188)/(Data!S$186-90*Data!S$188)*Data!B$193, "")</f>
        <v>4.6380091327550534</v>
      </c>
      <c r="B17">
        <f>IF(Table1[[#This Row],[Included?]], (Table1[[#This Row],[I HR]]-Data!T$188)/(Data!T$186-90*Data!T$188)*Data!C$193, "")</f>
        <v>6.4048029040815386</v>
      </c>
      <c r="C17">
        <f>IF(Table1[[#This Row],[Included?]], (Table1[[#This Row],[I RBI]]-Data!U$188)/(Data!U$186-90*Data!U$188)*Data!D$193, "")</f>
        <v>7.1653366748004963</v>
      </c>
      <c r="D17">
        <f>IF(Table1[[#This Row],[Included?]], (Table1[[#This Row],[I SB]]-Data!V$188)/(Data!V$186-90*Data!V$188)*Data!E$193, "")</f>
        <v>0</v>
      </c>
      <c r="E17">
        <f>IF(Table1[[#This Row],[Included?]], (Table1[[#This Row],[I OBP]]-Data!W$188)/(Data!W$186-90*Data!W$188)*Data!F$193, "")</f>
        <v>6.1134995194596771</v>
      </c>
      <c r="F17">
        <f>IF( Table1[[#This Row],[Included?]], SUM(Table5[[#This Row],[Radj]:[OBPAdj]]), "")</f>
        <v>24.321648231096763</v>
      </c>
      <c r="G1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17">
        <f>IF(Table1[[#This Row],[Included?]], Table5[[#This Row],[TotalAdj]]-Table5[[#This Row],[MinPos]], "")</f>
        <v>9.330954873259806</v>
      </c>
      <c r="I17">
        <f>IF(Table1[[#This Row],[Included?]], 1+(Data!D$186-Data!B$185)*Table5[[#This Row],[Diff]]/SUM(Table5[Diff]), "")</f>
        <v>31.150092167341331</v>
      </c>
    </row>
    <row r="18" spans="1:9" hidden="1" x14ac:dyDescent="0.25">
      <c r="A18">
        <f>IF(Table1[[#This Row],[Included?]], (Table1[[#This Row],[I R]]-Data!S$188)/(Data!S$186-90*Data!S$188)*Data!B$193, "")</f>
        <v>5.070934731977486</v>
      </c>
      <c r="B18">
        <f>IF(Table1[[#This Row],[Included?]], (Table1[[#This Row],[I HR]]-Data!T$188)/(Data!T$186-90*Data!T$188)*Data!C$193, "")</f>
        <v>6.6980034439428504</v>
      </c>
      <c r="C18">
        <f>IF(Table1[[#This Row],[Included?]], (Table1[[#This Row],[I RBI]]-Data!U$188)/(Data!U$186-90*Data!U$188)*Data!D$193, "")</f>
        <v>7.4609246191386882</v>
      </c>
      <c r="D18">
        <f>IF(Table1[[#This Row],[Included?]], (Table1[[#This Row],[I SB]]-Data!V$188)/(Data!V$186-90*Data!V$188)*Data!E$193, "")</f>
        <v>2.9811570247933878</v>
      </c>
      <c r="E18">
        <f>IF(Table1[[#This Row],[Included?]], (Table1[[#This Row],[I OBP]]-Data!W$188)/(Data!W$186-90*Data!W$188)*Data!F$193, "")</f>
        <v>1.6788857685391163</v>
      </c>
      <c r="F18">
        <f>IF( Table1[[#This Row],[Included?]], SUM(Table5[[#This Row],[Radj]:[OBPAdj]]), "")</f>
        <v>23.889905588391528</v>
      </c>
      <c r="G1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8">
        <f>IF(Table1[[#This Row],[Included?]], Table5[[#This Row],[TotalAdj]]-Table5[[#This Row],[MinPos]], "")</f>
        <v>9.5609015704182028</v>
      </c>
      <c r="I18">
        <f>IF(Table1[[#This Row],[Included?]], 1+(Data!D$186-Data!B$185)*Table5[[#This Row],[Diff]]/SUM(Table5[Diff]), "")</f>
        <v>31.893093736534365</v>
      </c>
    </row>
    <row r="19" spans="1:9" hidden="1" x14ac:dyDescent="0.25">
      <c r="A19">
        <f>IF(Table1[[#This Row],[Included?]], (Table1[[#This Row],[I R]]-Data!S$188)/(Data!S$186-90*Data!S$188)*Data!B$193, "")</f>
        <v>3.8157860954721405</v>
      </c>
      <c r="B19">
        <f>IF(Table1[[#This Row],[Included?]], (Table1[[#This Row],[I HR]]-Data!T$188)/(Data!T$186-90*Data!T$188)*Data!C$193, "")</f>
        <v>4.639084097361196</v>
      </c>
      <c r="C19">
        <f>IF(Table1[[#This Row],[Included?]], (Table1[[#This Row],[I RBI]]-Data!U$188)/(Data!U$186-90*Data!U$188)*Data!D$193, "")</f>
        <v>7.0869880630482047</v>
      </c>
      <c r="D19">
        <f>IF(Table1[[#This Row],[Included?]], (Table1[[#This Row],[I SB]]-Data!V$188)/(Data!V$186-90*Data!V$188)*Data!E$193, "")</f>
        <v>6.9679338842975191</v>
      </c>
      <c r="E19">
        <f>IF(Table1[[#This Row],[Included?]], (Table1[[#This Row],[I OBP]]-Data!W$188)/(Data!W$186-90*Data!W$188)*Data!F$193, "")</f>
        <v>4.2377390777964585</v>
      </c>
      <c r="F19">
        <f>IF( Table1[[#This Row],[Included?]], SUM(Table5[[#This Row],[Radj]:[OBPAdj]]), "")</f>
        <v>26.747531217975517</v>
      </c>
      <c r="G1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9">
        <f>IF(Table1[[#This Row],[Included?]], Table5[[#This Row],[TotalAdj]]-Table5[[#This Row],[MinPos]], "")</f>
        <v>12.418527200002192</v>
      </c>
      <c r="I19">
        <f>IF(Table1[[#This Row],[Included?]], 1+(Data!D$186-Data!B$185)*Table5[[#This Row],[Diff]]/SUM(Table5[Diff]), "")</f>
        <v>41.126626347287896</v>
      </c>
    </row>
    <row r="20" spans="1:9" hidden="1" x14ac:dyDescent="0.25">
      <c r="A20">
        <f>IF(Table1[[#This Row],[Included?]], (Table1[[#This Row],[I R]]-Data!S$188)/(Data!S$186-90*Data!S$188)*Data!B$193, "")</f>
        <v>3.7822259715014082</v>
      </c>
      <c r="B20">
        <f>IF(Table1[[#This Row],[Included?]], (Table1[[#This Row],[I HR]]-Data!T$188)/(Data!T$186-90*Data!T$188)*Data!C$193, "")</f>
        <v>9.2846837622748648</v>
      </c>
      <c r="C20">
        <f>IF(Table1[[#This Row],[Included?]], (Table1[[#This Row],[I RBI]]-Data!U$188)/(Data!U$186-90*Data!U$188)*Data!D$193, "")</f>
        <v>6.4281474642221177</v>
      </c>
      <c r="D20">
        <f>IF(Table1[[#This Row],[Included?]], (Table1[[#This Row],[I SB]]-Data!V$188)/(Data!V$186-90*Data!V$188)*Data!E$193, "")</f>
        <v>1.0056198347107437</v>
      </c>
      <c r="E20">
        <f>IF(Table1[[#This Row],[Included?]], (Table1[[#This Row],[I OBP]]-Data!W$188)/(Data!W$186-90*Data!W$188)*Data!F$193, "")</f>
        <v>4.1155770337130226</v>
      </c>
      <c r="F20">
        <f>IF( Table1[[#This Row],[Included?]], SUM(Table5[[#This Row],[Radj]:[OBPAdj]]), "")</f>
        <v>24.616254066422158</v>
      </c>
      <c r="G2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20">
        <f>IF(Table1[[#This Row],[Included?]], Table5[[#This Row],[TotalAdj]]-Table5[[#This Row],[MinPos]], "")</f>
        <v>10.287250048448833</v>
      </c>
      <c r="I20">
        <f>IF(Table1[[#This Row],[Included?]], 1+(Data!D$186-Data!B$185)*Table5[[#This Row],[Diff]]/SUM(Table5[Diff]), "")</f>
        <v>34.240063993671718</v>
      </c>
    </row>
    <row r="21" spans="1:9" hidden="1" x14ac:dyDescent="0.25">
      <c r="A21">
        <f>IF(Table1[[#This Row],[Included?]], (Table1[[#This Row],[I R]]-Data!S$188)/(Data!S$186-90*Data!S$188)*Data!B$193, "")</f>
        <v>5.3629078105228487</v>
      </c>
      <c r="B21">
        <f>IF(Table1[[#This Row],[Included?]], (Table1[[#This Row],[I HR]]-Data!T$188)/(Data!T$186-90*Data!T$188)*Data!C$193, "")</f>
        <v>0.96430399776609155</v>
      </c>
      <c r="C21">
        <f>IF(Table1[[#This Row],[Included?]], (Table1[[#This Row],[I RBI]]-Data!U$188)/(Data!U$186-90*Data!U$188)*Data!D$193, "")</f>
        <v>2.0762382114357307</v>
      </c>
      <c r="D21">
        <f>IF(Table1[[#This Row],[Included?]], (Table1[[#This Row],[I SB]]-Data!V$188)/(Data!V$186-90*Data!V$188)*Data!E$193, "")</f>
        <v>12.710082644628097</v>
      </c>
      <c r="E21">
        <f>IF(Table1[[#This Row],[Included?]], (Table1[[#This Row],[I OBP]]-Data!W$188)/(Data!W$186-90*Data!W$188)*Data!F$193, "")</f>
        <v>4.2489245479788327</v>
      </c>
      <c r="F21">
        <f>IF( Table1[[#This Row],[Included?]], SUM(Table5[[#This Row],[Radj]:[OBPAdj]]), "")</f>
        <v>25.362457212331599</v>
      </c>
      <c r="G2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21">
        <f>IF(Table1[[#This Row],[Included?]], Table5[[#This Row],[TotalAdj]]-Table5[[#This Row],[MinPos]], "")</f>
        <v>9.1360124655522945</v>
      </c>
      <c r="I21">
        <f>IF(Table1[[#This Row],[Included?]], 1+(Data!D$186-Data!B$185)*Table5[[#This Row],[Diff]]/SUM(Table5[Diff]), "")</f>
        <v>30.520196123523949</v>
      </c>
    </row>
    <row r="22" spans="1:9" hidden="1" x14ac:dyDescent="0.25">
      <c r="A22">
        <f>IF(Table1[[#This Row],[Included?]], (Table1[[#This Row],[I R]]-Data!S$188)/(Data!S$186-90*Data!S$188)*Data!B$193, "")</f>
        <v>5.3629078105228487</v>
      </c>
      <c r="B22">
        <f>IF(Table1[[#This Row],[Included?]], (Table1[[#This Row],[I HR]]-Data!T$188)/(Data!T$186-90*Data!T$188)*Data!C$193, "")</f>
        <v>6.0855400940103328</v>
      </c>
      <c r="C22">
        <f>IF(Table1[[#This Row],[Included?]], (Table1[[#This Row],[I RBI]]-Data!U$188)/(Data!U$186-90*Data!U$188)*Data!D$193, "")</f>
        <v>6.2750115412517307</v>
      </c>
      <c r="D22">
        <f>IF(Table1[[#This Row],[Included?]], (Table1[[#This Row],[I SB]]-Data!V$188)/(Data!V$186-90*Data!V$188)*Data!E$193, "")</f>
        <v>0.14280991735537185</v>
      </c>
      <c r="E22">
        <f>IF(Table1[[#This Row],[Included?]], (Table1[[#This Row],[I OBP]]-Data!W$188)/(Data!W$186-90*Data!W$188)*Data!F$193, "")</f>
        <v>5.2677122420483213</v>
      </c>
      <c r="F22">
        <f>IF( Table1[[#This Row],[Included?]], SUM(Table5[[#This Row],[Radj]:[OBPAdj]]), "")</f>
        <v>23.133981605188605</v>
      </c>
      <c r="G2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22">
        <f>IF(Table1[[#This Row],[Included?]], Table5[[#This Row],[TotalAdj]]-Table5[[#This Row],[MinPos]], "")</f>
        <v>10.194357963107514</v>
      </c>
      <c r="I22">
        <f>IF(Table1[[#This Row],[Included?]], 1+(Data!D$186-Data!B$185)*Table5[[#This Row],[Diff]]/SUM(Table5[Diff]), "")</f>
        <v>33.939911975716569</v>
      </c>
    </row>
    <row r="23" spans="1:9" hidden="1" x14ac:dyDescent="0.25">
      <c r="A23">
        <f>IF(Table1[[#This Row],[Included?]], (Table1[[#This Row],[I R]]-Data!S$188)/(Data!S$186-90*Data!S$188)*Data!B$193, "")</f>
        <v>6.8831814263969724</v>
      </c>
      <c r="B23">
        <f>IF(Table1[[#This Row],[Included?]], (Table1[[#This Row],[I HR]]-Data!T$188)/(Data!T$186-90*Data!T$188)*Data!C$193, "")</f>
        <v>4.8540978265928247</v>
      </c>
      <c r="C23">
        <f>IF(Table1[[#This Row],[Included?]], (Table1[[#This Row],[I RBI]]-Data!U$188)/(Data!U$186-90*Data!U$188)*Data!D$193, "")</f>
        <v>7.2686143902921563</v>
      </c>
      <c r="D23">
        <f>IF(Table1[[#This Row],[Included?]], (Table1[[#This Row],[I SB]]-Data!V$188)/(Data!V$186-90*Data!V$188)*Data!E$193, "")</f>
        <v>1.1841322314049585</v>
      </c>
      <c r="E23">
        <f>IF(Table1[[#This Row],[Included?]], (Table1[[#This Row],[I OBP]]-Data!W$188)/(Data!W$186-90*Data!W$188)*Data!F$193, "")</f>
        <v>2.0937579312718331</v>
      </c>
      <c r="F23">
        <f>IF( Table1[[#This Row],[Included?]], SUM(Table5[[#This Row],[Radj]:[OBPAdj]]), "")</f>
        <v>22.283783805958748</v>
      </c>
      <c r="G2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23">
        <f>IF(Table1[[#This Row],[Included?]], Table5[[#This Row],[TotalAdj]]-Table5[[#This Row],[MinPos]], "")</f>
        <v>9.3441601638776568</v>
      </c>
      <c r="I23">
        <f>IF(Table1[[#This Row],[Included?]], 1+(Data!D$186-Data!B$185)*Table5[[#This Row],[Diff]]/SUM(Table5[Diff]), "")</f>
        <v>31.192760976121633</v>
      </c>
    </row>
    <row r="24" spans="1:9" hidden="1" x14ac:dyDescent="0.25">
      <c r="A24">
        <f>IF(Table1[[#This Row],[Included?]], (Table1[[#This Row],[I R]]-Data!S$188)/(Data!S$186-90*Data!S$188)*Data!B$193, "")</f>
        <v>6.0643144015111305</v>
      </c>
      <c r="B24">
        <f>IF(Table1[[#This Row],[Included?]], (Table1[[#This Row],[I HR]]-Data!T$188)/(Data!T$186-90*Data!T$188)*Data!C$193, "")</f>
        <v>3.9223716665891013</v>
      </c>
      <c r="C24">
        <f>IF(Table1[[#This Row],[Included?]], (Table1[[#This Row],[I RBI]]-Data!U$188)/(Data!U$186-90*Data!U$188)*Data!D$193, "")</f>
        <v>1.8768053815208077</v>
      </c>
      <c r="D24">
        <f>IF(Table1[[#This Row],[Included?]], (Table1[[#This Row],[I SB]]-Data!V$188)/(Data!V$186-90*Data!V$188)*Data!E$193, "")</f>
        <v>8.6042975206611541</v>
      </c>
      <c r="E24">
        <f>IF(Table1[[#This Row],[Included?]], (Table1[[#This Row],[I OBP]]-Data!W$188)/(Data!W$186-90*Data!W$188)*Data!F$193, "")</f>
        <v>3.5948811835197212</v>
      </c>
      <c r="F24">
        <f>IF( Table1[[#This Row],[Included?]], SUM(Table5[[#This Row],[Radj]:[OBPAdj]]), "")</f>
        <v>24.062670153801914</v>
      </c>
      <c r="G2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24">
        <f>IF(Table1[[#This Row],[Included?]], Table5[[#This Row],[TotalAdj]]-Table5[[#This Row],[MinPos]], "")</f>
        <v>9.7336661358285888</v>
      </c>
      <c r="I24">
        <f>IF(Table1[[#This Row],[Included?]], 1+(Data!D$186-Data!B$185)*Table5[[#This Row],[Diff]]/SUM(Table5[Diff]), "")</f>
        <v>32.451328948377594</v>
      </c>
    </row>
    <row r="25" spans="1:9" hidden="1" x14ac:dyDescent="0.25">
      <c r="A25">
        <f>IF(Table1[[#This Row],[Included?]], (Table1[[#This Row],[I R]]-Data!S$188)/(Data!S$186-90*Data!S$188)*Data!B$193, "")</f>
        <v>5.1883951658750442</v>
      </c>
      <c r="B25">
        <f>IF(Table1[[#This Row],[Included?]], (Table1[[#This Row],[I HR]]-Data!T$188)/(Data!T$186-90*Data!T$188)*Data!C$193, "")</f>
        <v>5.2841252850560814</v>
      </c>
      <c r="C25">
        <f>IF(Table1[[#This Row],[Included?]], (Table1[[#This Row],[I RBI]]-Data!U$188)/(Data!U$186-90*Data!U$188)*Data!D$193, "")</f>
        <v>4.1239860185979014</v>
      </c>
      <c r="D25">
        <f>IF(Table1[[#This Row],[Included?]], (Table1[[#This Row],[I SB]]-Data!V$188)/(Data!V$186-90*Data!V$188)*Data!E$193, "")</f>
        <v>0.91041322314049566</v>
      </c>
      <c r="E25">
        <f>IF(Table1[[#This Row],[Included?]], (Table1[[#This Row],[I OBP]]-Data!W$188)/(Data!W$186-90*Data!W$188)*Data!F$193, "")</f>
        <v>2.528981398568209</v>
      </c>
      <c r="F25">
        <f>IF( Table1[[#This Row],[Included?]], SUM(Table5[[#This Row],[Radj]:[OBPAdj]]), "")</f>
        <v>18.035901091237729</v>
      </c>
      <c r="G2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25">
        <f>IF(Table1[[#This Row],[Included?]], Table5[[#This Row],[TotalAdj]]-Table5[[#This Row],[MinPos]], "")</f>
        <v>3.2025027245216897</v>
      </c>
      <c r="I25">
        <f>IF(Table1[[#This Row],[Included?]], 1+(Data!D$186-Data!B$185)*Table5[[#This Row],[Diff]]/SUM(Table5[Diff]), "")</f>
        <v>11.347896182329146</v>
      </c>
    </row>
    <row r="26" spans="1:9" hidden="1" x14ac:dyDescent="0.25">
      <c r="A26">
        <f>IF(Table1[[#This Row],[Included?]], (Table1[[#This Row],[I R]]-Data!S$188)/(Data!S$186-90*Data!S$188)*Data!B$193, "")</f>
        <v>3.6043573144565326</v>
      </c>
      <c r="B26">
        <f>IF(Table1[[#This Row],[Included?]], (Table1[[#This Row],[I HR]]-Data!T$188)/(Data!T$186-90*Data!T$188)*Data!C$193, "")</f>
        <v>7.2844045236654731</v>
      </c>
      <c r="C26">
        <f>IF(Table1[[#This Row],[Included?]], (Table1[[#This Row],[I RBI]]-Data!U$188)/(Data!U$186-90*Data!U$188)*Data!D$193, "")</f>
        <v>6.3960957594143624</v>
      </c>
      <c r="D26">
        <f>IF(Table1[[#This Row],[Included?]], (Table1[[#This Row],[I SB]]-Data!V$188)/(Data!V$186-90*Data!V$188)*Data!E$193, "")</f>
        <v>0.29157024793388425</v>
      </c>
      <c r="E26">
        <f>IF(Table1[[#This Row],[Included?]], (Table1[[#This Row],[I OBP]]-Data!W$188)/(Data!W$186-90*Data!W$188)*Data!F$193, "")</f>
        <v>4.8731801882581003</v>
      </c>
      <c r="F26">
        <f>IF( Table1[[#This Row],[Included?]], SUM(Table5[[#This Row],[Radj]:[OBPAdj]]), "")</f>
        <v>22.449608033728353</v>
      </c>
      <c r="G2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26">
        <f>IF(Table1[[#This Row],[Included?]], Table5[[#This Row],[TotalAdj]]-Table5[[#This Row],[MinPos]], "")</f>
        <v>7.4589146758913962</v>
      </c>
      <c r="I26">
        <f>IF(Table1[[#This Row],[Included?]], 1+(Data!D$186-Data!B$185)*Table5[[#This Row],[Diff]]/SUM(Table5[Diff]), "")</f>
        <v>25.10117378135978</v>
      </c>
    </row>
    <row r="27" spans="1:9" hidden="1" x14ac:dyDescent="0.25">
      <c r="A27">
        <f>IF(Table1[[#This Row],[Included?]], (Table1[[#This Row],[I R]]-Data!S$188)/(Data!S$186-90*Data!S$188)*Data!B$193, "")</f>
        <v>6.8764694016028267</v>
      </c>
      <c r="B27">
        <f>IF(Table1[[#This Row],[Included?]], (Table1[[#This Row],[I HR]]-Data!T$188)/(Data!T$186-90*Data!T$188)*Data!C$193, "")</f>
        <v>2.2478708056033887</v>
      </c>
      <c r="C27">
        <f>IF(Table1[[#This Row],[Included?]], (Table1[[#This Row],[I RBI]]-Data!U$188)/(Data!U$186-90*Data!U$188)*Data!D$193, "")</f>
        <v>3.7749785662467823</v>
      </c>
      <c r="D27">
        <f>IF(Table1[[#This Row],[Included?]], (Table1[[#This Row],[I SB]]-Data!V$188)/(Data!V$186-90*Data!V$188)*Data!E$193, "")</f>
        <v>1.7613223140495862</v>
      </c>
      <c r="E27">
        <f>IF(Table1[[#This Row],[Included?]], (Table1[[#This Row],[I OBP]]-Data!W$188)/(Data!W$186-90*Data!W$188)*Data!F$193, "")</f>
        <v>4.4993419658447911</v>
      </c>
      <c r="F27">
        <f>IF( Table1[[#This Row],[Included?]], SUM(Table5[[#This Row],[Radj]:[OBPAdj]]), "")</f>
        <v>19.159983053347375</v>
      </c>
      <c r="G2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27">
        <f>IF(Table1[[#This Row],[Included?]], Table5[[#This Row],[TotalAdj]]-Table5[[#This Row],[MinPos]], "")</f>
        <v>2.9335383065680709</v>
      </c>
      <c r="I27">
        <f>IF(Table1[[#This Row],[Included?]], 1+(Data!D$186-Data!B$185)*Table5[[#This Row],[Diff]]/SUM(Table5[Diff]), "")</f>
        <v>10.478820926775592</v>
      </c>
    </row>
    <row r="28" spans="1:9" hidden="1" x14ac:dyDescent="0.25">
      <c r="A28">
        <f>IF(Table1[[#This Row],[Included?]], (Table1[[#This Row],[I R]]-Data!S$188)/(Data!S$186-90*Data!S$188)*Data!B$193, "")</f>
        <v>4.6849933063140767</v>
      </c>
      <c r="B28">
        <f>IF(Table1[[#This Row],[Included?]], (Table1[[#This Row],[I HR]]-Data!T$188)/(Data!T$186-90*Data!T$188)*Data!C$193, "")</f>
        <v>4.2351189091078334</v>
      </c>
      <c r="C28">
        <f>IF(Table1[[#This Row],[Included?]], (Table1[[#This Row],[I RBI]]-Data!U$188)/(Data!U$186-90*Data!U$188)*Data!D$193, "")</f>
        <v>4.5477807821671155</v>
      </c>
      <c r="D28">
        <f>IF(Table1[[#This Row],[Included?]], (Table1[[#This Row],[I SB]]-Data!V$188)/(Data!V$186-90*Data!V$188)*Data!E$193, "")</f>
        <v>1.4399999999999995</v>
      </c>
      <c r="E28">
        <f>IF(Table1[[#This Row],[Included?]], (Table1[[#This Row],[I OBP]]-Data!W$188)/(Data!W$186-90*Data!W$188)*Data!F$193, "")</f>
        <v>5.6972065133135068</v>
      </c>
      <c r="F28">
        <f>IF( Table1[[#This Row],[Included?]], SUM(Table5[[#This Row],[Radj]:[OBPAdj]]), "")</f>
        <v>20.605099510902534</v>
      </c>
      <c r="G2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28">
        <f>IF(Table1[[#This Row],[Included?]], Table5[[#This Row],[TotalAdj]]-Table5[[#This Row],[MinPos]], "")</f>
        <v>6.2760954929292083</v>
      </c>
      <c r="I28">
        <f>IF(Table1[[#This Row],[Included?]], 1+(Data!D$186-Data!B$185)*Table5[[#This Row],[Diff]]/SUM(Table5[Diff]), "")</f>
        <v>21.279259747051452</v>
      </c>
    </row>
    <row r="29" spans="1:9" hidden="1" x14ac:dyDescent="0.25">
      <c r="A29">
        <f>IF(Table1[[#This Row],[Included?]], (Table1[[#This Row],[I R]]-Data!S$188)/(Data!S$186-90*Data!S$188)*Data!B$193, "")</f>
        <v>5.2756514881989469</v>
      </c>
      <c r="B29">
        <f>IF(Table1[[#This Row],[Included?]], (Table1[[#This Row],[I HR]]-Data!T$188)/(Data!T$186-90*Data!T$188)*Data!C$193, "")</f>
        <v>4.456648205891935</v>
      </c>
      <c r="C29">
        <f>IF(Table1[[#This Row],[Included?]], (Table1[[#This Row],[I RBI]]-Data!U$188)/(Data!U$186-90*Data!U$188)*Data!D$193, "")</f>
        <v>2.8134274220141116</v>
      </c>
      <c r="D29">
        <f>IF(Table1[[#This Row],[Included?]], (Table1[[#This Row],[I SB]]-Data!V$188)/(Data!V$186-90*Data!V$188)*Data!E$193, "")</f>
        <v>5.3970247933884288</v>
      </c>
      <c r="E29">
        <f>IF(Table1[[#This Row],[Included?]], (Table1[[#This Row],[I OBP]]-Data!W$188)/(Data!W$186-90*Data!W$188)*Data!F$193, "")</f>
        <v>3.0150317170982377</v>
      </c>
      <c r="F29">
        <f>IF( Table1[[#This Row],[Included?]], SUM(Table5[[#This Row],[Radj]:[OBPAdj]]), "")</f>
        <v>20.957783626591663</v>
      </c>
      <c r="G2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29">
        <f>IF(Table1[[#This Row],[Included?]], Table5[[#This Row],[TotalAdj]]-Table5[[#This Row],[MinPos]], "")</f>
        <v>4.731338879812359</v>
      </c>
      <c r="I29">
        <f>IF(Table1[[#This Row],[Included?]], 1+(Data!D$186-Data!B$185)*Table5[[#This Row],[Diff]]/SUM(Table5[Diff]), "")</f>
        <v>16.287856949139083</v>
      </c>
    </row>
    <row r="30" spans="1:9" hidden="1" x14ac:dyDescent="0.25">
      <c r="A30">
        <f>IF(Table1[[#This Row],[Included?]], (Table1[[#This Row],[I R]]-Data!S$188)/(Data!S$186-90*Data!S$188)*Data!B$193, "")</f>
        <v>6.651616570998927</v>
      </c>
      <c r="B30">
        <f>IF(Table1[[#This Row],[Included?]], (Table1[[#This Row],[I HR]]-Data!T$188)/(Data!T$186-90*Data!T$188)*Data!C$193, "")</f>
        <v>2.515009075254806</v>
      </c>
      <c r="C30">
        <f>IF(Table1[[#This Row],[Included?]], (Table1[[#This Row],[I RBI]]-Data!U$188)/(Data!U$186-90*Data!U$188)*Data!D$193, "")</f>
        <v>3.7358042603706378</v>
      </c>
      <c r="D30">
        <f>IF(Table1[[#This Row],[Included?]], (Table1[[#This Row],[I SB]]-Data!V$188)/(Data!V$186-90*Data!V$188)*Data!E$193, "")</f>
        <v>1.1186776859504128</v>
      </c>
      <c r="E30">
        <f>IF(Table1[[#This Row],[Included?]], (Table1[[#This Row],[I OBP]]-Data!W$188)/(Data!W$186-90*Data!W$188)*Data!F$193, "")</f>
        <v>5.0656908229817859</v>
      </c>
      <c r="F30">
        <f>IF( Table1[[#This Row],[Included?]], SUM(Table5[[#This Row],[Radj]:[OBPAdj]]), "")</f>
        <v>19.086798415556569</v>
      </c>
      <c r="G3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30">
        <f>IF(Table1[[#This Row],[Included?]], Table5[[#This Row],[TotalAdj]]-Table5[[#This Row],[MinPos]], "")</f>
        <v>2.8603536687772646</v>
      </c>
      <c r="I30">
        <f>IF(Table1[[#This Row],[Included?]], 1+(Data!D$186-Data!B$185)*Table5[[#This Row],[Diff]]/SUM(Table5[Diff]), "")</f>
        <v>10.242347424910351</v>
      </c>
    </row>
    <row r="31" spans="1:9" hidden="1" x14ac:dyDescent="0.25">
      <c r="A31">
        <f>IF(Table1[[#This Row],[Included?]], (Table1[[#This Row],[I R]]-Data!S$188)/(Data!S$186-90*Data!S$188)*Data!B$193, "")</f>
        <v>3.990298740119941</v>
      </c>
      <c r="B31">
        <f>IF(Table1[[#This Row],[Included?]], (Table1[[#This Row],[I HR]]-Data!T$188)/(Data!T$186-90*Data!T$188)*Data!C$193, "")</f>
        <v>7.3886536045050528</v>
      </c>
      <c r="C31">
        <f>IF(Table1[[#This Row],[Included?]], (Table1[[#This Row],[I RBI]]-Data!U$188)/(Data!U$186-90*Data!U$188)*Data!D$193, "")</f>
        <v>5.7728681659302215</v>
      </c>
      <c r="D31">
        <f>IF(Table1[[#This Row],[Included?]], (Table1[[#This Row],[I SB]]-Data!V$188)/(Data!V$186-90*Data!V$188)*Data!E$193, "")</f>
        <v>0.7795041322314048</v>
      </c>
      <c r="E31">
        <f>IF(Table1[[#This Row],[Included?]], (Table1[[#This Row],[I OBP]]-Data!W$188)/(Data!W$186-90*Data!W$188)*Data!F$193, "")</f>
        <v>1.9944511453641112</v>
      </c>
      <c r="F31">
        <f>IF( Table1[[#This Row],[Included?]], SUM(Table5[[#This Row],[Radj]:[OBPAdj]]), "")</f>
        <v>19.92577578815073</v>
      </c>
      <c r="G3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31">
        <f>IF(Table1[[#This Row],[Included?]], Table5[[#This Row],[TotalAdj]]-Table5[[#This Row],[MinPos]], "")</f>
        <v>5.5967717701774049</v>
      </c>
      <c r="I31">
        <f>IF(Table1[[#This Row],[Included?]], 1+(Data!D$186-Data!B$185)*Table5[[#This Row],[Diff]]/SUM(Table5[Diff]), "")</f>
        <v>19.084235429537745</v>
      </c>
    </row>
    <row r="32" spans="1:9" hidden="1" x14ac:dyDescent="0.25">
      <c r="A32">
        <f>IF(Table1[[#This Row],[Included?]], (Table1[[#This Row],[I R]]-Data!S$188)/(Data!S$186-90*Data!S$188)*Data!B$193, "")</f>
        <v>5.9367859304223538</v>
      </c>
      <c r="B32">
        <f>IF(Table1[[#This Row],[Included?]], (Table1[[#This Row],[I HR]]-Data!T$188)/(Data!T$186-90*Data!T$188)*Data!C$193, "")</f>
        <v>3.7464513426723141</v>
      </c>
      <c r="C32">
        <f>IF(Table1[[#This Row],[Included?]], (Table1[[#This Row],[I RBI]]-Data!U$188)/(Data!U$186-90*Data!U$188)*Data!D$193, "")</f>
        <v>1.2286486842973021</v>
      </c>
      <c r="D32">
        <f>IF(Table1[[#This Row],[Included?]], (Table1[[#This Row],[I SB]]-Data!V$188)/(Data!V$186-90*Data!V$188)*Data!E$193, "")</f>
        <v>9.2647933884297498</v>
      </c>
      <c r="E32">
        <f>IF(Table1[[#This Row],[Included?]], (Table1[[#This Row],[I OBP]]-Data!W$188)/(Data!W$186-90*Data!W$188)*Data!F$193, "")</f>
        <v>2.7860923027929454</v>
      </c>
      <c r="F32">
        <f>IF( Table1[[#This Row],[Included?]], SUM(Table5[[#This Row],[Radj]:[OBPAdj]]), "")</f>
        <v>22.962771648614662</v>
      </c>
      <c r="G3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32">
        <f>IF(Table1[[#This Row],[Included?]], Table5[[#This Row],[TotalAdj]]-Table5[[#This Row],[MinPos]], "")</f>
        <v>8.6337676306413371</v>
      </c>
      <c r="I32">
        <f>IF(Table1[[#This Row],[Included?]], 1+(Data!D$186-Data!B$185)*Table5[[#This Row],[Diff]]/SUM(Table5[Diff]), "")</f>
        <v>28.897347415238819</v>
      </c>
    </row>
    <row r="33" spans="1:9" hidden="1" x14ac:dyDescent="0.25">
      <c r="A33">
        <f>IF(Table1[[#This Row],[Included?]], (Table1[[#This Row],[I R]]-Data!S$188)/(Data!S$186-90*Data!S$188)*Data!B$193, "")</f>
        <v>3.8191421078692112</v>
      </c>
      <c r="B33">
        <f>IF(Table1[[#This Row],[Included?]], (Table1[[#This Row],[I HR]]-Data!T$188)/(Data!T$186-90*Data!T$188)*Data!C$193, "")</f>
        <v>8.1249127379345669</v>
      </c>
      <c r="C33">
        <f>IF(Table1[[#This Row],[Included?]], (Table1[[#This Row],[I RBI]]-Data!U$188)/(Data!U$186-90*Data!U$188)*Data!D$193, "")</f>
        <v>5.7336938600540766</v>
      </c>
      <c r="D33">
        <f>IF(Table1[[#This Row],[Included?]], (Table1[[#This Row],[I SB]]-Data!V$188)/(Data!V$186-90*Data!V$188)*Data!E$193, "")</f>
        <v>0</v>
      </c>
      <c r="E33">
        <f>IF(Table1[[#This Row],[Included?]], (Table1[[#This Row],[I OBP]]-Data!W$188)/(Data!W$186-90*Data!W$188)*Data!F$193, "")</f>
        <v>3.1954434299435253</v>
      </c>
      <c r="F33">
        <f>IF( Table1[[#This Row],[Included?]], SUM(Table5[[#This Row],[Radj]:[OBPAdj]]), "")</f>
        <v>20.873192135801382</v>
      </c>
      <c r="G3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33">
        <f>IF(Table1[[#This Row],[Included?]], Table5[[#This Row],[TotalAdj]]-Table5[[#This Row],[MinPos]], "")</f>
        <v>5.8824987779644253</v>
      </c>
      <c r="I33">
        <f>IF(Table1[[#This Row],[Included?]], 1+(Data!D$186-Data!B$185)*Table5[[#This Row],[Diff]]/SUM(Table5[Diff]), "")</f>
        <v>20.007473805083308</v>
      </c>
    </row>
    <row r="34" spans="1:9" hidden="1" x14ac:dyDescent="0.25">
      <c r="A34">
        <f>IF(Table1[[#This Row],[Included?]], (Table1[[#This Row],[I R]]-Data!S$188)/(Data!S$186-90*Data!S$188)*Data!B$193, "")</f>
        <v>3.7050376863687271</v>
      </c>
      <c r="B34">
        <f>IF(Table1[[#This Row],[Included?]], (Table1[[#This Row],[I HR]]-Data!T$188)/(Data!T$186-90*Data!T$188)*Data!C$193, "")</f>
        <v>7.9750546842276737</v>
      </c>
      <c r="C34">
        <f>IF(Table1[[#This Row],[Included?]], (Table1[[#This Row],[I RBI]]-Data!U$188)/(Data!U$186-90*Data!U$188)*Data!D$193, "")</f>
        <v>6.1183143177471457</v>
      </c>
      <c r="D34">
        <f>IF(Table1[[#This Row],[Included?]], (Table1[[#This Row],[I SB]]-Data!V$188)/(Data!V$186-90*Data!V$188)*Data!E$193, "")</f>
        <v>0.67834710743801629</v>
      </c>
      <c r="E34">
        <f>IF(Table1[[#This Row],[Included?]], (Table1[[#This Row],[I OBP]]-Data!W$188)/(Data!W$186-90*Data!W$188)*Data!F$193, "")</f>
        <v>3.242252314503975</v>
      </c>
      <c r="F34">
        <f>IF( Table1[[#This Row],[Included?]], SUM(Table5[[#This Row],[Radj]:[OBPAdj]]), "")</f>
        <v>21.719006110285537</v>
      </c>
      <c r="G3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34">
        <f>IF(Table1[[#This Row],[Included?]], Table5[[#This Row],[TotalAdj]]-Table5[[#This Row],[MinPos]], "")</f>
        <v>6.7283127524485806</v>
      </c>
      <c r="I34">
        <f>IF(Table1[[#This Row],[Included?]], 1+(Data!D$186-Data!B$185)*Table5[[#This Row],[Diff]]/SUM(Table5[Diff]), "")</f>
        <v>22.740459832076443</v>
      </c>
    </row>
    <row r="35" spans="1:9" hidden="1" x14ac:dyDescent="0.25">
      <c r="A35">
        <f>IF(Table1[[#This Row],[Included?]], (Table1[[#This Row],[I R]]-Data!S$188)/(Data!S$186-90*Data!S$188)*Data!B$193, "")</f>
        <v>3.4164206202204381</v>
      </c>
      <c r="B35">
        <f>IF(Table1[[#This Row],[Included?]], (Table1[[#This Row],[I HR]]-Data!T$188)/(Data!T$186-90*Data!T$188)*Data!C$193, "")</f>
        <v>4.9453157723274552</v>
      </c>
      <c r="C35">
        <f>IF(Table1[[#This Row],[Included?]], (Table1[[#This Row],[I RBI]]-Data!U$188)/(Data!U$186-90*Data!U$188)*Data!D$193, "")</f>
        <v>6.3391149508672386</v>
      </c>
      <c r="D35">
        <f>IF(Table1[[#This Row],[Included?]], (Table1[[#This Row],[I SB]]-Data!V$188)/(Data!V$186-90*Data!V$188)*Data!E$193, "")</f>
        <v>0.26776859504132228</v>
      </c>
      <c r="E35">
        <f>IF(Table1[[#This Row],[Included?]], (Table1[[#This Row],[I OBP]]-Data!W$188)/(Data!W$186-90*Data!W$188)*Data!F$193, "")</f>
        <v>5.1226341993974867</v>
      </c>
      <c r="F35">
        <f>IF( Table1[[#This Row],[Included?]], SUM(Table5[[#This Row],[Radj]:[OBPAdj]]), "")</f>
        <v>20.091254137853941</v>
      </c>
      <c r="G3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35">
        <f>IF(Table1[[#This Row],[Included?]], Table5[[#This Row],[TotalAdj]]-Table5[[#This Row],[MinPos]], "")</f>
        <v>5.2578557711379013</v>
      </c>
      <c r="I35">
        <f>IF(Table1[[#This Row],[Included?]], 1+(Data!D$186-Data!B$185)*Table5[[#This Row],[Diff]]/SUM(Table5[Diff]), "")</f>
        <v>17.989133294030601</v>
      </c>
    </row>
    <row r="36" spans="1:9" hidden="1" x14ac:dyDescent="0.25">
      <c r="A36" t="str">
        <f>IF(Table1[[#This Row],[Included?]], (Table1[[#This Row],[I R]]-Data!S$188)/(Data!S$186-90*Data!S$188)*Data!B$193, "")</f>
        <v/>
      </c>
      <c r="B36" t="str">
        <f>IF(Table1[[#This Row],[Included?]], (Table1[[#This Row],[I HR]]-Data!T$188)/(Data!T$186-90*Data!T$188)*Data!C$193, "")</f>
        <v/>
      </c>
      <c r="C36" t="str">
        <f>IF(Table1[[#This Row],[Included?]], (Table1[[#This Row],[I RBI]]-Data!U$188)/(Data!U$186-90*Data!U$188)*Data!D$193, "")</f>
        <v/>
      </c>
      <c r="D36" t="str">
        <f>IF(Table1[[#This Row],[Included?]], (Table1[[#This Row],[I SB]]-Data!V$188)/(Data!V$186-90*Data!V$188)*Data!E$193, "")</f>
        <v/>
      </c>
      <c r="E36" t="str">
        <f>IF(Table1[[#This Row],[Included?]], (Table1[[#This Row],[I OBP]]-Data!W$188)/(Data!W$186-90*Data!W$188)*Data!F$193, "")</f>
        <v/>
      </c>
      <c r="F36" t="str">
        <f>IF( Table1[[#This Row],[Included?]], SUM(Table5[[#This Row],[Radj]:[OBPAdj]]), "")</f>
        <v/>
      </c>
      <c r="G3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36" t="str">
        <f>IF(Table1[[#This Row],[Included?]], Table5[[#This Row],[TotalAdj]]-Table5[[#This Row],[MinPos]], "")</f>
        <v/>
      </c>
      <c r="I36" t="str">
        <f>IF(Table1[[#This Row],[Included?]], 1+(Data!D$186-Data!B$185)*Table5[[#This Row],[Diff]]/SUM(Table5[Diff]), "")</f>
        <v/>
      </c>
    </row>
    <row r="37" spans="1:9" hidden="1" x14ac:dyDescent="0.25">
      <c r="A37">
        <f>IF(Table1[[#This Row],[Included?]], (Table1[[#This Row],[I R]]-Data!S$188)/(Data!S$186-90*Data!S$188)*Data!B$193, "")</f>
        <v>4.4802765500926176</v>
      </c>
      <c r="B37">
        <f>IF(Table1[[#This Row],[Included?]], (Table1[[#This Row],[I HR]]-Data!T$188)/(Data!T$186-90*Data!T$188)*Data!C$193, "")</f>
        <v>3.1274724251873236</v>
      </c>
      <c r="C37">
        <f>IF(Table1[[#This Row],[Included?]], (Table1[[#This Row],[I RBI]]-Data!U$188)/(Data!U$186-90*Data!U$188)*Data!D$193, "")</f>
        <v>6.0827013124051952</v>
      </c>
      <c r="D37">
        <f>IF(Table1[[#This Row],[Included?]], (Table1[[#This Row],[I SB]]-Data!V$188)/(Data!V$186-90*Data!V$188)*Data!E$193, "")</f>
        <v>2.0409917355371894</v>
      </c>
      <c r="E37">
        <f>IF(Table1[[#This Row],[Included?]], (Table1[[#This Row],[I OBP]]-Data!W$188)/(Data!W$186-90*Data!W$188)*Data!F$193, "")</f>
        <v>2.1183005775503658</v>
      </c>
      <c r="F37">
        <f>IF( Table1[[#This Row],[Included?]], SUM(Table5[[#This Row],[Radj]:[OBPAdj]]), "")</f>
        <v>17.849742600772689</v>
      </c>
      <c r="G3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37">
        <f>IF(Table1[[#This Row],[Included?]], Table5[[#This Row],[TotalAdj]]-Table5[[#This Row],[MinPos]], "")</f>
        <v>4.9101189586915979</v>
      </c>
      <c r="I37">
        <f>IF(Table1[[#This Row],[Included?]], 1+(Data!D$186-Data!B$185)*Table5[[#This Row],[Diff]]/SUM(Table5[Diff]), "")</f>
        <v>16.865529430584758</v>
      </c>
    </row>
    <row r="38" spans="1:9" hidden="1" x14ac:dyDescent="0.25">
      <c r="A38">
        <f>IF(Table1[[#This Row],[Included?]], (Table1[[#This Row],[I R]]-Data!S$188)/(Data!S$186-90*Data!S$188)*Data!B$193, "")</f>
        <v>2.9935630581892245</v>
      </c>
      <c r="B38">
        <f>IF(Table1[[#This Row],[Included?]], (Table1[[#This Row],[I HR]]-Data!T$188)/(Data!T$186-90*Data!T$188)*Data!C$193, "")</f>
        <v>7.395169172057523</v>
      </c>
      <c r="C38">
        <f>IF(Table1[[#This Row],[Included?]], (Table1[[#This Row],[I RBI]]-Data!U$188)/(Data!U$186-90*Data!U$188)*Data!D$193, "")</f>
        <v>5.2315504847325709</v>
      </c>
      <c r="D38">
        <f>IF(Table1[[#This Row],[Included?]], (Table1[[#This Row],[I SB]]-Data!V$188)/(Data!V$186-90*Data!V$188)*Data!E$193, "")</f>
        <v>0.64859504132231394</v>
      </c>
      <c r="E38">
        <f>IF(Table1[[#This Row],[Included?]], (Table1[[#This Row],[I OBP]]-Data!W$188)/(Data!W$186-90*Data!W$188)*Data!F$193, "")</f>
        <v>4.8157378478160169</v>
      </c>
      <c r="F38">
        <f>IF( Table1[[#This Row],[Included?]], SUM(Table5[[#This Row],[Radj]:[OBPAdj]]), "")</f>
        <v>21.084615604117648</v>
      </c>
      <c r="G3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38">
        <f>IF(Table1[[#This Row],[Included?]], Table5[[#This Row],[TotalAdj]]-Table5[[#This Row],[MinPos]], "")</f>
        <v>6.093922246280691</v>
      </c>
      <c r="I38">
        <f>IF(Table1[[#This Row],[Included?]], 1+(Data!D$186-Data!B$185)*Table5[[#This Row],[Diff]]/SUM(Table5[Diff]), "")</f>
        <v>20.690623294353898</v>
      </c>
    </row>
    <row r="39" spans="1:9" hidden="1" x14ac:dyDescent="0.25">
      <c r="A39">
        <f>IF(Table1[[#This Row],[Included?]], (Table1[[#This Row],[I R]]-Data!S$188)/(Data!S$186-90*Data!S$188)*Data!B$193, "")</f>
        <v>6.1649947734233246</v>
      </c>
      <c r="B39">
        <f>IF(Table1[[#This Row],[Included?]], (Table1[[#This Row],[I HR]]-Data!T$188)/(Data!T$186-90*Data!T$188)*Data!C$193, "")</f>
        <v>2.7169916693814868</v>
      </c>
      <c r="C39">
        <f>IF(Table1[[#This Row],[Included?]], (Table1[[#This Row],[I RBI]]-Data!U$188)/(Data!U$186-90*Data!U$188)*Data!D$193, "")</f>
        <v>0.73718921057838227</v>
      </c>
      <c r="D39">
        <f>IF(Table1[[#This Row],[Included?]], (Table1[[#This Row],[I SB]]-Data!V$188)/(Data!V$186-90*Data!V$188)*Data!E$193, "")</f>
        <v>9.3897520661156975</v>
      </c>
      <c r="E39">
        <f>IF(Table1[[#This Row],[Included?]], (Table1[[#This Row],[I OBP]]-Data!W$188)/(Data!W$186-90*Data!W$188)*Data!F$193, "")</f>
        <v>2.0620433082834873</v>
      </c>
      <c r="F39">
        <f>IF( Table1[[#This Row],[Included?]], SUM(Table5[[#This Row],[Radj]:[OBPAdj]]), "")</f>
        <v>21.070971027782381</v>
      </c>
      <c r="G3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39">
        <f>IF(Table1[[#This Row],[Included?]], Table5[[#This Row],[TotalAdj]]-Table5[[#This Row],[MinPos]], "")</f>
        <v>6.7419670098090556</v>
      </c>
      <c r="I39">
        <f>IF(Table1[[#This Row],[Included?]], 1+(Data!D$186-Data!B$185)*Table5[[#This Row],[Diff]]/SUM(Table5[Diff]), "")</f>
        <v>22.784579337902656</v>
      </c>
    </row>
    <row r="40" spans="1:9" hidden="1" x14ac:dyDescent="0.25">
      <c r="A40">
        <f>IF(Table1[[#This Row],[Included?]], (Table1[[#This Row],[I R]]-Data!S$188)/(Data!S$186-90*Data!S$188)*Data!B$193, "")</f>
        <v>3.4365566946028756</v>
      </c>
      <c r="B40">
        <f>IF(Table1[[#This Row],[Included?]], (Table1[[#This Row],[I HR]]-Data!T$188)/(Data!T$186-90*Data!T$188)*Data!C$193, "")</f>
        <v>4.0266207474286784</v>
      </c>
      <c r="C40">
        <f>IF(Table1[[#This Row],[Included?]], (Table1[[#This Row],[I RBI]]-Data!U$188)/(Data!U$186-90*Data!U$188)*Data!D$193, "")</f>
        <v>5.9081975862296359</v>
      </c>
      <c r="D40">
        <f>IF(Table1[[#This Row],[Included?]], (Table1[[#This Row],[I SB]]-Data!V$188)/(Data!V$186-90*Data!V$188)*Data!E$193, "")</f>
        <v>1.951735537190082</v>
      </c>
      <c r="E40">
        <f>IF(Table1[[#This Row],[Included?]], (Table1[[#This Row],[I OBP]]-Data!W$188)/(Data!W$186-90*Data!W$188)*Data!F$193, "")</f>
        <v>2.8648963874984856</v>
      </c>
      <c r="F40">
        <f>IF( Table1[[#This Row],[Included?]], SUM(Table5[[#This Row],[Radj]:[OBPAdj]]), "")</f>
        <v>18.18800695294976</v>
      </c>
      <c r="G4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40">
        <f>IF(Table1[[#This Row],[Included?]], Table5[[#This Row],[TotalAdj]]-Table5[[#This Row],[MinPos]], "")</f>
        <v>3.1973135951128029</v>
      </c>
      <c r="I40">
        <f>IF(Table1[[#This Row],[Included?]], 1+(Data!D$186-Data!B$185)*Table5[[#This Row],[Diff]]/SUM(Table5[Diff]), "")</f>
        <v>11.331129116999684</v>
      </c>
    </row>
    <row r="41" spans="1:9" hidden="1" x14ac:dyDescent="0.25">
      <c r="A41">
        <f>IF(Table1[[#This Row],[Included?]], (Table1[[#This Row],[I R]]-Data!S$188)/(Data!S$186-90*Data!S$188)*Data!B$193, "")</f>
        <v>3.2452639879697083</v>
      </c>
      <c r="B41">
        <f>IF(Table1[[#This Row],[Included?]], (Table1[[#This Row],[I HR]]-Data!T$188)/(Data!T$186-90*Data!T$188)*Data!C$193, "")</f>
        <v>4.4761949085493562</v>
      </c>
      <c r="C41">
        <f>IF(Table1[[#This Row],[Included?]], (Table1[[#This Row],[I RBI]]-Data!U$188)/(Data!U$186-90*Data!U$188)*Data!D$193, "")</f>
        <v>5.7728681659302223</v>
      </c>
      <c r="D41">
        <f>IF(Table1[[#This Row],[Included?]], (Table1[[#This Row],[I SB]]-Data!V$188)/(Data!V$186-90*Data!V$188)*Data!E$193, "")</f>
        <v>0.21421487603305775</v>
      </c>
      <c r="E41">
        <f>IF(Table1[[#This Row],[Included?]], (Table1[[#This Row],[I OBP]]-Data!W$188)/(Data!W$186-90*Data!W$188)*Data!F$193, "")</f>
        <v>6.2534274185912073</v>
      </c>
      <c r="F41">
        <f>IF( Table1[[#This Row],[Included?]], SUM(Table5[[#This Row],[Radj]:[OBPAdj]]), "")</f>
        <v>19.961969357073553</v>
      </c>
      <c r="G4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41">
        <f>IF(Table1[[#This Row],[Included?]], Table5[[#This Row],[TotalAdj]]-Table5[[#This Row],[MinPos]], "")</f>
        <v>4.971275999236596</v>
      </c>
      <c r="I41">
        <f>IF(Table1[[#This Row],[Included?]], 1+(Data!D$186-Data!B$185)*Table5[[#This Row],[Diff]]/SUM(Table5[Diff]), "")</f>
        <v>17.063139475232777</v>
      </c>
    </row>
    <row r="42" spans="1:9" hidden="1" x14ac:dyDescent="0.25">
      <c r="A42">
        <f>IF(Table1[[#This Row],[Included?]], (Table1[[#This Row],[I R]]-Data!S$188)/(Data!S$186-90*Data!S$188)*Data!B$193, "")</f>
        <v>4.0272148764877445</v>
      </c>
      <c r="B42">
        <f>IF(Table1[[#This Row],[Included?]], (Table1[[#This Row],[I HR]]-Data!T$188)/(Data!T$186-90*Data!T$188)*Data!C$193, "")</f>
        <v>5.9226509051984939</v>
      </c>
      <c r="C42">
        <f>IF(Table1[[#This Row],[Included?]], (Table1[[#This Row],[I RBI]]-Data!U$188)/(Data!U$186-90*Data!U$188)*Data!D$193, "")</f>
        <v>5.772868165930225</v>
      </c>
      <c r="D42">
        <f>IF(Table1[[#This Row],[Included?]], (Table1[[#This Row],[I SB]]-Data!V$188)/(Data!V$186-90*Data!V$188)*Data!E$193, "")</f>
        <v>1.1424793388429748</v>
      </c>
      <c r="E42">
        <f>IF(Table1[[#This Row],[Included?]], (Table1[[#This Row],[I OBP]]-Data!W$188)/(Data!W$186-90*Data!W$188)*Data!F$193, "")</f>
        <v>2.8525520023655999</v>
      </c>
      <c r="F42">
        <f>IF( Table1[[#This Row],[Included?]], SUM(Table5[[#This Row],[Radj]:[OBPAdj]]), "")</f>
        <v>19.717765288825035</v>
      </c>
      <c r="G4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42">
        <f>IF(Table1[[#This Row],[Included?]], Table5[[#This Row],[TotalAdj]]-Table5[[#This Row],[MinPos]], "")</f>
        <v>4.8843669221089954</v>
      </c>
      <c r="I42">
        <f>IF(Table1[[#This Row],[Included?]], 1+(Data!D$186-Data!B$185)*Table5[[#This Row],[Diff]]/SUM(Table5[Diff]), "")</f>
        <v>16.782319696210493</v>
      </c>
    </row>
    <row r="43" spans="1:9" hidden="1" x14ac:dyDescent="0.25">
      <c r="A43">
        <f>IF(Table1[[#This Row],[Included?]], (Table1[[#This Row],[I R]]-Data!S$188)/(Data!S$186-90*Data!S$188)*Data!B$193, "")</f>
        <v>4.2990518806506683</v>
      </c>
      <c r="B43">
        <f>IF(Table1[[#This Row],[Included?]], (Table1[[#This Row],[I HR]]-Data!T$188)/(Data!T$186-90*Data!T$188)*Data!C$193, "")</f>
        <v>5.5382324196025516</v>
      </c>
      <c r="C43">
        <f>IF(Table1[[#This Row],[Included?]], (Table1[[#This Row],[I RBI]]-Data!U$188)/(Data!U$186-90*Data!U$188)*Data!D$193, "")</f>
        <v>5.893952384092854</v>
      </c>
      <c r="D43">
        <f>IF(Table1[[#This Row],[Included?]], (Table1[[#This Row],[I SB]]-Data!V$188)/(Data!V$186-90*Data!V$188)*Data!E$193, "")</f>
        <v>1.8148760330578506</v>
      </c>
      <c r="E43">
        <f>IF(Table1[[#This Row],[Included?]], (Table1[[#This Row],[I OBP]]-Data!W$188)/(Data!W$186-90*Data!W$188)*Data!F$193, "")</f>
        <v>2.9895265368532802</v>
      </c>
      <c r="F43">
        <f>IF( Table1[[#This Row],[Included?]], SUM(Table5[[#This Row],[Radj]:[OBPAdj]]), "")</f>
        <v>20.535639254257205</v>
      </c>
      <c r="G4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43">
        <f>IF(Table1[[#This Row],[Included?]], Table5[[#This Row],[TotalAdj]]-Table5[[#This Row],[MinPos]], "")</f>
        <v>6.2066352362838799</v>
      </c>
      <c r="I43">
        <f>IF(Table1[[#This Row],[Included?]], 1+(Data!D$186-Data!B$185)*Table5[[#This Row],[Diff]]/SUM(Table5[Diff]), "")</f>
        <v>21.054820429932324</v>
      </c>
    </row>
    <row r="44" spans="1:9" hidden="1" x14ac:dyDescent="0.25">
      <c r="A44">
        <f>IF(Table1[[#This Row],[Included?]], (Table1[[#This Row],[I R]]-Data!S$188)/(Data!S$186-90*Data!S$188)*Data!B$193, "")</f>
        <v>2.5505694217755726</v>
      </c>
      <c r="B44">
        <f>IF(Table1[[#This Row],[Included?]], (Table1[[#This Row],[I HR]]-Data!T$188)/(Data!T$186-90*Data!T$188)*Data!C$193, "")</f>
        <v>7.1931865779308426</v>
      </c>
      <c r="C44">
        <f>IF(Table1[[#This Row],[Included?]], (Table1[[#This Row],[I RBI]]-Data!U$188)/(Data!U$186-90*Data!U$188)*Data!D$193, "")</f>
        <v>4.6510584976587737</v>
      </c>
      <c r="D44">
        <f>IF(Table1[[#This Row],[Included?]], (Table1[[#This Row],[I SB]]-Data!V$188)/(Data!V$186-90*Data!V$188)*Data!E$193, "")</f>
        <v>2.1838016528925612</v>
      </c>
      <c r="E44">
        <f>IF(Table1[[#This Row],[Included?]], (Table1[[#This Row],[I OBP]]-Data!W$188)/(Data!W$186-90*Data!W$188)*Data!F$193, "")</f>
        <v>4.283246120348406</v>
      </c>
      <c r="F44">
        <f>IF( Table1[[#This Row],[Included?]], SUM(Table5[[#This Row],[Radj]:[OBPAdj]]), "")</f>
        <v>20.861862270606156</v>
      </c>
      <c r="G4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44">
        <f>IF(Table1[[#This Row],[Included?]], Table5[[#This Row],[TotalAdj]]-Table5[[#This Row],[MinPos]], "")</f>
        <v>7.922238628525065</v>
      </c>
      <c r="I44">
        <f>IF(Table1[[#This Row],[Included?]], 1+(Data!D$186-Data!B$185)*Table5[[#This Row],[Diff]]/SUM(Table5[Diff]), "")</f>
        <v>26.598261706977596</v>
      </c>
    </row>
    <row r="45" spans="1:9" hidden="1" x14ac:dyDescent="0.25">
      <c r="A45">
        <f>IF(Table1[[#This Row],[Included?]], (Table1[[#This Row],[I R]]-Data!S$188)/(Data!S$186-90*Data!S$188)*Data!B$193, "")</f>
        <v>4.8561499385648066</v>
      </c>
      <c r="B45">
        <f>IF(Table1[[#This Row],[Included?]], (Table1[[#This Row],[I HR]]-Data!T$188)/(Data!T$186-90*Data!T$188)*Data!C$193, "")</f>
        <v>3.0883790198724812</v>
      </c>
      <c r="C45">
        <f>IF(Table1[[#This Row],[Included?]], (Table1[[#This Row],[I RBI]]-Data!U$188)/(Data!U$186-90*Data!U$188)*Data!D$193, "")</f>
        <v>1.7058629558794438</v>
      </c>
      <c r="D45">
        <f>IF(Table1[[#This Row],[Included?]], (Table1[[#This Row],[I SB]]-Data!V$188)/(Data!V$186-90*Data!V$188)*Data!E$193, "")</f>
        <v>4.4985123966942133</v>
      </c>
      <c r="E45">
        <f>IF(Table1[[#This Row],[Included?]], (Table1[[#This Row],[I OBP]]-Data!W$188)/(Data!W$186-90*Data!W$188)*Data!F$193, "")</f>
        <v>5.4727373950681519</v>
      </c>
      <c r="F45">
        <f>IF( Table1[[#This Row],[Included?]], SUM(Table5[[#This Row],[Radj]:[OBPAdj]]), "")</f>
        <v>19.621641706079096</v>
      </c>
      <c r="G4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45">
        <f>IF(Table1[[#This Row],[Included?]], Table5[[#This Row],[TotalAdj]]-Table5[[#This Row],[MinPos]], "")</f>
        <v>5.2926376881057706</v>
      </c>
      <c r="I45">
        <f>IF(Table1[[#This Row],[Included?]], 1+(Data!D$186-Data!B$185)*Table5[[#This Row],[Diff]]/SUM(Table5[Diff]), "")</f>
        <v>18.101520291565368</v>
      </c>
    </row>
    <row r="46" spans="1:9" hidden="1" x14ac:dyDescent="0.25">
      <c r="A46">
        <f>IF(Table1[[#This Row],[Included?]], (Table1[[#This Row],[I R]]-Data!S$188)/(Data!S$186-90*Data!S$188)*Data!B$193, "")</f>
        <v>5.8629536576867425</v>
      </c>
      <c r="B46">
        <f>IF(Table1[[#This Row],[Included?]], (Table1[[#This Row],[I HR]]-Data!T$188)/(Data!T$186-90*Data!T$188)*Data!C$193, "")</f>
        <v>5.0886582584818747</v>
      </c>
      <c r="C46">
        <f>IF(Table1[[#This Row],[Included?]], (Table1[[#This Row],[I RBI]]-Data!U$188)/(Data!U$186-90*Data!U$188)*Data!D$193, "")</f>
        <v>2.9131438369715754</v>
      </c>
      <c r="D46">
        <f>IF(Table1[[#This Row],[Included?]], (Table1[[#This Row],[I SB]]-Data!V$188)/(Data!V$186-90*Data!V$188)*Data!E$193, "")</f>
        <v>0.83900826446280952</v>
      </c>
      <c r="E46">
        <f>IF(Table1[[#This Row],[Included?]], (Table1[[#This Row],[I OBP]]-Data!W$188)/(Data!W$186-90*Data!W$188)*Data!F$193, "")</f>
        <v>2.9984161983253084</v>
      </c>
      <c r="F46">
        <f>IF( Table1[[#This Row],[Included?]], SUM(Table5[[#This Row],[Radj]:[OBPAdj]]), "")</f>
        <v>17.702180215928308</v>
      </c>
      <c r="G4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46">
        <f>IF(Table1[[#This Row],[Included?]], Table5[[#This Row],[TotalAdj]]-Table5[[#This Row],[MinPos]], "")</f>
        <v>1.4757354691490043</v>
      </c>
      <c r="I46">
        <f>IF(Table1[[#This Row],[Included?]], 1+(Data!D$186-Data!B$185)*Table5[[#This Row],[Diff]]/SUM(Table5[Diff]), "")</f>
        <v>5.7683823374780916</v>
      </c>
    </row>
    <row r="47" spans="1:9" hidden="1" x14ac:dyDescent="0.25">
      <c r="A47">
        <f>IF(Table1[[#This Row],[Included?]], (Table1[[#This Row],[I R]]-Data!S$188)/(Data!S$186-90*Data!S$188)*Data!B$193, "")</f>
        <v>2.9163747730565426</v>
      </c>
      <c r="B47">
        <f>IF(Table1[[#This Row],[Included?]], (Table1[[#This Row],[I HR]]-Data!T$188)/(Data!T$186-90*Data!T$188)*Data!C$193, "")</f>
        <v>6.0659933913529125</v>
      </c>
      <c r="C47">
        <f>IF(Table1[[#This Row],[Included?]], (Table1[[#This Row],[I RBI]]-Data!U$188)/(Data!U$186-90*Data!U$188)*Data!D$193, "")</f>
        <v>4.8362461254369169</v>
      </c>
      <c r="D47">
        <f>IF(Table1[[#This Row],[Included?]], (Table1[[#This Row],[I SB]]-Data!V$188)/(Data!V$186-90*Data!V$188)*Data!E$193, "")</f>
        <v>5.4386776859504122</v>
      </c>
      <c r="E47">
        <f>IF(Table1[[#This Row],[Included?]], (Table1[[#This Row],[I OBP]]-Data!W$188)/(Data!W$186-90*Data!W$188)*Data!F$193, "")</f>
        <v>3.3717397807952265</v>
      </c>
      <c r="F47">
        <f>IF( Table1[[#This Row],[Included?]], SUM(Table5[[#This Row],[Radj]:[OBPAdj]]), "")</f>
        <v>22.62903175659201</v>
      </c>
      <c r="G4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47">
        <f>IF(Table1[[#This Row],[Included?]], Table5[[#This Row],[TotalAdj]]-Table5[[#This Row],[MinPos]], "")</f>
        <v>8.3000277386186845</v>
      </c>
      <c r="I47">
        <f>IF(Table1[[#This Row],[Included?]], 1+(Data!D$186-Data!B$185)*Table5[[#This Row],[Diff]]/SUM(Table5[Diff]), "")</f>
        <v>27.818970267232508</v>
      </c>
    </row>
    <row r="48" spans="1:9" hidden="1" x14ac:dyDescent="0.25">
      <c r="A48">
        <f>IF(Table1[[#This Row],[Included?]], (Table1[[#This Row],[I R]]-Data!S$188)/(Data!S$186-90*Data!S$188)*Data!B$193, "")</f>
        <v>6.0005501659667413</v>
      </c>
      <c r="B48">
        <f>IF(Table1[[#This Row],[Included?]], (Table1[[#This Row],[I HR]]-Data!T$188)/(Data!T$186-90*Data!T$188)*Data!C$193, "")</f>
        <v>5.1798762042165034</v>
      </c>
      <c r="C48">
        <f>IF(Table1[[#This Row],[Included?]], (Table1[[#This Row],[I RBI]]-Data!U$188)/(Data!U$186-90*Data!U$188)*Data!D$193, "")</f>
        <v>1.2713842907076429</v>
      </c>
      <c r="D48">
        <f>IF(Table1[[#This Row],[Included?]], (Table1[[#This Row],[I SB]]-Data!V$188)/(Data!V$186-90*Data!V$188)*Data!E$193, "")</f>
        <v>1.5768595041322309</v>
      </c>
      <c r="E48">
        <f>IF(Table1[[#This Row],[Included?]], (Table1[[#This Row],[I OBP]]-Data!W$188)/(Data!W$186-90*Data!W$188)*Data!F$193, "")</f>
        <v>3.4539963484458087</v>
      </c>
      <c r="F48">
        <f>IF( Table1[[#This Row],[Included?]], SUM(Table5[[#This Row],[Radj]:[OBPAdj]]), "")</f>
        <v>17.482666513468928</v>
      </c>
      <c r="G4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48">
        <f>IF(Table1[[#This Row],[Included?]], Table5[[#This Row],[TotalAdj]]-Table5[[#This Row],[MinPos]], "")</f>
        <v>3.1536624954956025</v>
      </c>
      <c r="I48">
        <f>IF(Table1[[#This Row],[Included?]], 1+(Data!D$186-Data!B$185)*Table5[[#This Row],[Diff]]/SUM(Table5[Diff]), "")</f>
        <v>11.190084101292239</v>
      </c>
    </row>
    <row r="49" spans="1:9" hidden="1" x14ac:dyDescent="0.25">
      <c r="A49">
        <f>IF(Table1[[#This Row],[Included?]], (Table1[[#This Row],[I R]]-Data!S$188)/(Data!S$186-90*Data!S$188)*Data!B$193, "")</f>
        <v>2.8995947110711757</v>
      </c>
      <c r="B49">
        <f>IF(Table1[[#This Row],[Included?]], (Table1[[#This Row],[I HR]]-Data!T$188)/(Data!T$186-90*Data!T$188)*Data!C$193, "")</f>
        <v>7.0172662540140589</v>
      </c>
      <c r="C49">
        <f>IF(Table1[[#This Row],[Included?]], (Table1[[#This Row],[I RBI]]-Data!U$188)/(Data!U$186-90*Data!U$188)*Data!D$193, "")</f>
        <v>5.5876805381520791</v>
      </c>
      <c r="D49">
        <f>IF(Table1[[#This Row],[Included?]], (Table1[[#This Row],[I SB]]-Data!V$188)/(Data!V$186-90*Data!V$188)*Data!E$193, "")</f>
        <v>0.94016528925619802</v>
      </c>
      <c r="E49">
        <f>IF(Table1[[#This Row],[Included?]], (Table1[[#This Row],[I OBP]]-Data!W$188)/(Data!W$186-90*Data!W$188)*Data!F$193, "")</f>
        <v>3.2420748253041136</v>
      </c>
      <c r="F49">
        <f>IF( Table1[[#This Row],[Included?]], SUM(Table5[[#This Row],[Radj]:[OBPAdj]]), "")</f>
        <v>19.686781617797628</v>
      </c>
      <c r="G4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49">
        <f>IF(Table1[[#This Row],[Included?]], Table5[[#This Row],[TotalAdj]]-Table5[[#This Row],[MinPos]], "")</f>
        <v>5.3577775998243027</v>
      </c>
      <c r="I49">
        <f>IF(Table1[[#This Row],[Included?]], 1+(Data!D$186-Data!B$185)*Table5[[#This Row],[Diff]]/SUM(Table5[Diff]), "")</f>
        <v>18.311999751466573</v>
      </c>
    </row>
    <row r="50" spans="1:9" hidden="1" x14ac:dyDescent="0.25">
      <c r="A50">
        <f>IF(Table1[[#This Row],[Included?]], (Table1[[#This Row],[I R]]-Data!S$188)/(Data!S$186-90*Data!S$188)*Data!B$193, "")</f>
        <v>3.8929743806048225</v>
      </c>
      <c r="B50">
        <f>IF(Table1[[#This Row],[Included?]], (Table1[[#This Row],[I HR]]-Data!T$188)/(Data!T$186-90*Data!T$188)*Data!C$193, "")</f>
        <v>5.9943221482757023</v>
      </c>
      <c r="C50">
        <f>IF(Table1[[#This Row],[Included?]], (Table1[[#This Row],[I RBI]]-Data!U$188)/(Data!U$186-90*Data!U$188)*Data!D$193, "")</f>
        <v>6.4601991690298739</v>
      </c>
      <c r="D50">
        <f>IF(Table1[[#This Row],[Included?]], (Table1[[#This Row],[I SB]]-Data!V$188)/(Data!V$186-90*Data!V$188)*Data!E$193, "")</f>
        <v>0.79735537190082628</v>
      </c>
      <c r="E50">
        <f>IF(Table1[[#This Row],[Included?]], (Table1[[#This Row],[I OBP]]-Data!W$188)/(Data!W$186-90*Data!W$188)*Data!F$193, "")</f>
        <v>2.3193111620095146</v>
      </c>
      <c r="F50">
        <f>IF( Table1[[#This Row],[Included?]], SUM(Table5[[#This Row],[Radj]:[OBPAdj]]), "")</f>
        <v>19.46416223182074</v>
      </c>
      <c r="G5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50">
        <f>IF(Table1[[#This Row],[Included?]], Table5[[#This Row],[TotalAdj]]-Table5[[#This Row],[MinPos]], "")</f>
        <v>5.135158213847415</v>
      </c>
      <c r="I50">
        <f>IF(Table1[[#This Row],[Included?]], 1+(Data!D$186-Data!B$185)*Table5[[#This Row],[Diff]]/SUM(Table5[Diff]), "")</f>
        <v>17.592674120102195</v>
      </c>
    </row>
    <row r="51" spans="1:9" hidden="1" x14ac:dyDescent="0.25">
      <c r="A51" t="str">
        <f>IF(Table1[[#This Row],[Included?]], (Table1[[#This Row],[I R]]-Data!S$188)/(Data!S$186-90*Data!S$188)*Data!B$193, "")</f>
        <v/>
      </c>
      <c r="B51" t="str">
        <f>IF(Table1[[#This Row],[Included?]], (Table1[[#This Row],[I HR]]-Data!T$188)/(Data!T$186-90*Data!T$188)*Data!C$193, "")</f>
        <v/>
      </c>
      <c r="C51" t="str">
        <f>IF(Table1[[#This Row],[Included?]], (Table1[[#This Row],[I RBI]]-Data!U$188)/(Data!U$186-90*Data!U$188)*Data!D$193, "")</f>
        <v/>
      </c>
      <c r="D51" t="str">
        <f>IF(Table1[[#This Row],[Included?]], (Table1[[#This Row],[I SB]]-Data!V$188)/(Data!V$186-90*Data!V$188)*Data!E$193, "")</f>
        <v/>
      </c>
      <c r="E51" t="str">
        <f>IF(Table1[[#This Row],[Included?]], (Table1[[#This Row],[I OBP]]-Data!W$188)/(Data!W$186-90*Data!W$188)*Data!F$193, "")</f>
        <v/>
      </c>
      <c r="F51" t="str">
        <f>IF( Table1[[#This Row],[Included?]], SUM(Table5[[#This Row],[Radj]:[OBPAdj]]), "")</f>
        <v/>
      </c>
      <c r="G5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51" t="str">
        <f>IF(Table1[[#This Row],[Included?]], Table5[[#This Row],[TotalAdj]]-Table5[[#This Row],[MinPos]], "")</f>
        <v/>
      </c>
      <c r="I51" t="str">
        <f>IF(Table1[[#This Row],[Included?]], 1+(Data!D$186-Data!B$185)*Table5[[#This Row],[Diff]]/SUM(Table5[Diff]), "")</f>
        <v/>
      </c>
    </row>
    <row r="52" spans="1:9" hidden="1" x14ac:dyDescent="0.25">
      <c r="A52" t="str">
        <f>IF(Table1[[#This Row],[Included?]], (Table1[[#This Row],[I R]]-Data!S$188)/(Data!S$186-90*Data!S$188)*Data!B$193, "")</f>
        <v/>
      </c>
      <c r="B52" t="str">
        <f>IF(Table1[[#This Row],[Included?]], (Table1[[#This Row],[I HR]]-Data!T$188)/(Data!T$186-90*Data!T$188)*Data!C$193, "")</f>
        <v/>
      </c>
      <c r="C52" t="str">
        <f>IF(Table1[[#This Row],[Included?]], (Table1[[#This Row],[I RBI]]-Data!U$188)/(Data!U$186-90*Data!U$188)*Data!D$193, "")</f>
        <v/>
      </c>
      <c r="D52" t="str">
        <f>IF(Table1[[#This Row],[Included?]], (Table1[[#This Row],[I SB]]-Data!V$188)/(Data!V$186-90*Data!V$188)*Data!E$193, "")</f>
        <v/>
      </c>
      <c r="E52" t="str">
        <f>IF(Table1[[#This Row],[Included?]], (Table1[[#This Row],[I OBP]]-Data!W$188)/(Data!W$186-90*Data!W$188)*Data!F$193, "")</f>
        <v/>
      </c>
      <c r="F52" t="str">
        <f>IF( Table1[[#This Row],[Included?]], SUM(Table5[[#This Row],[Radj]:[OBPAdj]]), "")</f>
        <v/>
      </c>
      <c r="G5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52" t="str">
        <f>IF(Table1[[#This Row],[Included?]], Table5[[#This Row],[TotalAdj]]-Table5[[#This Row],[MinPos]], "")</f>
        <v/>
      </c>
      <c r="I52" t="str">
        <f>IF(Table1[[#This Row],[Included?]], 1+(Data!D$186-Data!B$185)*Table5[[#This Row],[Diff]]/SUM(Table5[Diff]), "")</f>
        <v/>
      </c>
    </row>
    <row r="53" spans="1:9" hidden="1" x14ac:dyDescent="0.25">
      <c r="A53">
        <f>IF(Table1[[#This Row],[Included?]], (Table1[[#This Row],[I R]]-Data!S$188)/(Data!S$186-90*Data!S$188)*Data!B$193, "")</f>
        <v>4.5306167360487146</v>
      </c>
      <c r="B53">
        <f>IF(Table1[[#This Row],[Included?]], (Table1[[#This Row],[I HR]]-Data!T$188)/(Data!T$186-90*Data!T$188)*Data!C$193, "")</f>
        <v>4.951831339879929</v>
      </c>
      <c r="C53">
        <f>IF(Table1[[#This Row],[Included?]], (Table1[[#This Row],[I RBI]]-Data!U$188)/(Data!U$186-90*Data!U$188)*Data!D$193, "")</f>
        <v>3.5897909384686399</v>
      </c>
      <c r="D53">
        <f>IF(Table1[[#This Row],[Included?]], (Table1[[#This Row],[I SB]]-Data!V$188)/(Data!V$186-90*Data!V$188)*Data!E$193, "")</f>
        <v>1.481652892561983</v>
      </c>
      <c r="E53">
        <f>IF(Table1[[#This Row],[Included?]], (Table1[[#This Row],[I OBP]]-Data!W$188)/(Data!W$186-90*Data!W$188)*Data!F$193, "")</f>
        <v>2.7179549149416791</v>
      </c>
      <c r="F53">
        <f>IF( Table1[[#This Row],[Included?]], SUM(Table5[[#This Row],[Radj]:[OBPAdj]]), "")</f>
        <v>17.271846821900947</v>
      </c>
      <c r="G5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53">
        <f>IF(Table1[[#This Row],[Included?]], Table5[[#This Row],[TotalAdj]]-Table5[[#This Row],[MinPos]], "")</f>
        <v>2.942842803927622</v>
      </c>
      <c r="I53">
        <f>IF(Table1[[#This Row],[Included?]], 1+(Data!D$186-Data!B$185)*Table5[[#This Row],[Diff]]/SUM(Table5[Diff]), "")</f>
        <v>10.508885529677615</v>
      </c>
    </row>
    <row r="54" spans="1:9" hidden="1" x14ac:dyDescent="0.25">
      <c r="A54">
        <f>IF(Table1[[#This Row],[Included?]], (Table1[[#This Row],[I R]]-Data!S$188)/(Data!S$186-90*Data!S$188)*Data!B$193, "")</f>
        <v>7.285902914045745</v>
      </c>
      <c r="B54">
        <f>IF(Table1[[#This Row],[Included?]], (Table1[[#This Row],[I HR]]-Data!T$188)/(Data!T$186-90*Data!T$188)*Data!C$193, "")</f>
        <v>1.3747847535719273</v>
      </c>
      <c r="C54">
        <f>IF(Table1[[#This Row],[Included?]], (Table1[[#This Row],[I RBI]]-Data!U$188)/(Data!U$186-90*Data!U$188)*Data!D$193, "")</f>
        <v>1.9480313922047092</v>
      </c>
      <c r="D54">
        <f>IF(Table1[[#This Row],[Included?]], (Table1[[#This Row],[I SB]]-Data!V$188)/(Data!V$186-90*Data!V$188)*Data!E$193, "")</f>
        <v>2.8085950413223135</v>
      </c>
      <c r="E54">
        <f>IF(Table1[[#This Row],[Included?]], (Table1[[#This Row],[I OBP]]-Data!W$188)/(Data!W$186-90*Data!W$188)*Data!F$193, "")</f>
        <v>2.4171274609178504</v>
      </c>
      <c r="F54">
        <f>IF( Table1[[#This Row],[Included?]], SUM(Table5[[#This Row],[Radj]:[OBPAdj]]), "")</f>
        <v>15.834441562062546</v>
      </c>
      <c r="G5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54">
        <f>IF(Table1[[#This Row],[Included?]], Table5[[#This Row],[TotalAdj]]-Table5[[#This Row],[MinPos]], "")</f>
        <v>1.5054375440892205</v>
      </c>
      <c r="I54">
        <f>IF(Table1[[#This Row],[Included?]], 1+(Data!D$186-Data!B$185)*Table5[[#This Row],[Diff]]/SUM(Table5[Diff]), "")</f>
        <v>5.8643553980246743</v>
      </c>
    </row>
    <row r="55" spans="1:9" hidden="1" x14ac:dyDescent="0.25">
      <c r="A55">
        <f>IF(Table1[[#This Row],[Included?]], (Table1[[#This Row],[I R]]-Data!S$188)/(Data!S$186-90*Data!S$188)*Data!B$193, "")</f>
        <v>5.5239964055823592</v>
      </c>
      <c r="B55">
        <f>IF(Table1[[#This Row],[Included?]], (Table1[[#This Row],[I HR]]-Data!T$188)/(Data!T$186-90*Data!T$188)*Data!C$193, "")</f>
        <v>0.80141480895425155</v>
      </c>
      <c r="C55">
        <f>IF(Table1[[#This Row],[Included?]], (Table1[[#This Row],[I RBI]]-Data!U$188)/(Data!U$186-90*Data!U$188)*Data!D$193, "")</f>
        <v>2.2970388445558263</v>
      </c>
      <c r="D55">
        <f>IF(Table1[[#This Row],[Included?]], (Table1[[#This Row],[I SB]]-Data!V$188)/(Data!V$186-90*Data!V$188)*Data!E$193, "")</f>
        <v>3.8082644628099156</v>
      </c>
      <c r="E55">
        <f>IF(Table1[[#This Row],[Included?]], (Table1[[#This Row],[I OBP]]-Data!W$188)/(Data!W$186-90*Data!W$188)*Data!F$193, "")</f>
        <v>1.8662410510555778</v>
      </c>
      <c r="F55">
        <f>IF( Table1[[#This Row],[Included?]], SUM(Table5[[#This Row],[Radj]:[OBPAdj]]), "")</f>
        <v>14.296955572957931</v>
      </c>
      <c r="G5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55">
        <f>IF(Table1[[#This Row],[Included?]], Table5[[#This Row],[TotalAdj]]-Table5[[#This Row],[MinPos]], "")</f>
        <v>1.357331930876839</v>
      </c>
      <c r="I55">
        <f>IF(Table1[[#This Row],[Included?]], 1+(Data!D$186-Data!B$185)*Table5[[#This Row],[Diff]]/SUM(Table5[Diff]), "")</f>
        <v>5.3857979567438656</v>
      </c>
    </row>
    <row r="56" spans="1:9" hidden="1" x14ac:dyDescent="0.25">
      <c r="A56">
        <f>IF(Table1[[#This Row],[Included?]], (Table1[[#This Row],[I R]]-Data!S$188)/(Data!S$186-90*Data!S$188)*Data!B$193, "")</f>
        <v>2.674741880467276</v>
      </c>
      <c r="B56">
        <f>IF(Table1[[#This Row],[Included?]], (Table1[[#This Row],[I HR]]-Data!T$188)/(Data!T$186-90*Data!T$188)*Data!C$193, "")</f>
        <v>5.5121701493926567</v>
      </c>
      <c r="C56">
        <f>IF(Table1[[#This Row],[Included?]], (Table1[[#This Row],[I RBI]]-Data!U$188)/(Data!U$186-90*Data!U$188)*Data!D$193, "")</f>
        <v>4.6474971971245793</v>
      </c>
      <c r="D56">
        <f>IF(Table1[[#This Row],[Included?]], (Table1[[#This Row],[I SB]]-Data!V$188)/(Data!V$186-90*Data!V$188)*Data!E$193, "")</f>
        <v>2.0231404958677679</v>
      </c>
      <c r="E56">
        <f>IF(Table1[[#This Row],[Included?]], (Table1[[#This Row],[I OBP]]-Data!W$188)/(Data!W$186-90*Data!W$188)*Data!F$193, "")</f>
        <v>4.4644127369921547</v>
      </c>
      <c r="F56">
        <f>IF( Table1[[#This Row],[Included?]], SUM(Table5[[#This Row],[Radj]:[OBPAdj]]), "")</f>
        <v>19.321962459844436</v>
      </c>
      <c r="G5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56">
        <f>IF(Table1[[#This Row],[Included?]], Table5[[#This Row],[TotalAdj]]-Table5[[#This Row],[MinPos]], "")</f>
        <v>4.3312691020074787</v>
      </c>
      <c r="I56">
        <f>IF(Table1[[#This Row],[Included?]], 1+(Data!D$186-Data!B$185)*Table5[[#This Row],[Diff]]/SUM(Table5[Diff]), "")</f>
        <v>14.995155308415045</v>
      </c>
    </row>
    <row r="57" spans="1:9" hidden="1" x14ac:dyDescent="0.25">
      <c r="A57">
        <f>IF(Table1[[#This Row],[Included?]], (Table1[[#This Row],[I R]]-Data!S$188)/(Data!S$186-90*Data!S$188)*Data!B$193, "")</f>
        <v>4.0070788021053065</v>
      </c>
      <c r="B57">
        <f>IF(Table1[[#This Row],[Included?]], (Table1[[#This Row],[I HR]]-Data!T$188)/(Data!T$186-90*Data!T$188)*Data!C$193, "")</f>
        <v>6.7240657141527436</v>
      </c>
      <c r="C57">
        <f>IF(Table1[[#This Row],[Included?]], (Table1[[#This Row],[I RBI]]-Data!U$188)/(Data!U$186-90*Data!U$188)*Data!D$193, "")</f>
        <v>5.0677306601595982</v>
      </c>
      <c r="D57">
        <f>IF(Table1[[#This Row],[Included?]], (Table1[[#This Row],[I SB]]-Data!V$188)/(Data!V$186-90*Data!V$188)*Data!E$193, "")</f>
        <v>0.54743801652892543</v>
      </c>
      <c r="E57">
        <f>IF(Table1[[#This Row],[Included?]], (Table1[[#This Row],[I OBP]]-Data!W$188)/(Data!W$186-90*Data!W$188)*Data!F$193, "")</f>
        <v>2.0585295685709619</v>
      </c>
      <c r="F57">
        <f>IF( Table1[[#This Row],[Included?]], SUM(Table5[[#This Row],[Radj]:[OBPAdj]]), "")</f>
        <v>18.404842761517536</v>
      </c>
      <c r="G5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57">
        <f>IF(Table1[[#This Row],[Included?]], Table5[[#This Row],[TotalAdj]]-Table5[[#This Row],[MinPos]], "")</f>
        <v>3.571444394801496</v>
      </c>
      <c r="I57">
        <f>IF(Table1[[#This Row],[Included?]], 1+(Data!D$186-Data!B$185)*Table5[[#This Row],[Diff]]/SUM(Table5[Diff]), "")</f>
        <v>12.540016979653604</v>
      </c>
    </row>
    <row r="58" spans="1:9" hidden="1" x14ac:dyDescent="0.25">
      <c r="A58">
        <f>IF(Table1[[#This Row],[Included?]], (Table1[[#This Row],[I R]]-Data!S$188)/(Data!S$186-90*Data!S$188)*Data!B$193, "")</f>
        <v>3.8896183682077479</v>
      </c>
      <c r="B58">
        <f>IF(Table1[[#This Row],[Included?]], (Table1[[#This Row],[I HR]]-Data!T$188)/(Data!T$186-90*Data!T$188)*Data!C$193, "")</f>
        <v>2.3912132917578077</v>
      </c>
      <c r="C58">
        <f>IF(Table1[[#This Row],[Included?]], (Table1[[#This Row],[I RBI]]-Data!U$188)/(Data!U$186-90*Data!U$188)*Data!D$193, "")</f>
        <v>5.2920925938138899</v>
      </c>
      <c r="D58">
        <f>IF(Table1[[#This Row],[Included?]], (Table1[[#This Row],[I SB]]-Data!V$188)/(Data!V$186-90*Data!V$188)*Data!E$193, "")</f>
        <v>1.0651239669421484</v>
      </c>
      <c r="E58">
        <f>IF(Table1[[#This Row],[Included?]], (Table1[[#This Row],[I OBP]]-Data!W$188)/(Data!W$186-90*Data!W$188)*Data!F$193, "")</f>
        <v>4.3056108465370224</v>
      </c>
      <c r="F58">
        <f>IF( Table1[[#This Row],[Included?]], SUM(Table5[[#This Row],[Radj]:[OBPAdj]]), "")</f>
        <v>16.943659067258615</v>
      </c>
      <c r="G5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58">
        <f>IF(Table1[[#This Row],[Included?]], Table5[[#This Row],[TotalAdj]]-Table5[[#This Row],[MinPos]], "")</f>
        <v>0.71721432047931089</v>
      </c>
      <c r="I58">
        <f>IF(Table1[[#This Row],[Included?]], 1+(Data!D$186-Data!B$185)*Table5[[#This Row],[Diff]]/SUM(Table5[Diff]), "")</f>
        <v>3.3174560545949627</v>
      </c>
    </row>
    <row r="59" spans="1:9" hidden="1" x14ac:dyDescent="0.25">
      <c r="A59">
        <f>IF(Table1[[#This Row],[Included?]], (Table1[[#This Row],[I R]]-Data!S$188)/(Data!S$186-90*Data!S$188)*Data!B$193, "")</f>
        <v>3.4063525830292178</v>
      </c>
      <c r="B59">
        <f>IF(Table1[[#This Row],[Included?]], (Table1[[#This Row],[I HR]]-Data!T$188)/(Data!T$186-90*Data!T$188)*Data!C$193, "")</f>
        <v>2.9580676688230096</v>
      </c>
      <c r="C59">
        <f>IF(Table1[[#This Row],[Included?]], (Table1[[#This Row],[I RBI]]-Data!U$188)/(Data!U$186-90*Data!U$188)*Data!D$193, "")</f>
        <v>5.1781309767196442</v>
      </c>
      <c r="D59">
        <f>IF(Table1[[#This Row],[Included?]], (Table1[[#This Row],[I SB]]-Data!V$188)/(Data!V$186-90*Data!V$188)*Data!E$193, "")</f>
        <v>1.2912396694214874</v>
      </c>
      <c r="E59">
        <f>IF(Table1[[#This Row],[Included?]], (Table1[[#This Row],[I OBP]]-Data!W$188)/(Data!W$186-90*Data!W$188)*Data!F$193, "")</f>
        <v>4.0217970382742241</v>
      </c>
      <c r="F59">
        <f>IF( Table1[[#This Row],[Included?]], SUM(Table5[[#This Row],[Radj]:[OBPAdj]]), "")</f>
        <v>16.855587936267582</v>
      </c>
      <c r="G5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59">
        <f>IF(Table1[[#This Row],[Included?]], Table5[[#This Row],[TotalAdj]]-Table5[[#This Row],[MinPos]], "")</f>
        <v>0.62914318948827841</v>
      </c>
      <c r="I59">
        <f>IF(Table1[[#This Row],[Included?]], 1+(Data!D$186-Data!B$185)*Table5[[#This Row],[Diff]]/SUM(Table5[Diff]), "")</f>
        <v>3.032881458240285</v>
      </c>
    </row>
    <row r="60" spans="1:9" hidden="1" x14ac:dyDescent="0.25">
      <c r="A60">
        <f>IF(Table1[[#This Row],[Included?]], (Table1[[#This Row],[I R]]-Data!S$188)/(Data!S$186-90*Data!S$188)*Data!B$193, "")</f>
        <v>2.6915219424526446</v>
      </c>
      <c r="B60">
        <f>IF(Table1[[#This Row],[Included?]], (Table1[[#This Row],[I HR]]-Data!T$188)/(Data!T$186-90*Data!T$188)*Data!C$193, "")</f>
        <v>6.0855400940103328</v>
      </c>
      <c r="C60">
        <f>IF(Table1[[#This Row],[Included?]], (Table1[[#This Row],[I RBI]]-Data!U$188)/(Data!U$186-90*Data!U$188)*Data!D$193, "")</f>
        <v>4.4551869682780447</v>
      </c>
      <c r="D60">
        <f>IF(Table1[[#This Row],[Included?]], (Table1[[#This Row],[I SB]]-Data!V$188)/(Data!V$186-90*Data!V$188)*Data!E$193, "")</f>
        <v>1.2793388429752064</v>
      </c>
      <c r="E60">
        <f>IF(Table1[[#This Row],[Included?]], (Table1[[#This Row],[I OBP]]-Data!W$188)/(Data!W$186-90*Data!W$188)*Data!F$193, "")</f>
        <v>6.5943605339050713</v>
      </c>
      <c r="F60">
        <f>IF( Table1[[#This Row],[Included?]], SUM(Table5[[#This Row],[Radj]:[OBPAdj]]), "")</f>
        <v>21.1059483816213</v>
      </c>
      <c r="G6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60">
        <f>IF(Table1[[#This Row],[Included?]], Table5[[#This Row],[TotalAdj]]-Table5[[#This Row],[MinPos]], "")</f>
        <v>6.1152550237843428</v>
      </c>
      <c r="I60">
        <f>IF(Table1[[#This Row],[Included?]], 1+(Data!D$186-Data!B$185)*Table5[[#This Row],[Diff]]/SUM(Table5[Diff]), "")</f>
        <v>20.759553561047579</v>
      </c>
    </row>
    <row r="61" spans="1:9" hidden="1" x14ac:dyDescent="0.25">
      <c r="A61">
        <f>IF(Table1[[#This Row],[Included?]], (Table1[[#This Row],[I R]]-Data!S$188)/(Data!S$186-90*Data!S$188)*Data!B$193, "")</f>
        <v>3.8829063434135995</v>
      </c>
      <c r="B61">
        <f>IF(Table1[[#This Row],[Included?]], (Table1[[#This Row],[I HR]]-Data!T$188)/(Data!T$186-90*Data!T$188)*Data!C$193, "")</f>
        <v>4.326336854842463</v>
      </c>
      <c r="C61">
        <f>IF(Table1[[#This Row],[Included?]], (Table1[[#This Row],[I RBI]]-Data!U$188)/(Data!U$186-90*Data!U$188)*Data!D$193, "")</f>
        <v>2.8134274220141129</v>
      </c>
      <c r="D61">
        <f>IF(Table1[[#This Row],[Included?]], (Table1[[#This Row],[I SB]]-Data!V$188)/(Data!V$186-90*Data!V$188)*Data!E$193, "")</f>
        <v>0.32727272727272722</v>
      </c>
      <c r="E61">
        <f>IF(Table1[[#This Row],[Included?]], (Table1[[#This Row],[I OBP]]-Data!W$188)/(Data!W$186-90*Data!W$188)*Data!F$193, "")</f>
        <v>4.1054605986395387</v>
      </c>
      <c r="F61">
        <f>IF( Table1[[#This Row],[Included?]], SUM(Table5[[#This Row],[Radj]:[OBPAdj]]), "")</f>
        <v>15.455403946182443</v>
      </c>
      <c r="G6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61">
        <f>IF(Table1[[#This Row],[Included?]], Table5[[#This Row],[TotalAdj]]-Table5[[#This Row],[MinPos]], "")</f>
        <v>1.1263999282091177</v>
      </c>
      <c r="I61">
        <f>IF(Table1[[#This Row],[Included?]], 1+(Data!D$186-Data!B$185)*Table5[[#This Row],[Diff]]/SUM(Table5[Diff]), "")</f>
        <v>4.6396126778102325</v>
      </c>
    </row>
    <row r="62" spans="1:9" hidden="1" x14ac:dyDescent="0.25">
      <c r="A62">
        <f>IF(Table1[[#This Row],[Included?]], (Table1[[#This Row],[I R]]-Data!S$188)/(Data!S$186-90*Data!S$188)*Data!B$193, "")</f>
        <v>2.9297988226448353</v>
      </c>
      <c r="B62">
        <f>IF(Table1[[#This Row],[Included?]], (Table1[[#This Row],[I HR]]-Data!T$188)/(Data!T$186-90*Data!T$188)*Data!C$193, "")</f>
        <v>5.6424815004421287</v>
      </c>
      <c r="C62">
        <f>IF(Table1[[#This Row],[Included?]], (Table1[[#This Row],[I RBI]]-Data!U$188)/(Data!U$186-90*Data!U$188)*Data!D$193, "")</f>
        <v>4.4729934709490173</v>
      </c>
      <c r="D62">
        <f>IF(Table1[[#This Row],[Included?]], (Table1[[#This Row],[I SB]]-Data!V$188)/(Data!V$186-90*Data!V$188)*Data!E$193, "")</f>
        <v>0</v>
      </c>
      <c r="E62">
        <f>IF(Table1[[#This Row],[Included?]], (Table1[[#This Row],[I OBP]]-Data!W$188)/(Data!W$186-90*Data!W$188)*Data!F$193, "")</f>
        <v>3.9876216657497765</v>
      </c>
      <c r="F62">
        <f>IF( Table1[[#This Row],[Included?]], SUM(Table5[[#This Row],[Radj]:[OBPAdj]]), "")</f>
        <v>17.03289545978576</v>
      </c>
      <c r="G6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62">
        <f>IF(Table1[[#This Row],[Included?]], Table5[[#This Row],[TotalAdj]]-Table5[[#This Row],[MinPos]], "")</f>
        <v>2.0422021019488028</v>
      </c>
      <c r="I62">
        <f>IF(Table1[[#This Row],[Included?]], 1+(Data!D$186-Data!B$185)*Table5[[#This Row],[Diff]]/SUM(Table5[Diff]), "")</f>
        <v>7.5987439050365895</v>
      </c>
    </row>
    <row r="63" spans="1:9" hidden="1" x14ac:dyDescent="0.25">
      <c r="A63" t="str">
        <f>IF(Table1[[#This Row],[Included?]], (Table1[[#This Row],[I R]]-Data!S$188)/(Data!S$186-90*Data!S$188)*Data!B$193, "")</f>
        <v/>
      </c>
      <c r="B63" t="str">
        <f>IF(Table1[[#This Row],[Included?]], (Table1[[#This Row],[I HR]]-Data!T$188)/(Data!T$186-90*Data!T$188)*Data!C$193, "")</f>
        <v/>
      </c>
      <c r="C63" t="str">
        <f>IF(Table1[[#This Row],[Included?]], (Table1[[#This Row],[I RBI]]-Data!U$188)/(Data!U$186-90*Data!U$188)*Data!D$193, "")</f>
        <v/>
      </c>
      <c r="D63" t="str">
        <f>IF(Table1[[#This Row],[Included?]], (Table1[[#This Row],[I SB]]-Data!V$188)/(Data!V$186-90*Data!V$188)*Data!E$193, "")</f>
        <v/>
      </c>
      <c r="E63" t="str">
        <f>IF(Table1[[#This Row],[Included?]], (Table1[[#This Row],[I OBP]]-Data!W$188)/(Data!W$186-90*Data!W$188)*Data!F$193, "")</f>
        <v/>
      </c>
      <c r="F63" t="str">
        <f>IF( Table1[[#This Row],[Included?]], SUM(Table5[[#This Row],[Radj]:[OBPAdj]]), "")</f>
        <v/>
      </c>
      <c r="G6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3" t="str">
        <f>IF(Table1[[#This Row],[Included?]], Table5[[#This Row],[TotalAdj]]-Table5[[#This Row],[MinPos]], "")</f>
        <v/>
      </c>
      <c r="I63" t="str">
        <f>IF(Table1[[#This Row],[Included?]], 1+(Data!D$186-Data!B$185)*Table5[[#This Row],[Diff]]/SUM(Table5[Diff]), "")</f>
        <v/>
      </c>
    </row>
    <row r="64" spans="1:9" hidden="1" x14ac:dyDescent="0.25">
      <c r="A64">
        <f>IF(Table1[[#This Row],[Included?]], (Table1[[#This Row],[I R]]-Data!S$188)/(Data!S$186-90*Data!S$188)*Data!B$193, "")</f>
        <v>2.4532450622604522</v>
      </c>
      <c r="B64">
        <f>IF(Table1[[#This Row],[Included?]], (Table1[[#This Row],[I HR]]-Data!T$188)/(Data!T$186-90*Data!T$188)*Data!C$193, "")</f>
        <v>5.9552287429608617</v>
      </c>
      <c r="C64">
        <f>IF(Table1[[#This Row],[Included?]], (Table1[[#This Row],[I RBI]]-Data!U$188)/(Data!U$186-90*Data!U$188)*Data!D$193, "")</f>
        <v>4.2984897447734598</v>
      </c>
      <c r="D64">
        <f>IF(Table1[[#This Row],[Included?]], (Table1[[#This Row],[I SB]]-Data!V$188)/(Data!V$186-90*Data!V$188)*Data!E$193, "")</f>
        <v>0.88661157024793358</v>
      </c>
      <c r="E64">
        <f>IF(Table1[[#This Row],[Included?]], (Table1[[#This Row],[I OBP]]-Data!W$188)/(Data!W$186-90*Data!W$188)*Data!F$193, "")</f>
        <v>3.5441712160842589</v>
      </c>
      <c r="F64">
        <f>IF( Table1[[#This Row],[Included?]], SUM(Table5[[#This Row],[Radj]:[OBPAdj]]), "")</f>
        <v>17.137746336326966</v>
      </c>
      <c r="G64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64">
        <f>IF(Table1[[#This Row],[Included?]], Table5[[#This Row],[TotalAdj]]-Table5[[#This Row],[MinPos]], "")</f>
        <v>2.3043479696109266</v>
      </c>
      <c r="I64">
        <f>IF(Table1[[#This Row],[Included?]], 1+(Data!D$186-Data!B$185)*Table5[[#This Row],[Diff]]/SUM(Table5[Diff]), "")</f>
        <v>8.4457871260847153</v>
      </c>
    </row>
    <row r="65" spans="1:9" hidden="1" x14ac:dyDescent="0.25">
      <c r="A65" t="str">
        <f>IF(Table1[[#This Row],[Included?]], (Table1[[#This Row],[I R]]-Data!S$188)/(Data!S$186-90*Data!S$188)*Data!B$193, "")</f>
        <v/>
      </c>
      <c r="B65" t="str">
        <f>IF(Table1[[#This Row],[Included?]], (Table1[[#This Row],[I HR]]-Data!T$188)/(Data!T$186-90*Data!T$188)*Data!C$193, "")</f>
        <v/>
      </c>
      <c r="C65" t="str">
        <f>IF(Table1[[#This Row],[Included?]], (Table1[[#This Row],[I RBI]]-Data!U$188)/(Data!U$186-90*Data!U$188)*Data!D$193, "")</f>
        <v/>
      </c>
      <c r="D65" t="str">
        <f>IF(Table1[[#This Row],[Included?]], (Table1[[#This Row],[I SB]]-Data!V$188)/(Data!V$186-90*Data!V$188)*Data!E$193, "")</f>
        <v/>
      </c>
      <c r="E65" t="str">
        <f>IF(Table1[[#This Row],[Included?]], (Table1[[#This Row],[I OBP]]-Data!W$188)/(Data!W$186-90*Data!W$188)*Data!F$193, "")</f>
        <v/>
      </c>
      <c r="F65" t="str">
        <f>IF( Table1[[#This Row],[Included?]], SUM(Table5[[#This Row],[Radj]:[OBPAdj]]), "")</f>
        <v/>
      </c>
      <c r="G6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5" t="str">
        <f>IF(Table1[[#This Row],[Included?]], Table5[[#This Row],[TotalAdj]]-Table5[[#This Row],[MinPos]], "")</f>
        <v/>
      </c>
      <c r="I65" t="str">
        <f>IF(Table1[[#This Row],[Included?]], 1+(Data!D$186-Data!B$185)*Table5[[#This Row],[Diff]]/SUM(Table5[Diff]), "")</f>
        <v/>
      </c>
    </row>
    <row r="66" spans="1:9" hidden="1" x14ac:dyDescent="0.25">
      <c r="A66" t="str">
        <f>IF(Table1[[#This Row],[Included?]], (Table1[[#This Row],[I R]]-Data!S$188)/(Data!S$186-90*Data!S$188)*Data!B$193, "")</f>
        <v/>
      </c>
      <c r="B66" t="str">
        <f>IF(Table1[[#This Row],[Included?]], (Table1[[#This Row],[I HR]]-Data!T$188)/(Data!T$186-90*Data!T$188)*Data!C$193, "")</f>
        <v/>
      </c>
      <c r="C66" t="str">
        <f>IF(Table1[[#This Row],[Included?]], (Table1[[#This Row],[I RBI]]-Data!U$188)/(Data!U$186-90*Data!U$188)*Data!D$193, "")</f>
        <v/>
      </c>
      <c r="D66" t="str">
        <f>IF(Table1[[#This Row],[Included?]], (Table1[[#This Row],[I SB]]-Data!V$188)/(Data!V$186-90*Data!V$188)*Data!E$193, "")</f>
        <v/>
      </c>
      <c r="E66" t="str">
        <f>IF(Table1[[#This Row],[Included?]], (Table1[[#This Row],[I OBP]]-Data!W$188)/(Data!W$186-90*Data!W$188)*Data!F$193, "")</f>
        <v/>
      </c>
      <c r="F66" t="str">
        <f>IF( Table1[[#This Row],[Included?]], SUM(Table5[[#This Row],[Radj]:[OBPAdj]]), "")</f>
        <v/>
      </c>
      <c r="G6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6" t="str">
        <f>IF(Table1[[#This Row],[Included?]], Table5[[#This Row],[TotalAdj]]-Table5[[#This Row],[MinPos]], "")</f>
        <v/>
      </c>
      <c r="I66" t="str">
        <f>IF(Table1[[#This Row],[Included?]], 1+(Data!D$186-Data!B$185)*Table5[[#This Row],[Diff]]/SUM(Table5[Diff]), "")</f>
        <v/>
      </c>
    </row>
    <row r="67" spans="1:9" hidden="1" x14ac:dyDescent="0.25">
      <c r="A67" t="str">
        <f>IF(Table1[[#This Row],[Included?]], (Table1[[#This Row],[I R]]-Data!S$188)/(Data!S$186-90*Data!S$188)*Data!B$193, "")</f>
        <v/>
      </c>
      <c r="B67" t="str">
        <f>IF(Table1[[#This Row],[Included?]], (Table1[[#This Row],[I HR]]-Data!T$188)/(Data!T$186-90*Data!T$188)*Data!C$193, "")</f>
        <v/>
      </c>
      <c r="C67" t="str">
        <f>IF(Table1[[#This Row],[Included?]], (Table1[[#This Row],[I RBI]]-Data!U$188)/(Data!U$186-90*Data!U$188)*Data!D$193, "")</f>
        <v/>
      </c>
      <c r="D67" t="str">
        <f>IF(Table1[[#This Row],[Included?]], (Table1[[#This Row],[I SB]]-Data!V$188)/(Data!V$186-90*Data!V$188)*Data!E$193, "")</f>
        <v/>
      </c>
      <c r="E67" t="str">
        <f>IF(Table1[[#This Row],[Included?]], (Table1[[#This Row],[I OBP]]-Data!W$188)/(Data!W$186-90*Data!W$188)*Data!F$193, "")</f>
        <v/>
      </c>
      <c r="F67" t="str">
        <f>IF( Table1[[#This Row],[Included?]], SUM(Table5[[#This Row],[Radj]:[OBPAdj]]), "")</f>
        <v/>
      </c>
      <c r="G6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7" t="str">
        <f>IF(Table1[[#This Row],[Included?]], Table5[[#This Row],[TotalAdj]]-Table5[[#This Row],[MinPos]], "")</f>
        <v/>
      </c>
      <c r="I67" t="str">
        <f>IF(Table1[[#This Row],[Included?]], 1+(Data!D$186-Data!B$185)*Table5[[#This Row],[Diff]]/SUM(Table5[Diff]), "")</f>
        <v/>
      </c>
    </row>
    <row r="68" spans="1:9" hidden="1" x14ac:dyDescent="0.25">
      <c r="A68">
        <f>IF(Table1[[#This Row],[Included?]], (Table1[[#This Row],[I R]]-Data!S$188)/(Data!S$186-90*Data!S$188)*Data!B$193, "")</f>
        <v>2.2753764052155772</v>
      </c>
      <c r="B68">
        <f>IF(Table1[[#This Row],[Included?]], (Table1[[#This Row],[I HR]]-Data!T$188)/(Data!T$186-90*Data!T$188)*Data!C$193, "")</f>
        <v>2.7560850746963284</v>
      </c>
      <c r="C68">
        <f>IF(Table1[[#This Row],[Included?]], (Table1[[#This Row],[I RBI]]-Data!U$188)/(Data!U$186-90*Data!U$188)*Data!D$193, "")</f>
        <v>4.5976389896458469</v>
      </c>
      <c r="D68">
        <f>IF(Table1[[#This Row],[Included?]], (Table1[[#This Row],[I SB]]-Data!V$188)/(Data!V$186-90*Data!V$188)*Data!E$193, "")</f>
        <v>4.218842975206611</v>
      </c>
      <c r="E68">
        <f>IF(Table1[[#This Row],[Included?]], (Table1[[#This Row],[I OBP]]-Data!W$188)/(Data!W$186-90*Data!W$188)*Data!F$193, "")</f>
        <v>5.6201921518236064</v>
      </c>
      <c r="F68">
        <f>IF( Table1[[#This Row],[Included?]], SUM(Table5[[#This Row],[Radj]:[OBPAdj]]), "")</f>
        <v>19.46813559658797</v>
      </c>
      <c r="G6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68">
        <f>IF(Table1[[#This Row],[Included?]], Table5[[#This Row],[TotalAdj]]-Table5[[#This Row],[MinPos]], "")</f>
        <v>5.139131578614645</v>
      </c>
      <c r="I68">
        <f>IF(Table1[[#This Row],[Included?]], 1+(Data!D$186-Data!B$185)*Table5[[#This Row],[Diff]]/SUM(Table5[Diff]), "")</f>
        <v>17.605512818346227</v>
      </c>
    </row>
    <row r="69" spans="1:9" hidden="1" x14ac:dyDescent="0.25">
      <c r="A69" t="str">
        <f>IF(Table1[[#This Row],[Included?]], (Table1[[#This Row],[I R]]-Data!S$188)/(Data!S$186-90*Data!S$188)*Data!B$193, "")</f>
        <v/>
      </c>
      <c r="B69" t="str">
        <f>IF(Table1[[#This Row],[Included?]], (Table1[[#This Row],[I HR]]-Data!T$188)/(Data!T$186-90*Data!T$188)*Data!C$193, "")</f>
        <v/>
      </c>
      <c r="C69" t="str">
        <f>IF(Table1[[#This Row],[Included?]], (Table1[[#This Row],[I RBI]]-Data!U$188)/(Data!U$186-90*Data!U$188)*Data!D$193, "")</f>
        <v/>
      </c>
      <c r="D69" t="str">
        <f>IF(Table1[[#This Row],[Included?]], (Table1[[#This Row],[I SB]]-Data!V$188)/(Data!V$186-90*Data!V$188)*Data!E$193, "")</f>
        <v/>
      </c>
      <c r="E69" t="str">
        <f>IF(Table1[[#This Row],[Included?]], (Table1[[#This Row],[I OBP]]-Data!W$188)/(Data!W$186-90*Data!W$188)*Data!F$193, "")</f>
        <v/>
      </c>
      <c r="F69" t="str">
        <f>IF( Table1[[#This Row],[Included?]], SUM(Table5[[#This Row],[Radj]:[OBPAdj]]), "")</f>
        <v/>
      </c>
      <c r="G6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69" t="str">
        <f>IF(Table1[[#This Row],[Included?]], Table5[[#This Row],[TotalAdj]]-Table5[[#This Row],[MinPos]], "")</f>
        <v/>
      </c>
      <c r="I69" t="str">
        <f>IF(Table1[[#This Row],[Included?]], 1+(Data!D$186-Data!B$185)*Table5[[#This Row],[Diff]]/SUM(Table5[Diff]), "")</f>
        <v/>
      </c>
    </row>
    <row r="70" spans="1:9" hidden="1" x14ac:dyDescent="0.25">
      <c r="A70" t="str">
        <f>IF(Table1[[#This Row],[Included?]], (Table1[[#This Row],[I R]]-Data!S$188)/(Data!S$186-90*Data!S$188)*Data!B$193, "")</f>
        <v/>
      </c>
      <c r="B70" t="str">
        <f>IF(Table1[[#This Row],[Included?]], (Table1[[#This Row],[I HR]]-Data!T$188)/(Data!T$186-90*Data!T$188)*Data!C$193, "")</f>
        <v/>
      </c>
      <c r="C70" t="str">
        <f>IF(Table1[[#This Row],[Included?]], (Table1[[#This Row],[I RBI]]-Data!U$188)/(Data!U$186-90*Data!U$188)*Data!D$193, "")</f>
        <v/>
      </c>
      <c r="D70" t="str">
        <f>IF(Table1[[#This Row],[Included?]], (Table1[[#This Row],[I SB]]-Data!V$188)/(Data!V$186-90*Data!V$188)*Data!E$193, "")</f>
        <v/>
      </c>
      <c r="E70" t="str">
        <f>IF(Table1[[#This Row],[Included?]], (Table1[[#This Row],[I OBP]]-Data!W$188)/(Data!W$186-90*Data!W$188)*Data!F$193, "")</f>
        <v/>
      </c>
      <c r="F70" t="str">
        <f>IF( Table1[[#This Row],[Included?]], SUM(Table5[[#This Row],[Radj]:[OBPAdj]]), "")</f>
        <v/>
      </c>
      <c r="G7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0" t="str">
        <f>IF(Table1[[#This Row],[Included?]], Table5[[#This Row],[TotalAdj]]-Table5[[#This Row],[MinPos]], "")</f>
        <v/>
      </c>
      <c r="I70" t="str">
        <f>IF(Table1[[#This Row],[Included?]], 1+(Data!D$186-Data!B$185)*Table5[[#This Row],[Diff]]/SUM(Table5[Diff]), "")</f>
        <v/>
      </c>
    </row>
    <row r="71" spans="1:9" hidden="1" x14ac:dyDescent="0.25">
      <c r="A71">
        <f>IF(Table1[[#This Row],[Included?]], (Table1[[#This Row],[I R]]-Data!S$188)/(Data!S$186-90*Data!S$188)*Data!B$193, "")</f>
        <v>3.6177813640448235</v>
      </c>
      <c r="B71">
        <f>IF(Table1[[#This Row],[Included?]], (Table1[[#This Row],[I HR]]-Data!T$188)/(Data!T$186-90*Data!T$188)*Data!C$193, "")</f>
        <v>3.238237073579374</v>
      </c>
      <c r="C71">
        <f>IF(Table1[[#This Row],[Included?]], (Table1[[#This Row],[I RBI]]-Data!U$188)/(Data!U$186-90*Data!U$188)*Data!D$193, "")</f>
        <v>1.648882147332321</v>
      </c>
      <c r="D71">
        <f>IF(Table1[[#This Row],[Included?]], (Table1[[#This Row],[I SB]]-Data!V$188)/(Data!V$186-90*Data!V$188)*Data!E$193, "")</f>
        <v>1.2971900826446279</v>
      </c>
      <c r="E71">
        <f>IF(Table1[[#This Row],[Included?]], (Table1[[#This Row],[I OBP]]-Data!W$188)/(Data!W$186-90*Data!W$188)*Data!F$193, "")</f>
        <v>6.1281972900281962</v>
      </c>
      <c r="F71">
        <f>IF( Table1[[#This Row],[Included?]], SUM(Table5[[#This Row],[Radj]:[OBPAdj]]), "")</f>
        <v>15.930287957629343</v>
      </c>
      <c r="G7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71">
        <f>IF(Table1[[#This Row],[Included?]], Table5[[#This Row],[TotalAdj]]-Table5[[#This Row],[MinPos]], "")</f>
        <v>5.4748900388149337</v>
      </c>
      <c r="I71">
        <f>IF(Table1[[#This Row],[Included?]], 1+(Data!D$186-Data!B$185)*Table5[[#This Row],[Diff]]/SUM(Table5[Diff]), "")</f>
        <v>18.690412344547315</v>
      </c>
    </row>
    <row r="72" spans="1:9" hidden="1" x14ac:dyDescent="0.25">
      <c r="A72" t="str">
        <f>IF(Table1[[#This Row],[Included?]], (Table1[[#This Row],[I R]]-Data!S$188)/(Data!S$186-90*Data!S$188)*Data!B$193, "")</f>
        <v/>
      </c>
      <c r="B72" t="str">
        <f>IF(Table1[[#This Row],[Included?]], (Table1[[#This Row],[I HR]]-Data!T$188)/(Data!T$186-90*Data!T$188)*Data!C$193, "")</f>
        <v/>
      </c>
      <c r="C72" t="str">
        <f>IF(Table1[[#This Row],[Included?]], (Table1[[#This Row],[I RBI]]-Data!U$188)/(Data!U$186-90*Data!U$188)*Data!D$193, "")</f>
        <v/>
      </c>
      <c r="D72" t="str">
        <f>IF(Table1[[#This Row],[Included?]], (Table1[[#This Row],[I SB]]-Data!V$188)/(Data!V$186-90*Data!V$188)*Data!E$193, "")</f>
        <v/>
      </c>
      <c r="E72" t="str">
        <f>IF(Table1[[#This Row],[Included?]], (Table1[[#This Row],[I OBP]]-Data!W$188)/(Data!W$186-90*Data!W$188)*Data!F$193, "")</f>
        <v/>
      </c>
      <c r="F72" t="str">
        <f>IF( Table1[[#This Row],[Included?]], SUM(Table5[[#This Row],[Radj]:[OBPAdj]]), "")</f>
        <v/>
      </c>
      <c r="G7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2" t="str">
        <f>IF(Table1[[#This Row],[Included?]], Table5[[#This Row],[TotalAdj]]-Table5[[#This Row],[MinPos]], "")</f>
        <v/>
      </c>
      <c r="I72" t="str">
        <f>IF(Table1[[#This Row],[Included?]], 1+(Data!D$186-Data!B$185)*Table5[[#This Row],[Diff]]/SUM(Table5[Diff]), "")</f>
        <v/>
      </c>
    </row>
    <row r="73" spans="1:9" hidden="1" x14ac:dyDescent="0.25">
      <c r="A73">
        <f>IF(Table1[[#This Row],[Included?]], (Table1[[#This Row],[I R]]-Data!S$188)/(Data!S$186-90*Data!S$188)*Data!B$193, "")</f>
        <v>2.2351042564506995</v>
      </c>
      <c r="B73">
        <f>IF(Table1[[#This Row],[Included?]], (Table1[[#This Row],[I HR]]-Data!T$188)/(Data!T$186-90*Data!T$188)*Data!C$193, "")</f>
        <v>2.8342718853260118</v>
      </c>
      <c r="C73">
        <f>IF(Table1[[#This Row],[Included?]], (Table1[[#This Row],[I RBI]]-Data!U$188)/(Data!U$186-90*Data!U$188)*Data!D$193, "")</f>
        <v>4.4409417661412629</v>
      </c>
      <c r="D73">
        <f>IF(Table1[[#This Row],[Included?]], (Table1[[#This Row],[I SB]]-Data!V$188)/(Data!V$186-90*Data!V$188)*Data!E$193, "")</f>
        <v>1.6006611570247926</v>
      </c>
      <c r="E73">
        <f>IF(Table1[[#This Row],[Included?]], (Table1[[#This Row],[I OBP]]-Data!W$188)/(Data!W$186-90*Data!W$188)*Data!F$193, "")</f>
        <v>3.8797142928941915</v>
      </c>
      <c r="F73">
        <f>IF( Table1[[#This Row],[Included?]], SUM(Table5[[#This Row],[Radj]:[OBPAdj]]), "")</f>
        <v>14.990693357836957</v>
      </c>
      <c r="G7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73">
        <f>IF(Table1[[#This Row],[Included?]], Table5[[#This Row],[TotalAdj]]-Table5[[#This Row],[MinPos]], "")</f>
        <v>0</v>
      </c>
      <c r="I73">
        <f>IF(Table1[[#This Row],[Included?]], 1+(Data!D$186-Data!B$185)*Table5[[#This Row],[Diff]]/SUM(Table5[Diff]), "")</f>
        <v>1</v>
      </c>
    </row>
    <row r="74" spans="1:9" hidden="1" x14ac:dyDescent="0.25">
      <c r="A74" t="str">
        <f>IF(Table1[[#This Row],[Included?]], (Table1[[#This Row],[I R]]-Data!S$188)/(Data!S$186-90*Data!S$188)*Data!B$193, "")</f>
        <v/>
      </c>
      <c r="B74" t="str">
        <f>IF(Table1[[#This Row],[Included?]], (Table1[[#This Row],[I HR]]-Data!T$188)/(Data!T$186-90*Data!T$188)*Data!C$193, "")</f>
        <v/>
      </c>
      <c r="C74" t="str">
        <f>IF(Table1[[#This Row],[Included?]], (Table1[[#This Row],[I RBI]]-Data!U$188)/(Data!U$186-90*Data!U$188)*Data!D$193, "")</f>
        <v/>
      </c>
      <c r="D74" t="str">
        <f>IF(Table1[[#This Row],[Included?]], (Table1[[#This Row],[I SB]]-Data!V$188)/(Data!V$186-90*Data!V$188)*Data!E$193, "")</f>
        <v/>
      </c>
      <c r="E74" t="str">
        <f>IF(Table1[[#This Row],[Included?]], (Table1[[#This Row],[I OBP]]-Data!W$188)/(Data!W$186-90*Data!W$188)*Data!F$193, "")</f>
        <v/>
      </c>
      <c r="F74" t="str">
        <f>IF( Table1[[#This Row],[Included?]], SUM(Table5[[#This Row],[Radj]:[OBPAdj]]), "")</f>
        <v/>
      </c>
      <c r="G7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74" t="str">
        <f>IF(Table1[[#This Row],[Included?]], Table5[[#This Row],[TotalAdj]]-Table5[[#This Row],[MinPos]], "")</f>
        <v/>
      </c>
      <c r="I74" t="str">
        <f>IF(Table1[[#This Row],[Included?]], 1+(Data!D$186-Data!B$185)*Table5[[#This Row],[Diff]]/SUM(Table5[Diff]), "")</f>
        <v/>
      </c>
    </row>
    <row r="75" spans="1:9" hidden="1" x14ac:dyDescent="0.25">
      <c r="A75">
        <f>IF(Table1[[#This Row],[Included?]], (Table1[[#This Row],[I R]]-Data!S$188)/(Data!S$186-90*Data!S$188)*Data!B$193, "")</f>
        <v>2.7083020044380097</v>
      </c>
      <c r="B75">
        <f>IF(Table1[[#This Row],[Included?]], (Table1[[#This Row],[I HR]]-Data!T$188)/(Data!T$186-90*Data!T$188)*Data!C$193, "")</f>
        <v>3.1014101549774291</v>
      </c>
      <c r="C75">
        <f>IF(Table1[[#This Row],[Included?]], (Table1[[#This Row],[I RBI]]-Data!U$188)/(Data!U$186-90*Data!U$188)*Data!D$193, "")</f>
        <v>4.0242696036404393</v>
      </c>
      <c r="D75">
        <f>IF(Table1[[#This Row],[Included?]], (Table1[[#This Row],[I SB]]-Data!V$188)/(Data!V$186-90*Data!V$188)*Data!E$193, "")</f>
        <v>3.2191735537190067</v>
      </c>
      <c r="E75">
        <f>IF(Table1[[#This Row],[Included?]], (Table1[[#This Row],[I OBP]]-Data!W$188)/(Data!W$186-90*Data!W$188)*Data!F$193, "")</f>
        <v>2.5590773996919722</v>
      </c>
      <c r="F75">
        <f>IF( Table1[[#This Row],[Included?]], SUM(Table5[[#This Row],[Radj]:[OBPAdj]]), "")</f>
        <v>15.612232716466856</v>
      </c>
      <c r="G7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75">
        <f>IF(Table1[[#This Row],[Included?]], Table5[[#This Row],[TotalAdj]]-Table5[[#This Row],[MinPos]], "")</f>
        <v>2.6726090743857647</v>
      </c>
      <c r="I75">
        <f>IF(Table1[[#This Row],[Included?]], 1+(Data!D$186-Data!B$185)*Table5[[#This Row],[Diff]]/SUM(Table5[Diff]), "")</f>
        <v>9.6357088866568343</v>
      </c>
    </row>
    <row r="76" spans="1:9" hidden="1" x14ac:dyDescent="0.25">
      <c r="A76">
        <f>IF(Table1[[#This Row],[Included?]], (Table1[[#This Row],[I R]]-Data!S$188)/(Data!S$186-90*Data!S$188)*Data!B$193, "")</f>
        <v>3.6983256615745819</v>
      </c>
      <c r="B76">
        <f>IF(Table1[[#This Row],[Included?]], (Table1[[#This Row],[I HR]]-Data!T$188)/(Data!T$186-90*Data!T$188)*Data!C$193, "")</f>
        <v>0</v>
      </c>
      <c r="C76">
        <f>IF(Table1[[#This Row],[Included?]], (Table1[[#This Row],[I RBI]]-Data!U$188)/(Data!U$186-90*Data!U$188)*Data!D$193, "")</f>
        <v>4.273560641034177E-2</v>
      </c>
      <c r="D76">
        <f>IF(Table1[[#This Row],[Included?]], (Table1[[#This Row],[I SB]]-Data!V$188)/(Data!V$186-90*Data!V$188)*Data!E$193, "")</f>
        <v>10.264462809917351</v>
      </c>
      <c r="E76">
        <f>IF(Table1[[#This Row],[Included?]], (Table1[[#This Row],[I OBP]]-Data!W$188)/(Data!W$186-90*Data!W$188)*Data!F$193, "")</f>
        <v>2.8616879901000614</v>
      </c>
      <c r="F76">
        <f>IF( Table1[[#This Row],[Included?]], SUM(Table5[[#This Row],[Radj]:[OBPAdj]]), "")</f>
        <v>16.867212068002335</v>
      </c>
      <c r="G7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76">
        <f>IF(Table1[[#This Row],[Included?]], Table5[[#This Row],[TotalAdj]]-Table5[[#This Row],[MinPos]], "")</f>
        <v>2.5382080500290094</v>
      </c>
      <c r="I76">
        <f>IF(Table1[[#This Row],[Included?]], 1+(Data!D$186-Data!B$185)*Table5[[#This Row],[Diff]]/SUM(Table5[Diff]), "")</f>
        <v>9.2014335818481214</v>
      </c>
    </row>
    <row r="77" spans="1:9" hidden="1" x14ac:dyDescent="0.25">
      <c r="A77">
        <f>IF(Table1[[#This Row],[Included?]], (Table1[[#This Row],[I R]]-Data!S$188)/(Data!S$186-90*Data!S$188)*Data!B$193, "")</f>
        <v>2.0471675622146046</v>
      </c>
      <c r="B77">
        <f>IF(Table1[[#This Row],[Included?]], (Table1[[#This Row],[I HR]]-Data!T$188)/(Data!T$186-90*Data!T$188)*Data!C$193, "")</f>
        <v>5.2189696095313458</v>
      </c>
      <c r="C77">
        <f>IF(Table1[[#This Row],[Included?]], (Table1[[#This Row],[I RBI]]-Data!U$188)/(Data!U$186-90*Data!U$188)*Data!D$193, "")</f>
        <v>3.5292488293873236</v>
      </c>
      <c r="D77">
        <f>IF(Table1[[#This Row],[Included?]], (Table1[[#This Row],[I SB]]-Data!V$188)/(Data!V$186-90*Data!V$188)*Data!E$193, "")</f>
        <v>0.55933884297520642</v>
      </c>
      <c r="E77">
        <f>IF(Table1[[#This Row],[Included?]], (Table1[[#This Row],[I OBP]]-Data!W$188)/(Data!W$186-90*Data!W$188)*Data!F$193, "")</f>
        <v>4.1890456228804078</v>
      </c>
      <c r="F77">
        <f>IF( Table1[[#This Row],[Included?]], SUM(Table5[[#This Row],[Radj]:[OBPAdj]]), "")</f>
        <v>15.543770466988889</v>
      </c>
      <c r="G7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14.990693357836957</v>
      </c>
      <c r="H77">
        <f>IF(Table1[[#This Row],[Included?]], Table5[[#This Row],[TotalAdj]]-Table5[[#This Row],[MinPos]], "")</f>
        <v>0.55307710915193198</v>
      </c>
      <c r="I77">
        <f>IF(Table1[[#This Row],[Included?]], 1+(Data!D$186-Data!B$185)*Table5[[#This Row],[Diff]]/SUM(Table5[Diff]), "")</f>
        <v>2.7870974667731794</v>
      </c>
    </row>
    <row r="78" spans="1:9" hidden="1" x14ac:dyDescent="0.25">
      <c r="A78">
        <f>IF(Table1[[#This Row],[Included?]], (Table1[[#This Row],[I R]]-Data!S$188)/(Data!S$186-90*Data!S$188)*Data!B$193, "")</f>
        <v>2.7351501036145933</v>
      </c>
      <c r="B78">
        <f>IF(Table1[[#This Row],[Included?]], (Table1[[#This Row],[I HR]]-Data!T$188)/(Data!T$186-90*Data!T$188)*Data!C$193, "")</f>
        <v>3.590077721412948</v>
      </c>
      <c r="C78">
        <f>IF(Table1[[#This Row],[Included?]], (Table1[[#This Row],[I RBI]]-Data!U$188)/(Data!U$186-90*Data!U$188)*Data!D$193, "")</f>
        <v>3.3511838026775709</v>
      </c>
      <c r="D78">
        <f>IF(Table1[[#This Row],[Included?]], (Table1[[#This Row],[I SB]]-Data!V$188)/(Data!V$186-90*Data!V$188)*Data!E$193, "")</f>
        <v>0.33322314049586771</v>
      </c>
      <c r="E78">
        <f>IF(Table1[[#This Row],[Included?]], (Table1[[#This Row],[I OBP]]-Data!W$188)/(Data!W$186-90*Data!W$188)*Data!F$193, "")</f>
        <v>3.4033456546280778</v>
      </c>
      <c r="F78">
        <f>IF( Table1[[#This Row],[Included?]], SUM(Table5[[#This Row],[Radj]:[OBPAdj]]), "")</f>
        <v>13.412980422829058</v>
      </c>
      <c r="G7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78">
        <f>IF(Table1[[#This Row],[Included?]], Table5[[#This Row],[TotalAdj]]-Table5[[#This Row],[MinPos]], "")</f>
        <v>2.9575825040146491</v>
      </c>
      <c r="I78">
        <f>IF(Table1[[#This Row],[Included?]], 1+(Data!D$186-Data!B$185)*Table5[[#This Row],[Diff]]/SUM(Table5[Diff]), "")</f>
        <v>10.556512307663263</v>
      </c>
    </row>
    <row r="79" spans="1:9" hidden="1" x14ac:dyDescent="0.25">
      <c r="A79">
        <f>IF(Table1[[#This Row],[Included?]], (Table1[[#This Row],[I R]]-Data!S$188)/(Data!S$186-90*Data!S$188)*Data!B$193, "")</f>
        <v>2.7116580168350826</v>
      </c>
      <c r="B79">
        <f>IF(Table1[[#This Row],[Included?]], (Table1[[#This Row],[I HR]]-Data!T$188)/(Data!T$186-90*Data!T$188)*Data!C$193, "")</f>
        <v>1.6093451854609768</v>
      </c>
      <c r="C79">
        <f>IF(Table1[[#This Row],[Included?]], (Table1[[#This Row],[I RBI]]-Data!U$188)/(Data!U$186-90*Data!U$188)*Data!D$193, "")</f>
        <v>0.99004154850623272</v>
      </c>
      <c r="D79">
        <f>IF(Table1[[#This Row],[Included?]], (Table1[[#This Row],[I SB]]-Data!V$188)/(Data!V$186-90*Data!V$188)*Data!E$193, "")</f>
        <v>9.9550413223140488</v>
      </c>
      <c r="E79">
        <f>IF(Table1[[#This Row],[Included?]], (Table1[[#This Row],[I OBP]]-Data!W$188)/(Data!W$186-90*Data!W$188)*Data!F$193, "")</f>
        <v>4.7320377108290996</v>
      </c>
      <c r="F79">
        <f>IF( Table1[[#This Row],[Included?]], SUM(Table5[[#This Row],[Radj]:[OBPAdj]]), "")</f>
        <v>19.998123783945442</v>
      </c>
      <c r="G7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79">
        <f>IF(Table1[[#This Row],[Included?]], Table5[[#This Row],[TotalAdj]]-Table5[[#This Row],[MinPos]], "")</f>
        <v>3.7716790371661375</v>
      </c>
      <c r="I79">
        <f>IF(Table1[[#This Row],[Included?]], 1+(Data!D$186-Data!B$185)*Table5[[#This Row],[Diff]]/SUM(Table5[Diff]), "")</f>
        <v>13.187013241492718</v>
      </c>
    </row>
    <row r="80" spans="1:9" hidden="1" x14ac:dyDescent="0.25">
      <c r="A80">
        <f>IF(Table1[[#This Row],[Included?]], (Table1[[#This Row],[I R]]-Data!S$188)/(Data!S$186-90*Data!S$188)*Data!B$193, "")</f>
        <v>3.3023161987199527</v>
      </c>
      <c r="B80">
        <f>IF(Table1[[#This Row],[Included?]], (Table1[[#This Row],[I HR]]-Data!T$188)/(Data!T$186-90*Data!T$188)*Data!C$193, "")</f>
        <v>4.9453157723274552</v>
      </c>
      <c r="C80">
        <f>IF(Table1[[#This Row],[Included?]], (Table1[[#This Row],[I RBI]]-Data!U$188)/(Data!U$186-90*Data!U$188)*Data!D$193, "")</f>
        <v>3.9601661940249269</v>
      </c>
      <c r="D80">
        <f>IF(Table1[[#This Row],[Included?]], (Table1[[#This Row],[I SB]]-Data!V$188)/(Data!V$186-90*Data!V$188)*Data!E$193, "")</f>
        <v>3.2905785123966931</v>
      </c>
      <c r="E80">
        <f>IF(Table1[[#This Row],[Included?]], (Table1[[#This Row],[I OBP]]-Data!W$188)/(Data!W$186-90*Data!W$188)*Data!F$193, "")</f>
        <v>3.1548056200994918</v>
      </c>
      <c r="F80">
        <f>IF( Table1[[#This Row],[Included?]], SUM(Table5[[#This Row],[Radj]:[OBPAdj]]), "")</f>
        <v>18.65318229756852</v>
      </c>
      <c r="G8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80">
        <f>IF(Table1[[#This Row],[Included?]], Table5[[#This Row],[TotalAdj]]-Table5[[#This Row],[MinPos]], "")</f>
        <v>4.3241782795951949</v>
      </c>
      <c r="I80">
        <f>IF(Table1[[#This Row],[Included?]], 1+(Data!D$186-Data!B$185)*Table5[[#This Row],[Diff]]/SUM(Table5[Diff]), "")</f>
        <v>14.972243510836291</v>
      </c>
    </row>
    <row r="81" spans="1:9" hidden="1" x14ac:dyDescent="0.25">
      <c r="A81">
        <f>IF(Table1[[#This Row],[Included?]], (Table1[[#This Row],[I R]]-Data!S$188)/(Data!S$186-90*Data!S$188)*Data!B$193, "")</f>
        <v>1.3390489464321749</v>
      </c>
      <c r="B81">
        <f>IF(Table1[[#This Row],[Included?]], (Table1[[#This Row],[I HR]]-Data!T$188)/(Data!T$186-90*Data!T$188)*Data!C$193, "")</f>
        <v>3.264299343789268</v>
      </c>
      <c r="C81">
        <f>IF(Table1[[#This Row],[Included?]], (Table1[[#This Row],[I RBI]]-Data!U$188)/(Data!U$186-90*Data!U$188)*Data!D$193, "")</f>
        <v>3.1125766668864983</v>
      </c>
      <c r="D81">
        <f>IF(Table1[[#This Row],[Included?]], (Table1[[#This Row],[I SB]]-Data!V$188)/(Data!V$186-90*Data!V$188)*Data!E$193, "")</f>
        <v>3.1596694214876027</v>
      </c>
      <c r="E81">
        <f>IF(Table1[[#This Row],[Included?]], (Table1[[#This Row],[I OBP]]-Data!W$188)/(Data!W$186-90*Data!W$188)*Data!F$193, "")</f>
        <v>4.1396695568020352</v>
      </c>
      <c r="F81">
        <f>IF( Table1[[#This Row],[Included?]], SUM(Table5[[#This Row],[Radj]:[OBPAdj]]), "")</f>
        <v>15.015263935397579</v>
      </c>
      <c r="G8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81">
        <f>IF(Table1[[#This Row],[Included?]], Table5[[#This Row],[TotalAdj]]-Table5[[#This Row],[MinPos]], "")</f>
        <v>0.68625991742425363</v>
      </c>
      <c r="I81">
        <f>IF(Table1[[#This Row],[Included?]], 1+(Data!D$186-Data!B$185)*Table5[[#This Row],[Diff]]/SUM(Table5[Diff]), "")</f>
        <v>3.2174364834180027</v>
      </c>
    </row>
    <row r="82" spans="1:9" hidden="1" x14ac:dyDescent="0.25">
      <c r="A82" t="str">
        <f>IF(Table1[[#This Row],[Included?]], (Table1[[#This Row],[I R]]-Data!S$188)/(Data!S$186-90*Data!S$188)*Data!B$193, "")</f>
        <v/>
      </c>
      <c r="B82" t="str">
        <f>IF(Table1[[#This Row],[Included?]], (Table1[[#This Row],[I HR]]-Data!T$188)/(Data!T$186-90*Data!T$188)*Data!C$193, "")</f>
        <v/>
      </c>
      <c r="C82" t="str">
        <f>IF(Table1[[#This Row],[Included?]], (Table1[[#This Row],[I RBI]]-Data!U$188)/(Data!U$186-90*Data!U$188)*Data!D$193, "")</f>
        <v/>
      </c>
      <c r="D82" t="str">
        <f>IF(Table1[[#This Row],[Included?]], (Table1[[#This Row],[I SB]]-Data!V$188)/(Data!V$186-90*Data!V$188)*Data!E$193, "")</f>
        <v/>
      </c>
      <c r="E82" t="str">
        <f>IF(Table1[[#This Row],[Included?]], (Table1[[#This Row],[I OBP]]-Data!W$188)/(Data!W$186-90*Data!W$188)*Data!F$193, "")</f>
        <v/>
      </c>
      <c r="F82" t="str">
        <f>IF( Table1[[#This Row],[Included?]], SUM(Table5[[#This Row],[Radj]:[OBPAdj]]), "")</f>
        <v/>
      </c>
      <c r="G8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2" t="str">
        <f>IF(Table1[[#This Row],[Included?]], Table5[[#This Row],[TotalAdj]]-Table5[[#This Row],[MinPos]], "")</f>
        <v/>
      </c>
      <c r="I82" t="str">
        <f>IF(Table1[[#This Row],[Included?]], 1+(Data!D$186-Data!B$185)*Table5[[#This Row],[Diff]]/SUM(Table5[Diff]), "")</f>
        <v/>
      </c>
    </row>
    <row r="83" spans="1:9" hidden="1" x14ac:dyDescent="0.25">
      <c r="A83" t="str">
        <f>IF(Table1[[#This Row],[Included?]], (Table1[[#This Row],[I R]]-Data!S$188)/(Data!S$186-90*Data!S$188)*Data!B$193, "")</f>
        <v/>
      </c>
      <c r="B83" t="str">
        <f>IF(Table1[[#This Row],[Included?]], (Table1[[#This Row],[I HR]]-Data!T$188)/(Data!T$186-90*Data!T$188)*Data!C$193, "")</f>
        <v/>
      </c>
      <c r="C83" t="str">
        <f>IF(Table1[[#This Row],[Included?]], (Table1[[#This Row],[I RBI]]-Data!U$188)/(Data!U$186-90*Data!U$188)*Data!D$193, "")</f>
        <v/>
      </c>
      <c r="D83" t="str">
        <f>IF(Table1[[#This Row],[Included?]], (Table1[[#This Row],[I SB]]-Data!V$188)/(Data!V$186-90*Data!V$188)*Data!E$193, "")</f>
        <v/>
      </c>
      <c r="E83" t="str">
        <f>IF(Table1[[#This Row],[Included?]], (Table1[[#This Row],[I OBP]]-Data!W$188)/(Data!W$186-90*Data!W$188)*Data!F$193, "")</f>
        <v/>
      </c>
      <c r="F83" t="str">
        <f>IF( Table1[[#This Row],[Included?]], SUM(Table5[[#This Row],[Radj]:[OBPAdj]]), "")</f>
        <v/>
      </c>
      <c r="G8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3" t="str">
        <f>IF(Table1[[#This Row],[Included?]], Table5[[#This Row],[TotalAdj]]-Table5[[#This Row],[MinPos]], "")</f>
        <v/>
      </c>
      <c r="I83" t="str">
        <f>IF(Table1[[#This Row],[Included?]], 1+(Data!D$186-Data!B$185)*Table5[[#This Row],[Diff]]/SUM(Table5[Diff]), "")</f>
        <v/>
      </c>
    </row>
    <row r="84" spans="1:9" hidden="1" x14ac:dyDescent="0.25">
      <c r="A84" t="str">
        <f>IF(Table1[[#This Row],[Included?]], (Table1[[#This Row],[I R]]-Data!S$188)/(Data!S$186-90*Data!S$188)*Data!B$193, "")</f>
        <v/>
      </c>
      <c r="B84" t="str">
        <f>IF(Table1[[#This Row],[Included?]], (Table1[[#This Row],[I HR]]-Data!T$188)/(Data!T$186-90*Data!T$188)*Data!C$193, "")</f>
        <v/>
      </c>
      <c r="C84" t="str">
        <f>IF(Table1[[#This Row],[Included?]], (Table1[[#This Row],[I RBI]]-Data!U$188)/(Data!U$186-90*Data!U$188)*Data!D$193, "")</f>
        <v/>
      </c>
      <c r="D84" t="str">
        <f>IF(Table1[[#This Row],[Included?]], (Table1[[#This Row],[I SB]]-Data!V$188)/(Data!V$186-90*Data!V$188)*Data!E$193, "")</f>
        <v/>
      </c>
      <c r="E84" t="str">
        <f>IF(Table1[[#This Row],[Included?]], (Table1[[#This Row],[I OBP]]-Data!W$188)/(Data!W$186-90*Data!W$188)*Data!F$193, "")</f>
        <v/>
      </c>
      <c r="F84" t="str">
        <f>IF( Table1[[#This Row],[Included?]], SUM(Table5[[#This Row],[Radj]:[OBPAdj]]), "")</f>
        <v/>
      </c>
      <c r="G8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4" t="str">
        <f>IF(Table1[[#This Row],[Included?]], Table5[[#This Row],[TotalAdj]]-Table5[[#This Row],[MinPos]], "")</f>
        <v/>
      </c>
      <c r="I84" t="str">
        <f>IF(Table1[[#This Row],[Included?]], 1+(Data!D$186-Data!B$185)*Table5[[#This Row],[Diff]]/SUM(Table5[Diff]), "")</f>
        <v/>
      </c>
    </row>
    <row r="85" spans="1:9" hidden="1" x14ac:dyDescent="0.25">
      <c r="A85">
        <f>IF(Table1[[#This Row],[Included?]], (Table1[[#This Row],[I R]]-Data!S$188)/(Data!S$186-90*Data!S$188)*Data!B$193, "")</f>
        <v>3.6513414880155559</v>
      </c>
      <c r="B85">
        <f>IF(Table1[[#This Row],[Included?]], (Table1[[#This Row],[I HR]]-Data!T$188)/(Data!T$186-90*Data!T$188)*Data!C$193, "")</f>
        <v>2.4824312374924373</v>
      </c>
      <c r="C85">
        <f>IF(Table1[[#This Row],[Included?]], (Table1[[#This Row],[I RBI]]-Data!U$188)/(Data!U$186-90*Data!U$188)*Data!D$193, "")</f>
        <v>1.5277979291696888</v>
      </c>
      <c r="D85">
        <f>IF(Table1[[#This Row],[Included?]], (Table1[[#This Row],[I SB]]-Data!V$188)/(Data!V$186-90*Data!V$188)*Data!E$193, "")</f>
        <v>3.8261157024793375</v>
      </c>
      <c r="E85">
        <f>IF(Table1[[#This Row],[Included?]], (Table1[[#This Row],[I OBP]]-Data!W$188)/(Data!W$186-90*Data!W$188)*Data!F$193, "")</f>
        <v>4.7387583896222827</v>
      </c>
      <c r="F85">
        <f>IF( Table1[[#This Row],[Included?]], SUM(Table5[[#This Row],[Radj]:[OBPAdj]]), "")</f>
        <v>16.226444746779304</v>
      </c>
      <c r="G8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16.226444746779304</v>
      </c>
      <c r="H85">
        <f>IF(Table1[[#This Row],[Included?]], Table5[[#This Row],[TotalAdj]]-Table5[[#This Row],[MinPos]], "")</f>
        <v>0</v>
      </c>
      <c r="I85">
        <f>IF(Table1[[#This Row],[Included?]], 1+(Data!D$186-Data!B$185)*Table5[[#This Row],[Diff]]/SUM(Table5[Diff]), "")</f>
        <v>1</v>
      </c>
    </row>
    <row r="86" spans="1:9" hidden="1" x14ac:dyDescent="0.25">
      <c r="A86">
        <f>IF(Table1[[#This Row],[Included?]], (Table1[[#This Row],[I R]]-Data!S$188)/(Data!S$186-90*Data!S$188)*Data!B$193, "")</f>
        <v>2.0907957233765551</v>
      </c>
      <c r="B86">
        <f>IF(Table1[[#This Row],[Included?]], (Table1[[#This Row],[I HR]]-Data!T$188)/(Data!T$186-90*Data!T$188)*Data!C$193, "")</f>
        <v>5.5512635547074991</v>
      </c>
      <c r="C86">
        <f>IF(Table1[[#This Row],[Included?]], (Table1[[#This Row],[I RBI]]-Data!U$188)/(Data!U$186-90*Data!U$188)*Data!D$193, "")</f>
        <v>3.8212754731913199</v>
      </c>
      <c r="D86">
        <f>IF(Table1[[#This Row],[Included?]], (Table1[[#This Row],[I SB]]-Data!V$188)/(Data!V$186-90*Data!V$188)*Data!E$193, "")</f>
        <v>0.9580165289256195</v>
      </c>
      <c r="E86">
        <f>IF(Table1[[#This Row],[Included?]], (Table1[[#This Row],[I OBP]]-Data!W$188)/(Data!W$186-90*Data!W$188)*Data!F$193, "")</f>
        <v>4.9472051345403667</v>
      </c>
      <c r="F86">
        <f>IF( Table1[[#This Row],[Included?]], SUM(Table5[[#This Row],[Radj]:[OBPAdj]]), "")</f>
        <v>17.368556414741363</v>
      </c>
      <c r="G8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86">
        <f>IF(Table1[[#This Row],[Included?]], Table5[[#This Row],[TotalAdj]]-Table5[[#This Row],[MinPos]], "")</f>
        <v>2.5351580480253233</v>
      </c>
      <c r="I86">
        <f>IF(Table1[[#This Row],[Included?]], 1+(Data!D$186-Data!B$185)*Table5[[#This Row],[Diff]]/SUM(Table5[Diff]), "")</f>
        <v>9.1915784445368001</v>
      </c>
    </row>
    <row r="87" spans="1:9" hidden="1" x14ac:dyDescent="0.25">
      <c r="A87">
        <f>IF(Table1[[#This Row],[Included?]], (Table1[[#This Row],[I R]]-Data!S$188)/(Data!S$186-90*Data!S$188)*Data!B$193, "")</f>
        <v>2.9902070457921517</v>
      </c>
      <c r="B87">
        <f>IF(Table1[[#This Row],[Included?]], (Table1[[#This Row],[I HR]]-Data!T$188)/(Data!T$186-90*Data!T$188)*Data!C$193, "")</f>
        <v>6.0659933913529125</v>
      </c>
      <c r="C87">
        <f>IF(Table1[[#This Row],[Included?]], (Table1[[#This Row],[I RBI]]-Data!U$188)/(Data!U$186-90*Data!U$188)*Data!D$193, "")</f>
        <v>2.4074391611158727</v>
      </c>
      <c r="D87">
        <f>IF(Table1[[#This Row],[Included?]], (Table1[[#This Row],[I SB]]-Data!V$188)/(Data!V$186-90*Data!V$188)*Data!E$193, "")</f>
        <v>0.7795041322314048</v>
      </c>
      <c r="E87">
        <f>IF(Table1[[#This Row],[Included?]], (Table1[[#This Row],[I OBP]]-Data!W$188)/(Data!W$186-90*Data!W$188)*Data!F$193, "")</f>
        <v>3.6707669096112112</v>
      </c>
      <c r="F87">
        <f>IF( Table1[[#This Row],[Included?]], SUM(Table5[[#This Row],[Radj]:[OBPAdj]]), "")</f>
        <v>15.913910640103554</v>
      </c>
      <c r="G8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87">
        <f>IF(Table1[[#This Row],[Included?]], Table5[[#This Row],[TotalAdj]]-Table5[[#This Row],[MinPos]], "")</f>
        <v>1.0805122733875141</v>
      </c>
      <c r="I87">
        <f>IF(Table1[[#This Row],[Included?]], 1+(Data!D$186-Data!B$185)*Table5[[#This Row],[Diff]]/SUM(Table5[Diff]), "")</f>
        <v>4.4913409263114321</v>
      </c>
    </row>
    <row r="88" spans="1:9" hidden="1" x14ac:dyDescent="0.25">
      <c r="A88" t="str">
        <f>IF(Table1[[#This Row],[Included?]], (Table1[[#This Row],[I R]]-Data!S$188)/(Data!S$186-90*Data!S$188)*Data!B$193, "")</f>
        <v/>
      </c>
      <c r="B88" t="str">
        <f>IF(Table1[[#This Row],[Included?]], (Table1[[#This Row],[I HR]]-Data!T$188)/(Data!T$186-90*Data!T$188)*Data!C$193, "")</f>
        <v/>
      </c>
      <c r="C88" t="str">
        <f>IF(Table1[[#This Row],[Included?]], (Table1[[#This Row],[I RBI]]-Data!U$188)/(Data!U$186-90*Data!U$188)*Data!D$193, "")</f>
        <v/>
      </c>
      <c r="D88" t="str">
        <f>IF(Table1[[#This Row],[Included?]], (Table1[[#This Row],[I SB]]-Data!V$188)/(Data!V$186-90*Data!V$188)*Data!E$193, "")</f>
        <v/>
      </c>
      <c r="E88" t="str">
        <f>IF(Table1[[#This Row],[Included?]], (Table1[[#This Row],[I OBP]]-Data!W$188)/(Data!W$186-90*Data!W$188)*Data!F$193, "")</f>
        <v/>
      </c>
      <c r="F88" t="str">
        <f>IF( Table1[[#This Row],[Included?]], SUM(Table5[[#This Row],[Radj]:[OBPAdj]]), "")</f>
        <v/>
      </c>
      <c r="G8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8" t="str">
        <f>IF(Table1[[#This Row],[Included?]], Table5[[#This Row],[TotalAdj]]-Table5[[#This Row],[MinPos]], "")</f>
        <v/>
      </c>
      <c r="I88" t="str">
        <f>IF(Table1[[#This Row],[Included?]], 1+(Data!D$186-Data!B$185)*Table5[[#This Row],[Diff]]/SUM(Table5[Diff]), "")</f>
        <v/>
      </c>
    </row>
    <row r="89" spans="1:9" hidden="1" x14ac:dyDescent="0.25">
      <c r="A89" t="str">
        <f>IF(Table1[[#This Row],[Included?]], (Table1[[#This Row],[I R]]-Data!S$188)/(Data!S$186-90*Data!S$188)*Data!B$193, "")</f>
        <v/>
      </c>
      <c r="B89" t="str">
        <f>IF(Table1[[#This Row],[Included?]], (Table1[[#This Row],[I HR]]-Data!T$188)/(Data!T$186-90*Data!T$188)*Data!C$193, "")</f>
        <v/>
      </c>
      <c r="C89" t="str">
        <f>IF(Table1[[#This Row],[Included?]], (Table1[[#This Row],[I RBI]]-Data!U$188)/(Data!U$186-90*Data!U$188)*Data!D$193, "")</f>
        <v/>
      </c>
      <c r="D89" t="str">
        <f>IF(Table1[[#This Row],[Included?]], (Table1[[#This Row],[I SB]]-Data!V$188)/(Data!V$186-90*Data!V$188)*Data!E$193, "")</f>
        <v/>
      </c>
      <c r="E89" t="str">
        <f>IF(Table1[[#This Row],[Included?]], (Table1[[#This Row],[I OBP]]-Data!W$188)/(Data!W$186-90*Data!W$188)*Data!F$193, "")</f>
        <v/>
      </c>
      <c r="F89" t="str">
        <f>IF( Table1[[#This Row],[Included?]], SUM(Table5[[#This Row],[Radj]:[OBPAdj]]), "")</f>
        <v/>
      </c>
      <c r="G8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89" t="str">
        <f>IF(Table1[[#This Row],[Included?]], Table5[[#This Row],[TotalAdj]]-Table5[[#This Row],[MinPos]], "")</f>
        <v/>
      </c>
      <c r="I89" t="str">
        <f>IF(Table1[[#This Row],[Included?]], 1+(Data!D$186-Data!B$185)*Table5[[#This Row],[Diff]]/SUM(Table5[Diff]), "")</f>
        <v/>
      </c>
    </row>
    <row r="90" spans="1:9" hidden="1" x14ac:dyDescent="0.25">
      <c r="A90">
        <f>IF(Table1[[#This Row],[Included?]], (Table1[[#This Row],[I R]]-Data!S$188)/(Data!S$186-90*Data!S$188)*Data!B$193, "")</f>
        <v>0</v>
      </c>
      <c r="B90">
        <f>IF(Table1[[#This Row],[Included?]], (Table1[[#This Row],[I HR]]-Data!T$188)/(Data!T$186-90*Data!T$188)*Data!C$193, "")</f>
        <v>1.2965979429422445</v>
      </c>
      <c r="C90">
        <f>IF(Table1[[#This Row],[Included?]], (Table1[[#This Row],[I RBI]]-Data!U$188)/(Data!U$186-90*Data!U$188)*Data!D$193, "")</f>
        <v>0</v>
      </c>
      <c r="D90">
        <f>IF(Table1[[#This Row],[Included?]], (Table1[[#This Row],[I SB]]-Data!V$188)/(Data!V$186-90*Data!V$188)*Data!E$193, "")</f>
        <v>18.969917355371898</v>
      </c>
      <c r="E90">
        <f>IF(Table1[[#This Row],[Included?]], (Table1[[#This Row],[I OBP]]-Data!W$188)/(Data!W$186-90*Data!W$188)*Data!F$193, "")</f>
        <v>0</v>
      </c>
      <c r="F90">
        <f>IF( Table1[[#This Row],[Included?]], SUM(Table5[[#This Row],[Radj]:[OBPAdj]]), "")</f>
        <v>20.266515298314143</v>
      </c>
      <c r="G9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90">
        <f>IF(Table1[[#This Row],[Included?]], Table5[[#This Row],[TotalAdj]]-Table5[[#This Row],[MinPos]], "")</f>
        <v>5.9375112803408179</v>
      </c>
      <c r="I90">
        <f>IF(Table1[[#This Row],[Included?]], 1+(Data!D$186-Data!B$185)*Table5[[#This Row],[Diff]]/SUM(Table5[Diff]), "")</f>
        <v>20.185229676752726</v>
      </c>
    </row>
    <row r="91" spans="1:9" hidden="1" x14ac:dyDescent="0.25">
      <c r="A91">
        <f>IF(Table1[[#This Row],[Included?]], (Table1[[#This Row],[I R]]-Data!S$188)/(Data!S$186-90*Data!S$188)*Data!B$193, "")</f>
        <v>2.0236754754350921</v>
      </c>
      <c r="B91">
        <f>IF(Table1[[#This Row],[Included?]], (Table1[[#This Row],[I HR]]-Data!T$188)/(Data!T$186-90*Data!T$188)*Data!C$193, "")</f>
        <v>4.0070740447712572</v>
      </c>
      <c r="C91">
        <f>IF(Table1[[#This Row],[Included?]], (Table1[[#This Row],[I RBI]]-Data!U$188)/(Data!U$186-90*Data!U$188)*Data!D$193, "")</f>
        <v>3.5292488293873223</v>
      </c>
      <c r="D91">
        <f>IF(Table1[[#This Row],[Included?]], (Table1[[#This Row],[I SB]]-Data!V$188)/(Data!V$186-90*Data!V$188)*Data!E$193, "")</f>
        <v>1.8565289256198343</v>
      </c>
      <c r="E91">
        <f>IF(Table1[[#This Row],[Included?]], (Table1[[#This Row],[I OBP]]-Data!W$188)/(Data!W$186-90*Data!W$188)*Data!F$193, "")</f>
        <v>2.9595234409317013</v>
      </c>
      <c r="F91">
        <f>IF( Table1[[#This Row],[Included?]], SUM(Table5[[#This Row],[Radj]:[OBPAdj]]), "")</f>
        <v>14.376050716145206</v>
      </c>
      <c r="G9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91">
        <f>IF(Table1[[#This Row],[Included?]], Table5[[#This Row],[TotalAdj]]-Table5[[#This Row],[MinPos]], "")</f>
        <v>1.436427074064115</v>
      </c>
      <c r="I91">
        <f>IF(Table1[[#This Row],[Included?]], 1+(Data!D$186-Data!B$185)*Table5[[#This Row],[Diff]]/SUM(Table5[Diff]), "")</f>
        <v>5.6413694271321173</v>
      </c>
    </row>
    <row r="92" spans="1:9" hidden="1" x14ac:dyDescent="0.25">
      <c r="A92" t="str">
        <f>IF(Table1[[#This Row],[Included?]], (Table1[[#This Row],[I R]]-Data!S$188)/(Data!S$186-90*Data!S$188)*Data!B$193, "")</f>
        <v/>
      </c>
      <c r="B92" t="str">
        <f>IF(Table1[[#This Row],[Included?]], (Table1[[#This Row],[I HR]]-Data!T$188)/(Data!T$186-90*Data!T$188)*Data!C$193, "")</f>
        <v/>
      </c>
      <c r="C92" t="str">
        <f>IF(Table1[[#This Row],[Included?]], (Table1[[#This Row],[I RBI]]-Data!U$188)/(Data!U$186-90*Data!U$188)*Data!D$193, "")</f>
        <v/>
      </c>
      <c r="D92" t="str">
        <f>IF(Table1[[#This Row],[Included?]], (Table1[[#This Row],[I SB]]-Data!V$188)/(Data!V$186-90*Data!V$188)*Data!E$193, "")</f>
        <v/>
      </c>
      <c r="E92" t="str">
        <f>IF(Table1[[#This Row],[Included?]], (Table1[[#This Row],[I OBP]]-Data!W$188)/(Data!W$186-90*Data!W$188)*Data!F$193, "")</f>
        <v/>
      </c>
      <c r="F92" t="str">
        <f>IF( Table1[[#This Row],[Included?]], SUM(Table5[[#This Row],[Radj]:[OBPAdj]]), "")</f>
        <v/>
      </c>
      <c r="G9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2" t="str">
        <f>IF(Table1[[#This Row],[Included?]], Table5[[#This Row],[TotalAdj]]-Table5[[#This Row],[MinPos]], "")</f>
        <v/>
      </c>
      <c r="I92" t="str">
        <f>IF(Table1[[#This Row],[Included?]], 1+(Data!D$186-Data!B$185)*Table5[[#This Row],[Diff]]/SUM(Table5[Diff]), "")</f>
        <v/>
      </c>
    </row>
    <row r="93" spans="1:9" hidden="1" x14ac:dyDescent="0.25">
      <c r="A93" t="str">
        <f>IF(Table1[[#This Row],[Included?]], (Table1[[#This Row],[I R]]-Data!S$188)/(Data!S$186-90*Data!S$188)*Data!B$193, "")</f>
        <v/>
      </c>
      <c r="B93" t="str">
        <f>IF(Table1[[#This Row],[Included?]], (Table1[[#This Row],[I HR]]-Data!T$188)/(Data!T$186-90*Data!T$188)*Data!C$193, "")</f>
        <v/>
      </c>
      <c r="C93" t="str">
        <f>IF(Table1[[#This Row],[Included?]], (Table1[[#This Row],[I RBI]]-Data!U$188)/(Data!U$186-90*Data!U$188)*Data!D$193, "")</f>
        <v/>
      </c>
      <c r="D93" t="str">
        <f>IF(Table1[[#This Row],[Included?]], (Table1[[#This Row],[I SB]]-Data!V$188)/(Data!V$186-90*Data!V$188)*Data!E$193, "")</f>
        <v/>
      </c>
      <c r="E93" t="str">
        <f>IF(Table1[[#This Row],[Included?]], (Table1[[#This Row],[I OBP]]-Data!W$188)/(Data!W$186-90*Data!W$188)*Data!F$193, "")</f>
        <v/>
      </c>
      <c r="F93" t="str">
        <f>IF( Table1[[#This Row],[Included?]], SUM(Table5[[#This Row],[Radj]:[OBPAdj]]), "")</f>
        <v/>
      </c>
      <c r="G9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3" t="str">
        <f>IF(Table1[[#This Row],[Included?]], Table5[[#This Row],[TotalAdj]]-Table5[[#This Row],[MinPos]], "")</f>
        <v/>
      </c>
      <c r="I93" t="str">
        <f>IF(Table1[[#This Row],[Included?]], 1+(Data!D$186-Data!B$185)*Table5[[#This Row],[Diff]]/SUM(Table5[Diff]), "")</f>
        <v/>
      </c>
    </row>
    <row r="94" spans="1:9" hidden="1" x14ac:dyDescent="0.25">
      <c r="A94" t="str">
        <f>IF(Table1[[#This Row],[Included?]], (Table1[[#This Row],[I R]]-Data!S$188)/(Data!S$186-90*Data!S$188)*Data!B$193, "")</f>
        <v/>
      </c>
      <c r="B94" t="str">
        <f>IF(Table1[[#This Row],[Included?]], (Table1[[#This Row],[I HR]]-Data!T$188)/(Data!T$186-90*Data!T$188)*Data!C$193, "")</f>
        <v/>
      </c>
      <c r="C94" t="str">
        <f>IF(Table1[[#This Row],[Included?]], (Table1[[#This Row],[I RBI]]-Data!U$188)/(Data!U$186-90*Data!U$188)*Data!D$193, "")</f>
        <v/>
      </c>
      <c r="D94" t="str">
        <f>IF(Table1[[#This Row],[Included?]], (Table1[[#This Row],[I SB]]-Data!V$188)/(Data!V$186-90*Data!V$188)*Data!E$193, "")</f>
        <v/>
      </c>
      <c r="E94" t="str">
        <f>IF(Table1[[#This Row],[Included?]], (Table1[[#This Row],[I OBP]]-Data!W$188)/(Data!W$186-90*Data!W$188)*Data!F$193, "")</f>
        <v/>
      </c>
      <c r="F94" t="str">
        <f>IF( Table1[[#This Row],[Included?]], SUM(Table5[[#This Row],[Radj]:[OBPAdj]]), "")</f>
        <v/>
      </c>
      <c r="G9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4" t="str">
        <f>IF(Table1[[#This Row],[Included?]], Table5[[#This Row],[TotalAdj]]-Table5[[#This Row],[MinPos]], "")</f>
        <v/>
      </c>
      <c r="I94" t="str">
        <f>IF(Table1[[#This Row],[Included?]], 1+(Data!D$186-Data!B$185)*Table5[[#This Row],[Diff]]/SUM(Table5[Diff]), "")</f>
        <v/>
      </c>
    </row>
    <row r="95" spans="1:9" hidden="1" x14ac:dyDescent="0.25">
      <c r="A95" t="str">
        <f>IF(Table1[[#This Row],[Included?]], (Table1[[#This Row],[I R]]-Data!S$188)/(Data!S$186-90*Data!S$188)*Data!B$193, "")</f>
        <v/>
      </c>
      <c r="B95" t="str">
        <f>IF(Table1[[#This Row],[Included?]], (Table1[[#This Row],[I HR]]-Data!T$188)/(Data!T$186-90*Data!T$188)*Data!C$193, "")</f>
        <v/>
      </c>
      <c r="C95" t="str">
        <f>IF(Table1[[#This Row],[Included?]], (Table1[[#This Row],[I RBI]]-Data!U$188)/(Data!U$186-90*Data!U$188)*Data!D$193, "")</f>
        <v/>
      </c>
      <c r="D95" t="str">
        <f>IF(Table1[[#This Row],[Included?]], (Table1[[#This Row],[I SB]]-Data!V$188)/(Data!V$186-90*Data!V$188)*Data!E$193, "")</f>
        <v/>
      </c>
      <c r="E95" t="str">
        <f>IF(Table1[[#This Row],[Included?]], (Table1[[#This Row],[I OBP]]-Data!W$188)/(Data!W$186-90*Data!W$188)*Data!F$193, "")</f>
        <v/>
      </c>
      <c r="F95" t="str">
        <f>IF( Table1[[#This Row],[Included?]], SUM(Table5[[#This Row],[Radj]:[OBPAdj]]), "")</f>
        <v/>
      </c>
      <c r="G9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5" t="str">
        <f>IF(Table1[[#This Row],[Included?]], Table5[[#This Row],[TotalAdj]]-Table5[[#This Row],[MinPos]], "")</f>
        <v/>
      </c>
      <c r="I95" t="str">
        <f>IF(Table1[[#This Row],[Included?]], 1+(Data!D$186-Data!B$185)*Table5[[#This Row],[Diff]]/SUM(Table5[Diff]), "")</f>
        <v/>
      </c>
    </row>
    <row r="96" spans="1:9" hidden="1" x14ac:dyDescent="0.25">
      <c r="A96">
        <f>IF(Table1[[#This Row],[Included?]], (Table1[[#This Row],[I R]]-Data!S$188)/(Data!S$186-90*Data!S$188)*Data!B$193, "")</f>
        <v>2.68816593005557</v>
      </c>
      <c r="B96">
        <f>IF(Table1[[#This Row],[Included?]], (Table1[[#This Row],[I HR]]-Data!T$188)/(Data!T$186-90*Data!T$188)*Data!C$193, "")</f>
        <v>2.2999953460231777</v>
      </c>
      <c r="C96">
        <f>IF(Table1[[#This Row],[Included?]], (Table1[[#This Row],[I RBI]]-Data!U$188)/(Data!U$186-90*Data!U$188)*Data!D$193, "")</f>
        <v>0.51994987799248193</v>
      </c>
      <c r="D96">
        <f>IF(Table1[[#This Row],[Included?]], (Table1[[#This Row],[I SB]]-Data!V$188)/(Data!V$186-90*Data!V$188)*Data!E$193, "")</f>
        <v>8.4317355371900788</v>
      </c>
      <c r="E96">
        <f>IF(Table1[[#This Row],[Included?]], (Table1[[#This Row],[I OBP]]-Data!W$188)/(Data!W$186-90*Data!W$188)*Data!F$193, "")</f>
        <v>3.5268475365472014</v>
      </c>
      <c r="F96">
        <f>IF( Table1[[#This Row],[Included?]], SUM(Table5[[#This Row],[Radj]:[OBPAdj]]), "")</f>
        <v>17.46669422780851</v>
      </c>
      <c r="G96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96">
        <f>IF(Table1[[#This Row],[Included?]], Table5[[#This Row],[TotalAdj]]-Table5[[#This Row],[MinPos]], "")</f>
        <v>3.1376902098351849</v>
      </c>
      <c r="I96">
        <f>IF(Table1[[#This Row],[Included?]], 1+(Data!D$186-Data!B$185)*Table5[[#This Row],[Diff]]/SUM(Table5[Diff]), "")</f>
        <v>11.138474604587378</v>
      </c>
    </row>
    <row r="97" spans="1:9" hidden="1" x14ac:dyDescent="0.25">
      <c r="A97" t="str">
        <f>IF(Table1[[#This Row],[Included?]], (Table1[[#This Row],[I R]]-Data!S$188)/(Data!S$186-90*Data!S$188)*Data!B$193, "")</f>
        <v/>
      </c>
      <c r="B97" t="str">
        <f>IF(Table1[[#This Row],[Included?]], (Table1[[#This Row],[I HR]]-Data!T$188)/(Data!T$186-90*Data!T$188)*Data!C$193, "")</f>
        <v/>
      </c>
      <c r="C97" t="str">
        <f>IF(Table1[[#This Row],[Included?]], (Table1[[#This Row],[I RBI]]-Data!U$188)/(Data!U$186-90*Data!U$188)*Data!D$193, "")</f>
        <v/>
      </c>
      <c r="D97" t="str">
        <f>IF(Table1[[#This Row],[Included?]], (Table1[[#This Row],[I SB]]-Data!V$188)/(Data!V$186-90*Data!V$188)*Data!E$193, "")</f>
        <v/>
      </c>
      <c r="E97" t="str">
        <f>IF(Table1[[#This Row],[Included?]], (Table1[[#This Row],[I OBP]]-Data!W$188)/(Data!W$186-90*Data!W$188)*Data!F$193, "")</f>
        <v/>
      </c>
      <c r="F97" t="str">
        <f>IF( Table1[[#This Row],[Included?]], SUM(Table5[[#This Row],[Radj]:[OBPAdj]]), "")</f>
        <v/>
      </c>
      <c r="G9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7" t="str">
        <f>IF(Table1[[#This Row],[Included?]], Table5[[#This Row],[TotalAdj]]-Table5[[#This Row],[MinPos]], "")</f>
        <v/>
      </c>
      <c r="I97" t="str">
        <f>IF(Table1[[#This Row],[Included?]], 1+(Data!D$186-Data!B$185)*Table5[[#This Row],[Diff]]/SUM(Table5[Diff]), "")</f>
        <v/>
      </c>
    </row>
    <row r="98" spans="1:9" hidden="1" x14ac:dyDescent="0.25">
      <c r="A98" t="str">
        <f>IF(Table1[[#This Row],[Included?]], (Table1[[#This Row],[I R]]-Data!S$188)/(Data!S$186-90*Data!S$188)*Data!B$193, "")</f>
        <v/>
      </c>
      <c r="B98" t="str">
        <f>IF(Table1[[#This Row],[Included?]], (Table1[[#This Row],[I HR]]-Data!T$188)/(Data!T$186-90*Data!T$188)*Data!C$193, "")</f>
        <v/>
      </c>
      <c r="C98" t="str">
        <f>IF(Table1[[#This Row],[Included?]], (Table1[[#This Row],[I RBI]]-Data!U$188)/(Data!U$186-90*Data!U$188)*Data!D$193, "")</f>
        <v/>
      </c>
      <c r="D98" t="str">
        <f>IF(Table1[[#This Row],[Included?]], (Table1[[#This Row],[I SB]]-Data!V$188)/(Data!V$186-90*Data!V$188)*Data!E$193, "")</f>
        <v/>
      </c>
      <c r="E98" t="str">
        <f>IF(Table1[[#This Row],[Included?]], (Table1[[#This Row],[I OBP]]-Data!W$188)/(Data!W$186-90*Data!W$188)*Data!F$193, "")</f>
        <v/>
      </c>
      <c r="F98" t="str">
        <f>IF( Table1[[#This Row],[Included?]], SUM(Table5[[#This Row],[Radj]:[OBPAdj]]), "")</f>
        <v/>
      </c>
      <c r="G9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8" t="str">
        <f>IF(Table1[[#This Row],[Included?]], Table5[[#This Row],[TotalAdj]]-Table5[[#This Row],[MinPos]], "")</f>
        <v/>
      </c>
      <c r="I98" t="str">
        <f>IF(Table1[[#This Row],[Included?]], 1+(Data!D$186-Data!B$185)*Table5[[#This Row],[Diff]]/SUM(Table5[Diff]), "")</f>
        <v/>
      </c>
    </row>
    <row r="99" spans="1:9" hidden="1" x14ac:dyDescent="0.25">
      <c r="A99" t="str">
        <f>IF(Table1[[#This Row],[Included?]], (Table1[[#This Row],[I R]]-Data!S$188)/(Data!S$186-90*Data!S$188)*Data!B$193, "")</f>
        <v/>
      </c>
      <c r="B99" t="str">
        <f>IF(Table1[[#This Row],[Included?]], (Table1[[#This Row],[I HR]]-Data!T$188)/(Data!T$186-90*Data!T$188)*Data!C$193, "")</f>
        <v/>
      </c>
      <c r="C99" t="str">
        <f>IF(Table1[[#This Row],[Included?]], (Table1[[#This Row],[I RBI]]-Data!U$188)/(Data!U$186-90*Data!U$188)*Data!D$193, "")</f>
        <v/>
      </c>
      <c r="D99" t="str">
        <f>IF(Table1[[#This Row],[Included?]], (Table1[[#This Row],[I SB]]-Data!V$188)/(Data!V$186-90*Data!V$188)*Data!E$193, "")</f>
        <v/>
      </c>
      <c r="E99" t="str">
        <f>IF(Table1[[#This Row],[Included?]], (Table1[[#This Row],[I OBP]]-Data!W$188)/(Data!W$186-90*Data!W$188)*Data!F$193, "")</f>
        <v/>
      </c>
      <c r="F99" t="str">
        <f>IF( Table1[[#This Row],[Included?]], SUM(Table5[[#This Row],[Radj]:[OBPAdj]]), "")</f>
        <v/>
      </c>
      <c r="G9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99" t="str">
        <f>IF(Table1[[#This Row],[Included?]], Table5[[#This Row],[TotalAdj]]-Table5[[#This Row],[MinPos]], "")</f>
        <v/>
      </c>
      <c r="I99" t="str">
        <f>IF(Table1[[#This Row],[Included?]], 1+(Data!D$186-Data!B$185)*Table5[[#This Row],[Diff]]/SUM(Table5[Diff]), "")</f>
        <v/>
      </c>
    </row>
    <row r="100" spans="1:9" hidden="1" x14ac:dyDescent="0.25">
      <c r="A100">
        <f>IF(Table1[[#This Row],[Included?]], (Table1[[#This Row],[I R]]-Data!S$188)/(Data!S$186-90*Data!S$188)*Data!B$193, "")</f>
        <v>2.2418162812448448</v>
      </c>
      <c r="B100">
        <f>IF(Table1[[#This Row],[Included?]], (Table1[[#This Row],[I HR]]-Data!T$188)/(Data!T$186-90*Data!T$188)*Data!C$193, "")</f>
        <v>5.2189696095313467</v>
      </c>
      <c r="C100">
        <f>IF(Table1[[#This Row],[Included?]], (Table1[[#This Row],[I RBI]]-Data!U$188)/(Data!U$186-90*Data!U$188)*Data!D$193, "")</f>
        <v>3.5541779331266885</v>
      </c>
      <c r="D100">
        <f>IF(Table1[[#This Row],[Included?]], (Table1[[#This Row],[I SB]]-Data!V$188)/(Data!V$186-90*Data!V$188)*Data!E$193, "")</f>
        <v>0.34512396694214864</v>
      </c>
      <c r="E100">
        <f>IF(Table1[[#This Row],[Included?]], (Table1[[#This Row],[I OBP]]-Data!W$188)/(Data!W$186-90*Data!W$188)*Data!F$193, "")</f>
        <v>6.3483353235909732</v>
      </c>
      <c r="F100">
        <f>IF( Table1[[#This Row],[Included?]], SUM(Table5[[#This Row],[Radj]:[OBPAdj]]), "")</f>
        <v>17.708423114436002</v>
      </c>
      <c r="G10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00">
        <f>IF(Table1[[#This Row],[Included?]], Table5[[#This Row],[TotalAdj]]-Table5[[#This Row],[MinPos]], "")</f>
        <v>7.2530251956215928</v>
      </c>
      <c r="I100">
        <f>IF(Table1[[#This Row],[Included?]], 1+(Data!D$186-Data!B$185)*Table5[[#This Row],[Diff]]/SUM(Table5[Diff]), "")</f>
        <v>24.435905661350972</v>
      </c>
    </row>
    <row r="101" spans="1:9" hidden="1" x14ac:dyDescent="0.25">
      <c r="A101" t="str">
        <f>IF(Table1[[#This Row],[Included?]], (Table1[[#This Row],[I R]]-Data!S$188)/(Data!S$186-90*Data!S$188)*Data!B$193, "")</f>
        <v/>
      </c>
      <c r="B101" t="str">
        <f>IF(Table1[[#This Row],[Included?]], (Table1[[#This Row],[I HR]]-Data!T$188)/(Data!T$186-90*Data!T$188)*Data!C$193, "")</f>
        <v/>
      </c>
      <c r="C101" t="str">
        <f>IF(Table1[[#This Row],[Included?]], (Table1[[#This Row],[I RBI]]-Data!U$188)/(Data!U$186-90*Data!U$188)*Data!D$193, "")</f>
        <v/>
      </c>
      <c r="D101" t="str">
        <f>IF(Table1[[#This Row],[Included?]], (Table1[[#This Row],[I SB]]-Data!V$188)/(Data!V$186-90*Data!V$188)*Data!E$193, "")</f>
        <v/>
      </c>
      <c r="E101" t="str">
        <f>IF(Table1[[#This Row],[Included?]], (Table1[[#This Row],[I OBP]]-Data!W$188)/(Data!W$186-90*Data!W$188)*Data!F$193, "")</f>
        <v/>
      </c>
      <c r="F101" t="str">
        <f>IF( Table1[[#This Row],[Included?]], SUM(Table5[[#This Row],[Radj]:[OBPAdj]]), "")</f>
        <v/>
      </c>
      <c r="G10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1" t="str">
        <f>IF(Table1[[#This Row],[Included?]], Table5[[#This Row],[TotalAdj]]-Table5[[#This Row],[MinPos]], "")</f>
        <v/>
      </c>
      <c r="I101" t="str">
        <f>IF(Table1[[#This Row],[Included?]], 1+(Data!D$186-Data!B$185)*Table5[[#This Row],[Diff]]/SUM(Table5[Diff]), "")</f>
        <v/>
      </c>
    </row>
    <row r="102" spans="1:9" hidden="1" x14ac:dyDescent="0.25">
      <c r="A102">
        <f>IF(Table1[[#This Row],[Included?]], (Table1[[#This Row],[I R]]-Data!S$188)/(Data!S$186-90*Data!S$188)*Data!B$193, "")</f>
        <v>3.9433145665609177</v>
      </c>
      <c r="B102">
        <f>IF(Table1[[#This Row],[Included?]], (Table1[[#This Row],[I HR]]-Data!T$188)/(Data!T$186-90*Data!T$188)*Data!C$193, "")</f>
        <v>3.5640154512030535</v>
      </c>
      <c r="C102">
        <f>IF(Table1[[#This Row],[Included?]], (Table1[[#This Row],[I RBI]]-Data!U$188)/(Data!U$186-90*Data!U$188)*Data!D$193, "")</f>
        <v>2.0156961023544149</v>
      </c>
      <c r="D102">
        <f>IF(Table1[[#This Row],[Included?]], (Table1[[#This Row],[I SB]]-Data!V$188)/(Data!V$186-90*Data!V$188)*Data!E$193, "")</f>
        <v>1.8089256198347101</v>
      </c>
      <c r="E102">
        <f>IF(Table1[[#This Row],[Included?]], (Table1[[#This Row],[I OBP]]-Data!W$188)/(Data!W$186-90*Data!W$188)*Data!F$193, "")</f>
        <v>2.99705227802023</v>
      </c>
      <c r="F102">
        <f>IF( Table1[[#This Row],[Included?]], SUM(Table5[[#This Row],[Radj]:[OBPAdj]]), "")</f>
        <v>14.329004017973325</v>
      </c>
      <c r="G10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02">
        <f>IF(Table1[[#This Row],[Included?]], Table5[[#This Row],[TotalAdj]]-Table5[[#This Row],[MinPos]], "")</f>
        <v>0</v>
      </c>
      <c r="I102">
        <f>IF(Table1[[#This Row],[Included?]], 1+(Data!D$186-Data!B$185)*Table5[[#This Row],[Diff]]/SUM(Table5[Diff]), "")</f>
        <v>1</v>
      </c>
    </row>
    <row r="103" spans="1:9" hidden="1" x14ac:dyDescent="0.25">
      <c r="A103">
        <f>IF(Table1[[#This Row],[Included?]], (Table1[[#This Row],[I R]]-Data!S$188)/(Data!S$186-90*Data!S$188)*Data!B$193, "")</f>
        <v>3.1244475416750754</v>
      </c>
      <c r="B103">
        <f>IF(Table1[[#This Row],[Included?]], (Table1[[#This Row],[I HR]]-Data!T$188)/(Data!T$186-90*Data!T$188)*Data!C$193, "")</f>
        <v>0.3062316749662588</v>
      </c>
      <c r="C103">
        <f>IF(Table1[[#This Row],[Included?]], (Table1[[#This Row],[I RBI]]-Data!U$188)/(Data!U$186-90*Data!U$188)*Data!D$193, "")</f>
        <v>0.64459539668930854</v>
      </c>
      <c r="D103">
        <f>IF(Table1[[#This Row],[Included?]], (Table1[[#This Row],[I SB]]-Data!V$188)/(Data!V$186-90*Data!V$188)*Data!E$193, "")</f>
        <v>4.9923966942148752</v>
      </c>
      <c r="E103">
        <f>IF(Table1[[#This Row],[Included?]], (Table1[[#This Row],[I OBP]]-Data!W$188)/(Data!W$186-90*Data!W$188)*Data!F$193, "")</f>
        <v>3.8719523345355742</v>
      </c>
      <c r="F103">
        <f>IF( Table1[[#This Row],[Included?]], SUM(Table5[[#This Row],[Radj]:[OBPAdj]]), "")</f>
        <v>12.939623642081092</v>
      </c>
      <c r="G10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03">
        <f>IF(Table1[[#This Row],[Included?]], Table5[[#This Row],[TotalAdj]]-Table5[[#This Row],[MinPos]], "")</f>
        <v>0</v>
      </c>
      <c r="I103">
        <f>IF(Table1[[#This Row],[Included?]], 1+(Data!D$186-Data!B$185)*Table5[[#This Row],[Diff]]/SUM(Table5[Diff]), "")</f>
        <v>1</v>
      </c>
    </row>
    <row r="104" spans="1:9" hidden="1" x14ac:dyDescent="0.25">
      <c r="A104" t="str">
        <f>IF(Table1[[#This Row],[Included?]], (Table1[[#This Row],[I R]]-Data!S$188)/(Data!S$186-90*Data!S$188)*Data!B$193, "")</f>
        <v/>
      </c>
      <c r="B104" t="str">
        <f>IF(Table1[[#This Row],[Included?]], (Table1[[#This Row],[I HR]]-Data!T$188)/(Data!T$186-90*Data!T$188)*Data!C$193, "")</f>
        <v/>
      </c>
      <c r="C104" t="str">
        <f>IF(Table1[[#This Row],[Included?]], (Table1[[#This Row],[I RBI]]-Data!U$188)/(Data!U$186-90*Data!U$188)*Data!D$193, "")</f>
        <v/>
      </c>
      <c r="D104" t="str">
        <f>IF(Table1[[#This Row],[Included?]], (Table1[[#This Row],[I SB]]-Data!V$188)/(Data!V$186-90*Data!V$188)*Data!E$193, "")</f>
        <v/>
      </c>
      <c r="E104" t="str">
        <f>IF(Table1[[#This Row],[Included?]], (Table1[[#This Row],[I OBP]]-Data!W$188)/(Data!W$186-90*Data!W$188)*Data!F$193, "")</f>
        <v/>
      </c>
      <c r="F104" t="str">
        <f>IF( Table1[[#This Row],[Included?]], SUM(Table5[[#This Row],[Radj]:[OBPAdj]]), "")</f>
        <v/>
      </c>
      <c r="G10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4" t="str">
        <f>IF(Table1[[#This Row],[Included?]], Table5[[#This Row],[TotalAdj]]-Table5[[#This Row],[MinPos]], "")</f>
        <v/>
      </c>
      <c r="I104" t="str">
        <f>IF(Table1[[#This Row],[Included?]], 1+(Data!D$186-Data!B$185)*Table5[[#This Row],[Diff]]/SUM(Table5[Diff]), "")</f>
        <v/>
      </c>
    </row>
    <row r="105" spans="1:9" hidden="1" x14ac:dyDescent="0.25">
      <c r="A105" t="str">
        <f>IF(Table1[[#This Row],[Included?]], (Table1[[#This Row],[I R]]-Data!S$188)/(Data!S$186-90*Data!S$188)*Data!B$193, "")</f>
        <v/>
      </c>
      <c r="B105" t="str">
        <f>IF(Table1[[#This Row],[Included?]], (Table1[[#This Row],[I HR]]-Data!T$188)/(Data!T$186-90*Data!T$188)*Data!C$193, "")</f>
        <v/>
      </c>
      <c r="C105" t="str">
        <f>IF(Table1[[#This Row],[Included?]], (Table1[[#This Row],[I RBI]]-Data!U$188)/(Data!U$186-90*Data!U$188)*Data!D$193, "")</f>
        <v/>
      </c>
      <c r="D105" t="str">
        <f>IF(Table1[[#This Row],[Included?]], (Table1[[#This Row],[I SB]]-Data!V$188)/(Data!V$186-90*Data!V$188)*Data!E$193, "")</f>
        <v/>
      </c>
      <c r="E105" t="str">
        <f>IF(Table1[[#This Row],[Included?]], (Table1[[#This Row],[I OBP]]-Data!W$188)/(Data!W$186-90*Data!W$188)*Data!F$193, "")</f>
        <v/>
      </c>
      <c r="F105" t="str">
        <f>IF( Table1[[#This Row],[Included?]], SUM(Table5[[#This Row],[Radj]:[OBPAdj]]), "")</f>
        <v/>
      </c>
      <c r="G10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5" t="str">
        <f>IF(Table1[[#This Row],[Included?]], Table5[[#This Row],[TotalAdj]]-Table5[[#This Row],[MinPos]], "")</f>
        <v/>
      </c>
      <c r="I105" t="str">
        <f>IF(Table1[[#This Row],[Included?]], 1+(Data!D$186-Data!B$185)*Table5[[#This Row],[Diff]]/SUM(Table5[Diff]), "")</f>
        <v/>
      </c>
    </row>
    <row r="106" spans="1:9" hidden="1" x14ac:dyDescent="0.25">
      <c r="A106" t="str">
        <f>IF(Table1[[#This Row],[Included?]], (Table1[[#This Row],[I R]]-Data!S$188)/(Data!S$186-90*Data!S$188)*Data!B$193, "")</f>
        <v/>
      </c>
      <c r="B106" t="str">
        <f>IF(Table1[[#This Row],[Included?]], (Table1[[#This Row],[I HR]]-Data!T$188)/(Data!T$186-90*Data!T$188)*Data!C$193, "")</f>
        <v/>
      </c>
      <c r="C106" t="str">
        <f>IF(Table1[[#This Row],[Included?]], (Table1[[#This Row],[I RBI]]-Data!U$188)/(Data!U$186-90*Data!U$188)*Data!D$193, "")</f>
        <v/>
      </c>
      <c r="D106" t="str">
        <f>IF(Table1[[#This Row],[Included?]], (Table1[[#This Row],[I SB]]-Data!V$188)/(Data!V$186-90*Data!V$188)*Data!E$193, "")</f>
        <v/>
      </c>
      <c r="E106" t="str">
        <f>IF(Table1[[#This Row],[Included?]], (Table1[[#This Row],[I OBP]]-Data!W$188)/(Data!W$186-90*Data!W$188)*Data!F$193, "")</f>
        <v/>
      </c>
      <c r="F106" t="str">
        <f>IF( Table1[[#This Row],[Included?]], SUM(Table5[[#This Row],[Radj]:[OBPAdj]]), "")</f>
        <v/>
      </c>
      <c r="G10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6" t="str">
        <f>IF(Table1[[#This Row],[Included?]], Table5[[#This Row],[TotalAdj]]-Table5[[#This Row],[MinPos]], "")</f>
        <v/>
      </c>
      <c r="I106" t="str">
        <f>IF(Table1[[#This Row],[Included?]], 1+(Data!D$186-Data!B$185)*Table5[[#This Row],[Diff]]/SUM(Table5[Diff]), "")</f>
        <v/>
      </c>
    </row>
    <row r="107" spans="1:9" hidden="1" x14ac:dyDescent="0.25">
      <c r="A107" t="str">
        <f>IF(Table1[[#This Row],[Included?]], (Table1[[#This Row],[I R]]-Data!S$188)/(Data!S$186-90*Data!S$188)*Data!B$193, "")</f>
        <v/>
      </c>
      <c r="B107" t="str">
        <f>IF(Table1[[#This Row],[Included?]], (Table1[[#This Row],[I HR]]-Data!T$188)/(Data!T$186-90*Data!T$188)*Data!C$193, "")</f>
        <v/>
      </c>
      <c r="C107" t="str">
        <f>IF(Table1[[#This Row],[Included?]], (Table1[[#This Row],[I RBI]]-Data!U$188)/(Data!U$186-90*Data!U$188)*Data!D$193, "")</f>
        <v/>
      </c>
      <c r="D107" t="str">
        <f>IF(Table1[[#This Row],[Included?]], (Table1[[#This Row],[I SB]]-Data!V$188)/(Data!V$186-90*Data!V$188)*Data!E$193, "")</f>
        <v/>
      </c>
      <c r="E107" t="str">
        <f>IF(Table1[[#This Row],[Included?]], (Table1[[#This Row],[I OBP]]-Data!W$188)/(Data!W$186-90*Data!W$188)*Data!F$193, "")</f>
        <v/>
      </c>
      <c r="F107" t="str">
        <f>IF( Table1[[#This Row],[Included?]], SUM(Table5[[#This Row],[Radj]:[OBPAdj]]), "")</f>
        <v/>
      </c>
      <c r="G10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7" t="str">
        <f>IF(Table1[[#This Row],[Included?]], Table5[[#This Row],[TotalAdj]]-Table5[[#This Row],[MinPos]], "")</f>
        <v/>
      </c>
      <c r="I107" t="str">
        <f>IF(Table1[[#This Row],[Included?]], 1+(Data!D$186-Data!B$185)*Table5[[#This Row],[Diff]]/SUM(Table5[Diff]), "")</f>
        <v/>
      </c>
    </row>
    <row r="108" spans="1:9" hidden="1" x14ac:dyDescent="0.25">
      <c r="A108">
        <f>IF(Table1[[#This Row],[Included?]], (Table1[[#This Row],[I R]]-Data!S$188)/(Data!S$186-90*Data!S$188)*Data!B$193, "")</f>
        <v>2.8962386986741029</v>
      </c>
      <c r="B108">
        <f>IF(Table1[[#This Row],[Included?]], (Table1[[#This Row],[I HR]]-Data!T$188)/(Data!T$186-90*Data!T$188)*Data!C$193, "")</f>
        <v>4.2155722064504122</v>
      </c>
      <c r="C108">
        <f>IF(Table1[[#This Row],[Included?]], (Table1[[#This Row],[I RBI]]-Data!U$188)/(Data!U$186-90*Data!U$188)*Data!D$193, "")</f>
        <v>0.99716414957462207</v>
      </c>
      <c r="D108">
        <f>IF(Table1[[#This Row],[Included?]], (Table1[[#This Row],[I SB]]-Data!V$188)/(Data!V$186-90*Data!V$188)*Data!E$193, "")</f>
        <v>3.7963636363636351</v>
      </c>
      <c r="E108">
        <f>IF(Table1[[#This Row],[Included?]], (Table1[[#This Row],[I OBP]]-Data!W$188)/(Data!W$186-90*Data!W$188)*Data!F$193, "")</f>
        <v>2.9280596756532677</v>
      </c>
      <c r="F108">
        <f>IF( Table1[[#This Row],[Included?]], SUM(Table5[[#This Row],[Radj]:[OBPAdj]]), "")</f>
        <v>14.83339836671604</v>
      </c>
      <c r="G10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14.83339836671604</v>
      </c>
      <c r="H108">
        <f>IF(Table1[[#This Row],[Included?]], Table5[[#This Row],[TotalAdj]]-Table5[[#This Row],[MinPos]], "")</f>
        <v>0</v>
      </c>
      <c r="I108">
        <f>IF(Table1[[#This Row],[Included?]], 1+(Data!D$186-Data!B$185)*Table5[[#This Row],[Diff]]/SUM(Table5[Diff]), "")</f>
        <v>1</v>
      </c>
    </row>
    <row r="109" spans="1:9" hidden="1" x14ac:dyDescent="0.25">
      <c r="A109" t="str">
        <f>IF(Table1[[#This Row],[Included?]], (Table1[[#This Row],[I R]]-Data!S$188)/(Data!S$186-90*Data!S$188)*Data!B$193, "")</f>
        <v/>
      </c>
      <c r="B109" t="str">
        <f>IF(Table1[[#This Row],[Included?]], (Table1[[#This Row],[I HR]]-Data!T$188)/(Data!T$186-90*Data!T$188)*Data!C$193, "")</f>
        <v/>
      </c>
      <c r="C109" t="str">
        <f>IF(Table1[[#This Row],[Included?]], (Table1[[#This Row],[I RBI]]-Data!U$188)/(Data!U$186-90*Data!U$188)*Data!D$193, "")</f>
        <v/>
      </c>
      <c r="D109" t="str">
        <f>IF(Table1[[#This Row],[Included?]], (Table1[[#This Row],[I SB]]-Data!V$188)/(Data!V$186-90*Data!V$188)*Data!E$193, "")</f>
        <v/>
      </c>
      <c r="E109" t="str">
        <f>IF(Table1[[#This Row],[Included?]], (Table1[[#This Row],[I OBP]]-Data!W$188)/(Data!W$186-90*Data!W$188)*Data!F$193, "")</f>
        <v/>
      </c>
      <c r="F109" t="str">
        <f>IF( Table1[[#This Row],[Included?]], SUM(Table5[[#This Row],[Radj]:[OBPAdj]]), "")</f>
        <v/>
      </c>
      <c r="G10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09" t="str">
        <f>IF(Table1[[#This Row],[Included?]], Table5[[#This Row],[TotalAdj]]-Table5[[#This Row],[MinPos]], "")</f>
        <v/>
      </c>
      <c r="I109" t="str">
        <f>IF(Table1[[#This Row],[Included?]], 1+(Data!D$186-Data!B$185)*Table5[[#This Row],[Diff]]/SUM(Table5[Diff]), "")</f>
        <v/>
      </c>
    </row>
    <row r="110" spans="1:9" hidden="1" x14ac:dyDescent="0.25">
      <c r="A110" t="str">
        <f>IF(Table1[[#This Row],[Included?]], (Table1[[#This Row],[I R]]-Data!S$188)/(Data!S$186-90*Data!S$188)*Data!B$193, "")</f>
        <v/>
      </c>
      <c r="B110" t="str">
        <f>IF(Table1[[#This Row],[Included?]], (Table1[[#This Row],[I HR]]-Data!T$188)/(Data!T$186-90*Data!T$188)*Data!C$193, "")</f>
        <v/>
      </c>
      <c r="C110" t="str">
        <f>IF(Table1[[#This Row],[Included?]], (Table1[[#This Row],[I RBI]]-Data!U$188)/(Data!U$186-90*Data!U$188)*Data!D$193, "")</f>
        <v/>
      </c>
      <c r="D110" t="str">
        <f>IF(Table1[[#This Row],[Included?]], (Table1[[#This Row],[I SB]]-Data!V$188)/(Data!V$186-90*Data!V$188)*Data!E$193, "")</f>
        <v/>
      </c>
      <c r="E110" t="str">
        <f>IF(Table1[[#This Row],[Included?]], (Table1[[#This Row],[I OBP]]-Data!W$188)/(Data!W$186-90*Data!W$188)*Data!F$193, "")</f>
        <v/>
      </c>
      <c r="F110" t="str">
        <f>IF( Table1[[#This Row],[Included?]], SUM(Table5[[#This Row],[Radj]:[OBPAdj]]), "")</f>
        <v/>
      </c>
      <c r="G11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0" t="str">
        <f>IF(Table1[[#This Row],[Included?]], Table5[[#This Row],[TotalAdj]]-Table5[[#This Row],[MinPos]], "")</f>
        <v/>
      </c>
      <c r="I110" t="str">
        <f>IF(Table1[[#This Row],[Included?]], 1+(Data!D$186-Data!B$185)*Table5[[#This Row],[Diff]]/SUM(Table5[Diff]), "")</f>
        <v/>
      </c>
    </row>
    <row r="111" spans="1:9" hidden="1" x14ac:dyDescent="0.25">
      <c r="A111" t="str">
        <f>IF(Table1[[#This Row],[Included?]], (Table1[[#This Row],[I R]]-Data!S$188)/(Data!S$186-90*Data!S$188)*Data!B$193, "")</f>
        <v/>
      </c>
      <c r="B111" t="str">
        <f>IF(Table1[[#This Row],[Included?]], (Table1[[#This Row],[I HR]]-Data!T$188)/(Data!T$186-90*Data!T$188)*Data!C$193, "")</f>
        <v/>
      </c>
      <c r="C111" t="str">
        <f>IF(Table1[[#This Row],[Included?]], (Table1[[#This Row],[I RBI]]-Data!U$188)/(Data!U$186-90*Data!U$188)*Data!D$193, "")</f>
        <v/>
      </c>
      <c r="D111" t="str">
        <f>IF(Table1[[#This Row],[Included?]], (Table1[[#This Row],[I SB]]-Data!V$188)/(Data!V$186-90*Data!V$188)*Data!E$193, "")</f>
        <v/>
      </c>
      <c r="E111" t="str">
        <f>IF(Table1[[#This Row],[Included?]], (Table1[[#This Row],[I OBP]]-Data!W$188)/(Data!W$186-90*Data!W$188)*Data!F$193, "")</f>
        <v/>
      </c>
      <c r="F111" t="str">
        <f>IF( Table1[[#This Row],[Included?]], SUM(Table5[[#This Row],[Radj]:[OBPAdj]]), "")</f>
        <v/>
      </c>
      <c r="G11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1" t="str">
        <f>IF(Table1[[#This Row],[Included?]], Table5[[#This Row],[TotalAdj]]-Table5[[#This Row],[MinPos]], "")</f>
        <v/>
      </c>
      <c r="I111" t="str">
        <f>IF(Table1[[#This Row],[Included?]], 1+(Data!D$186-Data!B$185)*Table5[[#This Row],[Diff]]/SUM(Table5[Diff]), "")</f>
        <v/>
      </c>
    </row>
    <row r="112" spans="1:9" hidden="1" x14ac:dyDescent="0.25">
      <c r="A112" t="str">
        <f>IF(Table1[[#This Row],[Included?]], (Table1[[#This Row],[I R]]-Data!S$188)/(Data!S$186-90*Data!S$188)*Data!B$193, "")</f>
        <v/>
      </c>
      <c r="B112" t="str">
        <f>IF(Table1[[#This Row],[Included?]], (Table1[[#This Row],[I HR]]-Data!T$188)/(Data!T$186-90*Data!T$188)*Data!C$193, "")</f>
        <v/>
      </c>
      <c r="C112" t="str">
        <f>IF(Table1[[#This Row],[Included?]], (Table1[[#This Row],[I RBI]]-Data!U$188)/(Data!U$186-90*Data!U$188)*Data!D$193, "")</f>
        <v/>
      </c>
      <c r="D112" t="str">
        <f>IF(Table1[[#This Row],[Included?]], (Table1[[#This Row],[I SB]]-Data!V$188)/(Data!V$186-90*Data!V$188)*Data!E$193, "")</f>
        <v/>
      </c>
      <c r="E112" t="str">
        <f>IF(Table1[[#This Row],[Included?]], (Table1[[#This Row],[I OBP]]-Data!W$188)/(Data!W$186-90*Data!W$188)*Data!F$193, "")</f>
        <v/>
      </c>
      <c r="F112" t="str">
        <f>IF( Table1[[#This Row],[Included?]], SUM(Table5[[#This Row],[Radj]:[OBPAdj]]), "")</f>
        <v/>
      </c>
      <c r="G11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2" t="str">
        <f>IF(Table1[[#This Row],[Included?]], Table5[[#This Row],[TotalAdj]]-Table5[[#This Row],[MinPos]], "")</f>
        <v/>
      </c>
      <c r="I112" t="str">
        <f>IF(Table1[[#This Row],[Included?]], 1+(Data!D$186-Data!B$185)*Table5[[#This Row],[Diff]]/SUM(Table5[Diff]), "")</f>
        <v/>
      </c>
    </row>
    <row r="113" spans="1:9" hidden="1" x14ac:dyDescent="0.25">
      <c r="A113" t="str">
        <f>IF(Table1[[#This Row],[Included?]], (Table1[[#This Row],[I R]]-Data!S$188)/(Data!S$186-90*Data!S$188)*Data!B$193, "")</f>
        <v/>
      </c>
      <c r="B113" t="str">
        <f>IF(Table1[[#This Row],[Included?]], (Table1[[#This Row],[I HR]]-Data!T$188)/(Data!T$186-90*Data!T$188)*Data!C$193, "")</f>
        <v/>
      </c>
      <c r="C113" t="str">
        <f>IF(Table1[[#This Row],[Included?]], (Table1[[#This Row],[I RBI]]-Data!U$188)/(Data!U$186-90*Data!U$188)*Data!D$193, "")</f>
        <v/>
      </c>
      <c r="D113" t="str">
        <f>IF(Table1[[#This Row],[Included?]], (Table1[[#This Row],[I SB]]-Data!V$188)/(Data!V$186-90*Data!V$188)*Data!E$193, "")</f>
        <v/>
      </c>
      <c r="E113" t="str">
        <f>IF(Table1[[#This Row],[Included?]], (Table1[[#This Row],[I OBP]]-Data!W$188)/(Data!W$186-90*Data!W$188)*Data!F$193, "")</f>
        <v/>
      </c>
      <c r="F113" t="str">
        <f>IF( Table1[[#This Row],[Included?]], SUM(Table5[[#This Row],[Radj]:[OBPAdj]]), "")</f>
        <v/>
      </c>
      <c r="G11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3" t="str">
        <f>IF(Table1[[#This Row],[Included?]], Table5[[#This Row],[TotalAdj]]-Table5[[#This Row],[MinPos]], "")</f>
        <v/>
      </c>
      <c r="I113" t="str">
        <f>IF(Table1[[#This Row],[Included?]], 1+(Data!D$186-Data!B$185)*Table5[[#This Row],[Diff]]/SUM(Table5[Diff]), "")</f>
        <v/>
      </c>
    </row>
    <row r="114" spans="1:9" hidden="1" x14ac:dyDescent="0.25">
      <c r="A114" t="str">
        <f>IF(Table1[[#This Row],[Included?]], (Table1[[#This Row],[I R]]-Data!S$188)/(Data!S$186-90*Data!S$188)*Data!B$193, "")</f>
        <v/>
      </c>
      <c r="B114" t="str">
        <f>IF(Table1[[#This Row],[Included?]], (Table1[[#This Row],[I HR]]-Data!T$188)/(Data!T$186-90*Data!T$188)*Data!C$193, "")</f>
        <v/>
      </c>
      <c r="C114" t="str">
        <f>IF(Table1[[#This Row],[Included?]], (Table1[[#This Row],[I RBI]]-Data!U$188)/(Data!U$186-90*Data!U$188)*Data!D$193, "")</f>
        <v/>
      </c>
      <c r="D114" t="str">
        <f>IF(Table1[[#This Row],[Included?]], (Table1[[#This Row],[I SB]]-Data!V$188)/(Data!V$186-90*Data!V$188)*Data!E$193, "")</f>
        <v/>
      </c>
      <c r="E114" t="str">
        <f>IF(Table1[[#This Row],[Included?]], (Table1[[#This Row],[I OBP]]-Data!W$188)/(Data!W$186-90*Data!W$188)*Data!F$193, "")</f>
        <v/>
      </c>
      <c r="F114" t="str">
        <f>IF( Table1[[#This Row],[Included?]], SUM(Table5[[#This Row],[Radj]:[OBPAdj]]), "")</f>
        <v/>
      </c>
      <c r="G11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4" t="str">
        <f>IF(Table1[[#This Row],[Included?]], Table5[[#This Row],[TotalAdj]]-Table5[[#This Row],[MinPos]], "")</f>
        <v/>
      </c>
      <c r="I114" t="str">
        <f>IF(Table1[[#This Row],[Included?]], 1+(Data!D$186-Data!B$185)*Table5[[#This Row],[Diff]]/SUM(Table5[Diff]), "")</f>
        <v/>
      </c>
    </row>
    <row r="115" spans="1:9" hidden="1" x14ac:dyDescent="0.25">
      <c r="A115" t="str">
        <f>IF(Table1[[#This Row],[Included?]], (Table1[[#This Row],[I R]]-Data!S$188)/(Data!S$186-90*Data!S$188)*Data!B$193, "")</f>
        <v/>
      </c>
      <c r="B115" t="str">
        <f>IF(Table1[[#This Row],[Included?]], (Table1[[#This Row],[I HR]]-Data!T$188)/(Data!T$186-90*Data!T$188)*Data!C$193, "")</f>
        <v/>
      </c>
      <c r="C115" t="str">
        <f>IF(Table1[[#This Row],[Included?]], (Table1[[#This Row],[I RBI]]-Data!U$188)/(Data!U$186-90*Data!U$188)*Data!D$193, "")</f>
        <v/>
      </c>
      <c r="D115" t="str">
        <f>IF(Table1[[#This Row],[Included?]], (Table1[[#This Row],[I SB]]-Data!V$188)/(Data!V$186-90*Data!V$188)*Data!E$193, "")</f>
        <v/>
      </c>
      <c r="E115" t="str">
        <f>IF(Table1[[#This Row],[Included?]], (Table1[[#This Row],[I OBP]]-Data!W$188)/(Data!W$186-90*Data!W$188)*Data!F$193, "")</f>
        <v/>
      </c>
      <c r="F115" t="str">
        <f>IF( Table1[[#This Row],[Included?]], SUM(Table5[[#This Row],[Radj]:[OBPAdj]]), "")</f>
        <v/>
      </c>
      <c r="G11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5" t="str">
        <f>IF(Table1[[#This Row],[Included?]], Table5[[#This Row],[TotalAdj]]-Table5[[#This Row],[MinPos]], "")</f>
        <v/>
      </c>
      <c r="I115" t="str">
        <f>IF(Table1[[#This Row],[Included?]], 1+(Data!D$186-Data!B$185)*Table5[[#This Row],[Diff]]/SUM(Table5[Diff]), "")</f>
        <v/>
      </c>
    </row>
    <row r="116" spans="1:9" hidden="1" x14ac:dyDescent="0.25">
      <c r="A116" t="str">
        <f>IF(Table1[[#This Row],[Included?]], (Table1[[#This Row],[I R]]-Data!S$188)/(Data!S$186-90*Data!S$188)*Data!B$193, "")</f>
        <v/>
      </c>
      <c r="B116" t="str">
        <f>IF(Table1[[#This Row],[Included?]], (Table1[[#This Row],[I HR]]-Data!T$188)/(Data!T$186-90*Data!T$188)*Data!C$193, "")</f>
        <v/>
      </c>
      <c r="C116" t="str">
        <f>IF(Table1[[#This Row],[Included?]], (Table1[[#This Row],[I RBI]]-Data!U$188)/(Data!U$186-90*Data!U$188)*Data!D$193, "")</f>
        <v/>
      </c>
      <c r="D116" t="str">
        <f>IF(Table1[[#This Row],[Included?]], (Table1[[#This Row],[I SB]]-Data!V$188)/(Data!V$186-90*Data!V$188)*Data!E$193, "")</f>
        <v/>
      </c>
      <c r="E116" t="str">
        <f>IF(Table1[[#This Row],[Included?]], (Table1[[#This Row],[I OBP]]-Data!W$188)/(Data!W$186-90*Data!W$188)*Data!F$193, "")</f>
        <v/>
      </c>
      <c r="F116" t="str">
        <f>IF( Table1[[#This Row],[Included?]], SUM(Table5[[#This Row],[Radj]:[OBPAdj]]), "")</f>
        <v/>
      </c>
      <c r="G11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16" t="str">
        <f>IF(Table1[[#This Row],[Included?]], Table5[[#This Row],[TotalAdj]]-Table5[[#This Row],[MinPos]], "")</f>
        <v/>
      </c>
      <c r="I116" t="str">
        <f>IF(Table1[[#This Row],[Included?]], 1+(Data!D$186-Data!B$185)*Table5[[#This Row],[Diff]]/SUM(Table5[Diff]), "")</f>
        <v/>
      </c>
    </row>
    <row r="117" spans="1:9" hidden="1" x14ac:dyDescent="0.25">
      <c r="A117">
        <f>IF(Table1[[#This Row],[Included?]], (Table1[[#This Row],[I R]]-Data!S$188)/(Data!S$186-90*Data!S$188)*Data!B$193, "")</f>
        <v>1.2819967356819322</v>
      </c>
      <c r="B117">
        <f>IF(Table1[[#This Row],[Included?]], (Table1[[#This Row],[I HR]]-Data!T$188)/(Data!T$186-90*Data!T$188)*Data!C$193, "")</f>
        <v>4.0526830176385733</v>
      </c>
      <c r="C117">
        <f>IF(Table1[[#This Row],[Included?]], (Table1[[#This Row],[I RBI]]-Data!U$188)/(Data!U$186-90*Data!U$188)*Data!D$193, "")</f>
        <v>2.8988986348347932</v>
      </c>
      <c r="D117">
        <f>IF(Table1[[#This Row],[Included?]], (Table1[[#This Row],[I SB]]-Data!V$188)/(Data!V$186-90*Data!V$188)*Data!E$193, "")</f>
        <v>5.2185123966942131</v>
      </c>
      <c r="E117">
        <f>IF(Table1[[#This Row],[Included?]], (Table1[[#This Row],[I OBP]]-Data!W$188)/(Data!W$186-90*Data!W$188)*Data!F$193, "")</f>
        <v>3.5654100239664372</v>
      </c>
      <c r="F117">
        <f>IF( Table1[[#This Row],[Included?]], SUM(Table5[[#This Row],[Radj]:[OBPAdj]]), "")</f>
        <v>17.017500808815949</v>
      </c>
      <c r="G117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17">
        <f>IF(Table1[[#This Row],[Included?]], Table5[[#This Row],[TotalAdj]]-Table5[[#This Row],[MinPos]], "")</f>
        <v>2.6884967908426241</v>
      </c>
      <c r="I117">
        <f>IF(Table1[[#This Row],[Included?]], 1+(Data!D$186-Data!B$185)*Table5[[#This Row],[Diff]]/SUM(Table5[Diff]), "")</f>
        <v>9.687045124159777</v>
      </c>
    </row>
    <row r="118" spans="1:9" hidden="1" x14ac:dyDescent="0.25">
      <c r="A118">
        <f>IF(Table1[[#This Row],[Included?]], (Table1[[#This Row],[I R]]-Data!S$188)/(Data!S$186-90*Data!S$188)*Data!B$193, "")</f>
        <v>1.8290267564048517</v>
      </c>
      <c r="B118">
        <f>IF(Table1[[#This Row],[Included?]], (Table1[[#This Row],[I HR]]-Data!T$188)/(Data!T$186-90*Data!T$188)*Data!C$193, "")</f>
        <v>3.5249220458882116</v>
      </c>
      <c r="C118">
        <f>IF(Table1[[#This Row],[Included?]], (Table1[[#This Row],[I RBI]]-Data!U$188)/(Data!U$186-90*Data!U$188)*Data!D$193, "")</f>
        <v>3.7001912550286864</v>
      </c>
      <c r="D118">
        <f>IF(Table1[[#This Row],[Included?]], (Table1[[#This Row],[I SB]]-Data!V$188)/(Data!V$186-90*Data!V$188)*Data!E$193, "")</f>
        <v>4.0046280991735523</v>
      </c>
      <c r="E118">
        <f>IF(Table1[[#This Row],[Included?]], (Table1[[#This Row],[I OBP]]-Data!W$188)/(Data!W$186-90*Data!W$188)*Data!F$193, "")</f>
        <v>2.2625964533582579</v>
      </c>
      <c r="F118">
        <f>IF( Table1[[#This Row],[Included?]], SUM(Table5[[#This Row],[Radj]:[OBPAdj]]), "")</f>
        <v>15.321364609853559</v>
      </c>
      <c r="G118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18">
        <f>IF(Table1[[#This Row],[Included?]], Table5[[#This Row],[TotalAdj]]-Table5[[#This Row],[MinPos]], "")</f>
        <v>2.3817409677724672</v>
      </c>
      <c r="I118">
        <f>IF(Table1[[#This Row],[Included?]], 1+(Data!D$186-Data!B$185)*Table5[[#This Row],[Diff]]/SUM(Table5[Diff]), "")</f>
        <v>8.6958586417410917</v>
      </c>
    </row>
    <row r="119" spans="1:9" hidden="1" x14ac:dyDescent="0.25">
      <c r="A119">
        <f>IF(Table1[[#This Row],[Included?]], (Table1[[#This Row],[I R]]-Data!S$188)/(Data!S$186-90*Data!S$188)*Data!B$193, "")</f>
        <v>1.9733352894789966</v>
      </c>
      <c r="B119">
        <f>IF(Table1[[#This Row],[Included?]], (Table1[[#This Row],[I HR]]-Data!T$188)/(Data!T$186-90*Data!T$188)*Data!C$193, "")</f>
        <v>2.8407874528784856</v>
      </c>
      <c r="C119">
        <f>IF(Table1[[#This Row],[Included?]], (Table1[[#This Row],[I RBI]]-Data!U$188)/(Data!U$186-90*Data!U$188)*Data!D$193, "")</f>
        <v>1.6025852403877852</v>
      </c>
      <c r="D119">
        <f>IF(Table1[[#This Row],[Included?]], (Table1[[#This Row],[I SB]]-Data!V$188)/(Data!V$186-90*Data!V$188)*Data!E$193, "")</f>
        <v>4.4449586776859489</v>
      </c>
      <c r="E119">
        <f>IF(Table1[[#This Row],[Included?]], (Table1[[#This Row],[I OBP]]-Data!W$188)/(Data!W$186-90*Data!W$188)*Data!F$193, "")</f>
        <v>3.668779443118837</v>
      </c>
      <c r="F119">
        <f>IF( Table1[[#This Row],[Included?]], SUM(Table5[[#This Row],[Radj]:[OBPAdj]]), "")</f>
        <v>14.530446103550052</v>
      </c>
      <c r="G11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19">
        <f>IF(Table1[[#This Row],[Included?]], Table5[[#This Row],[TotalAdj]]-Table5[[#This Row],[MinPos]], "")</f>
        <v>0.20144208557672627</v>
      </c>
      <c r="I119">
        <f>IF(Table1[[#This Row],[Included?]], 1+(Data!D$186-Data!B$185)*Table5[[#This Row],[Diff]]/SUM(Table5[Diff]), "")</f>
        <v>1.6508977408008787</v>
      </c>
    </row>
    <row r="120" spans="1:9" hidden="1" x14ac:dyDescent="0.25">
      <c r="A120">
        <f>IF(Table1[[#This Row],[Included?]], (Table1[[#This Row],[I R]]-Data!S$188)/(Data!S$186-90*Data!S$188)*Data!B$193, "")</f>
        <v>1.876010929963875</v>
      </c>
      <c r="B120">
        <f>IF(Table1[[#This Row],[Included?]], (Table1[[#This Row],[I HR]]-Data!T$188)/(Data!T$186-90*Data!T$188)*Data!C$193, "")</f>
        <v>3.4727975054684235</v>
      </c>
      <c r="C120">
        <f>IF(Table1[[#This Row],[Included?]], (Table1[[#This Row],[I RBI]]-Data!U$188)/(Data!U$186-90*Data!U$188)*Data!D$193, "")</f>
        <v>2.3362131504319712</v>
      </c>
      <c r="D120">
        <f>IF(Table1[[#This Row],[Included?]], (Table1[[#This Row],[I SB]]-Data!V$188)/(Data!V$186-90*Data!V$188)*Data!E$193, "")</f>
        <v>0.14280991735537185</v>
      </c>
      <c r="E120">
        <f>IF(Table1[[#This Row],[Included?]], (Table1[[#This Row],[I OBP]]-Data!W$188)/(Data!W$186-90*Data!W$188)*Data!F$193, "")</f>
        <v>3.1829223390093815</v>
      </c>
      <c r="F120">
        <f>IF( Table1[[#This Row],[Included?]], SUM(Table5[[#This Row],[Radj]:[OBPAdj]]), "")</f>
        <v>11.010753842229024</v>
      </c>
      <c r="G12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0">
        <f>IF(Table1[[#This Row],[Included?]], Table5[[#This Row],[TotalAdj]]-Table5[[#This Row],[MinPos]], "")</f>
        <v>0.55535592341461459</v>
      </c>
      <c r="I120">
        <f>IF(Table1[[#This Row],[Included?]], 1+(Data!D$186-Data!B$185)*Table5[[#This Row],[Diff]]/SUM(Table5[Diff]), "")</f>
        <v>2.7944607496295815</v>
      </c>
    </row>
    <row r="121" spans="1:9" hidden="1" x14ac:dyDescent="0.25">
      <c r="A121">
        <f>IF(Table1[[#This Row],[Included?]], (Table1[[#This Row],[I R]]-Data!S$188)/(Data!S$186-90*Data!S$188)*Data!B$193, "")</f>
        <v>2.490161198628257</v>
      </c>
      <c r="B121">
        <f>IF(Table1[[#This Row],[Included?]], (Table1[[#This Row],[I HR]]-Data!T$188)/(Data!T$186-90*Data!T$188)*Data!C$193, "")</f>
        <v>3.6356866942802633</v>
      </c>
      <c r="C121">
        <f>IF(Table1[[#This Row],[Included?]], (Table1[[#This Row],[I RBI]]-Data!U$188)/(Data!U$186-90*Data!U$188)*Data!D$193, "")</f>
        <v>3.272835190925278</v>
      </c>
      <c r="D121">
        <f>IF(Table1[[#This Row],[Included?]], (Table1[[#This Row],[I SB]]-Data!V$188)/(Data!V$186-90*Data!V$188)*Data!E$193, "")</f>
        <v>0.35107438016528913</v>
      </c>
      <c r="E121">
        <f>IF(Table1[[#This Row],[Included?]], (Table1[[#This Row],[I OBP]]-Data!W$188)/(Data!W$186-90*Data!W$188)*Data!F$193, "")</f>
        <v>3.8481646774357934</v>
      </c>
      <c r="F121">
        <f>IF( Table1[[#This Row],[Included?]], SUM(Table5[[#This Row],[Radj]:[OBPAdj]]), "")</f>
        <v>13.597922141434882</v>
      </c>
      <c r="G12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21">
        <f>IF(Table1[[#This Row],[Included?]], Table5[[#This Row],[TotalAdj]]-Table5[[#This Row],[MinPos]], "")</f>
        <v>0.65829849935379059</v>
      </c>
      <c r="I121">
        <f>IF(Table1[[#This Row],[Included?]], 1+(Data!D$186-Data!B$185)*Table5[[#This Row],[Diff]]/SUM(Table5[Diff]), "")</f>
        <v>3.1270878167054494</v>
      </c>
    </row>
    <row r="122" spans="1:9" hidden="1" x14ac:dyDescent="0.25">
      <c r="A122">
        <f>IF(Table1[[#This Row],[Included?]], (Table1[[#This Row],[I R]]-Data!S$188)/(Data!S$186-90*Data!S$188)*Data!B$193, "")</f>
        <v>2.6445377688936214</v>
      </c>
      <c r="B122">
        <f>IF(Table1[[#This Row],[Included?]], (Table1[[#This Row],[I HR]]-Data!T$188)/(Data!T$186-90*Data!T$188)*Data!C$193, "")</f>
        <v>5.0235025829571374</v>
      </c>
      <c r="C122">
        <f>IF(Table1[[#This Row],[Included?]], (Table1[[#This Row],[I RBI]]-Data!U$188)/(Data!U$186-90*Data!U$188)*Data!D$193, "")</f>
        <v>1.9373474906021235</v>
      </c>
      <c r="D122">
        <f>IF(Table1[[#This Row],[Included?]], (Table1[[#This Row],[I SB]]-Data!V$188)/(Data!V$186-90*Data!V$188)*Data!E$193, "")</f>
        <v>0.14876033057851235</v>
      </c>
      <c r="E122">
        <f>IF(Table1[[#This Row],[Included?]], (Table1[[#This Row],[I OBP]]-Data!W$188)/(Data!W$186-90*Data!W$188)*Data!F$193, "")</f>
        <v>3.0803280601463783</v>
      </c>
      <c r="F122">
        <f>IF( Table1[[#This Row],[Included?]], SUM(Table5[[#This Row],[Radj]:[OBPAdj]]), "")</f>
        <v>12.834476233177774</v>
      </c>
      <c r="G122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2">
        <f>IF(Table1[[#This Row],[Included?]], Table5[[#This Row],[TotalAdj]]-Table5[[#This Row],[MinPos]], "")</f>
        <v>2.3790783143633654</v>
      </c>
      <c r="I122">
        <f>IF(Table1[[#This Row],[Included?]], 1+(Data!D$186-Data!B$185)*Table5[[#This Row],[Diff]]/SUM(Table5[Diff]), "")</f>
        <v>8.687255101504908</v>
      </c>
    </row>
    <row r="123" spans="1:9" hidden="1" x14ac:dyDescent="0.25">
      <c r="A123">
        <f>IF(Table1[[#This Row],[Included?]], (Table1[[#This Row],[I R]]-Data!S$188)/(Data!S$186-90*Data!S$188)*Data!B$193, "")</f>
        <v>2.681453905261423</v>
      </c>
      <c r="B123">
        <f>IF(Table1[[#This Row],[Included?]], (Table1[[#This Row],[I HR]]-Data!T$188)/(Data!T$186-90*Data!T$188)*Data!C$193, "")</f>
        <v>0.80141480895425177</v>
      </c>
      <c r="C123">
        <f>IF(Table1[[#This Row],[Included?]], (Table1[[#This Row],[I RBI]]-Data!U$188)/(Data!U$186-90*Data!U$188)*Data!D$193, "")</f>
        <v>0.53063377959506752</v>
      </c>
      <c r="D123">
        <f>IF(Table1[[#This Row],[Included?]], (Table1[[#This Row],[I SB]]-Data!V$188)/(Data!V$186-90*Data!V$188)*Data!E$193, "")</f>
        <v>8.4198347107437979</v>
      </c>
      <c r="E123">
        <f>IF(Table1[[#This Row],[Included?]], (Table1[[#This Row],[I OBP]]-Data!W$188)/(Data!W$186-90*Data!W$188)*Data!F$193, "")</f>
        <v>2.5190123543612803</v>
      </c>
      <c r="F123">
        <f>IF( Table1[[#This Row],[Included?]], SUM(Table5[[#This Row],[Radj]:[OBPAdj]]), "")</f>
        <v>14.95234955891582</v>
      </c>
      <c r="G123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14.329004017973325</v>
      </c>
      <c r="H123">
        <f>IF(Table1[[#This Row],[Included?]], Table5[[#This Row],[TotalAdj]]-Table5[[#This Row],[MinPos]], "")</f>
        <v>0.62334554094249484</v>
      </c>
      <c r="I123">
        <f>IF(Table1[[#This Row],[Included?]], 1+(Data!D$186-Data!B$185)*Table5[[#This Row],[Diff]]/SUM(Table5[Diff]), "")</f>
        <v>3.0141481516941178</v>
      </c>
    </row>
    <row r="124" spans="1:9" hidden="1" x14ac:dyDescent="0.25">
      <c r="A124" t="str">
        <f>IF(Table1[[#This Row],[Included?]], (Table1[[#This Row],[I R]]-Data!S$188)/(Data!S$186-90*Data!S$188)*Data!B$193, "")</f>
        <v/>
      </c>
      <c r="B124" t="str">
        <f>IF(Table1[[#This Row],[Included?]], (Table1[[#This Row],[I HR]]-Data!T$188)/(Data!T$186-90*Data!T$188)*Data!C$193, "")</f>
        <v/>
      </c>
      <c r="C124" t="str">
        <f>IF(Table1[[#This Row],[Included?]], (Table1[[#This Row],[I RBI]]-Data!U$188)/(Data!U$186-90*Data!U$188)*Data!D$193, "")</f>
        <v/>
      </c>
      <c r="D124" t="str">
        <f>IF(Table1[[#This Row],[Included?]], (Table1[[#This Row],[I SB]]-Data!V$188)/(Data!V$186-90*Data!V$188)*Data!E$193, "")</f>
        <v/>
      </c>
      <c r="E124" t="str">
        <f>IF(Table1[[#This Row],[Included?]], (Table1[[#This Row],[I OBP]]-Data!W$188)/(Data!W$186-90*Data!W$188)*Data!F$193, "")</f>
        <v/>
      </c>
      <c r="F124" t="str">
        <f>IF( Table1[[#This Row],[Included?]], SUM(Table5[[#This Row],[Radj]:[OBPAdj]]), "")</f>
        <v/>
      </c>
      <c r="G12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4" t="str">
        <f>IF(Table1[[#This Row],[Included?]], Table5[[#This Row],[TotalAdj]]-Table5[[#This Row],[MinPos]], "")</f>
        <v/>
      </c>
      <c r="I124" t="str">
        <f>IF(Table1[[#This Row],[Included?]], 1+(Data!D$186-Data!B$185)*Table5[[#This Row],[Diff]]/SUM(Table5[Diff]), "")</f>
        <v/>
      </c>
    </row>
    <row r="125" spans="1:9" hidden="1" x14ac:dyDescent="0.25">
      <c r="A125">
        <f>IF(Table1[[#This Row],[Included?]], (Table1[[#This Row],[I R]]-Data!S$188)/(Data!S$186-90*Data!S$188)*Data!B$193, "")</f>
        <v>2.9365108474389805</v>
      </c>
      <c r="B125">
        <f>IF(Table1[[#This Row],[Included?]], (Table1[[#This Row],[I HR]]-Data!T$188)/(Data!T$186-90*Data!T$188)*Data!C$193, "")</f>
        <v>1.5246428072788201</v>
      </c>
      <c r="C125">
        <f>IF(Table1[[#This Row],[Included?]], (Table1[[#This Row],[I RBI]]-Data!U$188)/(Data!U$186-90*Data!U$188)*Data!D$193, "")</f>
        <v>0.63747279562092007</v>
      </c>
      <c r="D125">
        <f>IF(Table1[[#This Row],[Included?]], (Table1[[#This Row],[I SB]]-Data!V$188)/(Data!V$186-90*Data!V$188)*Data!E$193, "")</f>
        <v>6.3312396694214854</v>
      </c>
      <c r="E125">
        <f>IF(Table1[[#This Row],[Included?]], (Table1[[#This Row],[I OBP]]-Data!W$188)/(Data!W$186-90*Data!W$188)*Data!F$193, "")</f>
        <v>2.0816707091630584</v>
      </c>
      <c r="F125">
        <f>IF( Table1[[#This Row],[Included?]], SUM(Table5[[#This Row],[Radj]:[OBPAdj]]), "")</f>
        <v>13.511536828923264</v>
      </c>
      <c r="G125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12.939623642081092</v>
      </c>
      <c r="H125">
        <f>IF(Table1[[#This Row],[Included?]], Table5[[#This Row],[TotalAdj]]-Table5[[#This Row],[MinPos]], "")</f>
        <v>0.57191318684217229</v>
      </c>
      <c r="I125">
        <f>IF(Table1[[#This Row],[Included?]], 1+(Data!D$186-Data!B$185)*Table5[[#This Row],[Diff]]/SUM(Table5[Diff]), "")</f>
        <v>2.8479604209022829</v>
      </c>
    </row>
    <row r="126" spans="1:9" hidden="1" x14ac:dyDescent="0.25">
      <c r="A126" t="str">
        <f>IF(Table1[[#This Row],[Included?]], (Table1[[#This Row],[I R]]-Data!S$188)/(Data!S$186-90*Data!S$188)*Data!B$193, "")</f>
        <v/>
      </c>
      <c r="B126" t="str">
        <f>IF(Table1[[#This Row],[Included?]], (Table1[[#This Row],[I HR]]-Data!T$188)/(Data!T$186-90*Data!T$188)*Data!C$193, "")</f>
        <v/>
      </c>
      <c r="C126" t="str">
        <f>IF(Table1[[#This Row],[Included?]], (Table1[[#This Row],[I RBI]]-Data!U$188)/(Data!U$186-90*Data!U$188)*Data!D$193, "")</f>
        <v/>
      </c>
      <c r="D126" t="str">
        <f>IF(Table1[[#This Row],[Included?]], (Table1[[#This Row],[I SB]]-Data!V$188)/(Data!V$186-90*Data!V$188)*Data!E$193, "")</f>
        <v/>
      </c>
      <c r="E126" t="str">
        <f>IF(Table1[[#This Row],[Included?]], (Table1[[#This Row],[I OBP]]-Data!W$188)/(Data!W$186-90*Data!W$188)*Data!F$193, "")</f>
        <v/>
      </c>
      <c r="F126" t="str">
        <f>IF( Table1[[#This Row],[Included?]], SUM(Table5[[#This Row],[Radj]:[OBPAdj]]), "")</f>
        <v/>
      </c>
      <c r="G12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6" t="str">
        <f>IF(Table1[[#This Row],[Included?]], Table5[[#This Row],[TotalAdj]]-Table5[[#This Row],[MinPos]], "")</f>
        <v/>
      </c>
      <c r="I126" t="str">
        <f>IF(Table1[[#This Row],[Included?]], 1+(Data!D$186-Data!B$185)*Table5[[#This Row],[Diff]]/SUM(Table5[Diff]), "")</f>
        <v/>
      </c>
    </row>
    <row r="127" spans="1:9" hidden="1" x14ac:dyDescent="0.25">
      <c r="A127" t="str">
        <f>IF(Table1[[#This Row],[Included?]], (Table1[[#This Row],[I R]]-Data!S$188)/(Data!S$186-90*Data!S$188)*Data!B$193, "")</f>
        <v/>
      </c>
      <c r="B127" t="str">
        <f>IF(Table1[[#This Row],[Included?]], (Table1[[#This Row],[I HR]]-Data!T$188)/(Data!T$186-90*Data!T$188)*Data!C$193, "")</f>
        <v/>
      </c>
      <c r="C127" t="str">
        <f>IF(Table1[[#This Row],[Included?]], (Table1[[#This Row],[I RBI]]-Data!U$188)/(Data!U$186-90*Data!U$188)*Data!D$193, "")</f>
        <v/>
      </c>
      <c r="D127" t="str">
        <f>IF(Table1[[#This Row],[Included?]], (Table1[[#This Row],[I SB]]-Data!V$188)/(Data!V$186-90*Data!V$188)*Data!E$193, "")</f>
        <v/>
      </c>
      <c r="E127" t="str">
        <f>IF(Table1[[#This Row],[Included?]], (Table1[[#This Row],[I OBP]]-Data!W$188)/(Data!W$186-90*Data!W$188)*Data!F$193, "")</f>
        <v/>
      </c>
      <c r="F127" t="str">
        <f>IF( Table1[[#This Row],[Included?]], SUM(Table5[[#This Row],[Radj]:[OBPAdj]]), "")</f>
        <v/>
      </c>
      <c r="G12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7" t="str">
        <f>IF(Table1[[#This Row],[Included?]], Table5[[#This Row],[TotalAdj]]-Table5[[#This Row],[MinPos]], "")</f>
        <v/>
      </c>
      <c r="I127" t="str">
        <f>IF(Table1[[#This Row],[Included?]], 1+(Data!D$186-Data!B$185)*Table5[[#This Row],[Diff]]/SUM(Table5[Diff]), "")</f>
        <v/>
      </c>
    </row>
    <row r="128" spans="1:9" hidden="1" x14ac:dyDescent="0.25">
      <c r="A128" t="str">
        <f>IF(Table1[[#This Row],[Included?]], (Table1[[#This Row],[I R]]-Data!S$188)/(Data!S$186-90*Data!S$188)*Data!B$193, "")</f>
        <v/>
      </c>
      <c r="B128" t="str">
        <f>IF(Table1[[#This Row],[Included?]], (Table1[[#This Row],[I HR]]-Data!T$188)/(Data!T$186-90*Data!T$188)*Data!C$193, "")</f>
        <v/>
      </c>
      <c r="C128" t="str">
        <f>IF(Table1[[#This Row],[Included?]], (Table1[[#This Row],[I RBI]]-Data!U$188)/(Data!U$186-90*Data!U$188)*Data!D$193, "")</f>
        <v/>
      </c>
      <c r="D128" t="str">
        <f>IF(Table1[[#This Row],[Included?]], (Table1[[#This Row],[I SB]]-Data!V$188)/(Data!V$186-90*Data!V$188)*Data!E$193, "")</f>
        <v/>
      </c>
      <c r="E128" t="str">
        <f>IF(Table1[[#This Row],[Included?]], (Table1[[#This Row],[I OBP]]-Data!W$188)/(Data!W$186-90*Data!W$188)*Data!F$193, "")</f>
        <v/>
      </c>
      <c r="F128" t="str">
        <f>IF( Table1[[#This Row],[Included?]], SUM(Table5[[#This Row],[Radj]:[OBPAdj]]), "")</f>
        <v/>
      </c>
      <c r="G12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28" t="str">
        <f>IF(Table1[[#This Row],[Included?]], Table5[[#This Row],[TotalAdj]]-Table5[[#This Row],[MinPos]], "")</f>
        <v/>
      </c>
      <c r="I128" t="str">
        <f>IF(Table1[[#This Row],[Included?]], 1+(Data!D$186-Data!B$185)*Table5[[#This Row],[Diff]]/SUM(Table5[Diff]), "")</f>
        <v/>
      </c>
    </row>
    <row r="129" spans="1:9" hidden="1" x14ac:dyDescent="0.25">
      <c r="A129">
        <f>IF(Table1[[#This Row],[Included?]], (Table1[[#This Row],[I R]]-Data!S$188)/(Data!S$186-90*Data!S$188)*Data!B$193, "")</f>
        <v>3.0875314053072724</v>
      </c>
      <c r="B129">
        <f>IF(Table1[[#This Row],[Included?]], (Table1[[#This Row],[I HR]]-Data!T$188)/(Data!T$186-90*Data!T$188)*Data!C$193, "")</f>
        <v>2.7169916693814868</v>
      </c>
      <c r="C129">
        <f>IF(Table1[[#This Row],[Included?]], (Table1[[#This Row],[I RBI]]-Data!U$188)/(Data!U$186-90*Data!U$188)*Data!D$193, "")</f>
        <v>1.0861966629294986</v>
      </c>
      <c r="D129">
        <f>IF(Table1[[#This Row],[Included?]], (Table1[[#This Row],[I SB]]-Data!V$188)/(Data!V$186-90*Data!V$188)*Data!E$193, "")</f>
        <v>0.40462809917355358</v>
      </c>
      <c r="E129">
        <f>IF(Table1[[#This Row],[Included?]], (Table1[[#This Row],[I OBP]]-Data!W$188)/(Data!W$186-90*Data!W$188)*Data!F$193, "")</f>
        <v>4.5070516005943846</v>
      </c>
      <c r="F129">
        <f>IF( Table1[[#This Row],[Included?]], SUM(Table5[[#This Row],[Radj]:[OBPAdj]]), "")</f>
        <v>11.802399437386196</v>
      </c>
      <c r="G129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29">
        <f>IF(Table1[[#This Row],[Included?]], Table5[[#This Row],[TotalAdj]]-Table5[[#This Row],[MinPos]], "")</f>
        <v>1.347001518571787</v>
      </c>
      <c r="I129">
        <f>IF(Table1[[#This Row],[Included?]], 1+(Data!D$186-Data!B$185)*Table5[[#This Row],[Diff]]/SUM(Table5[Diff]), "")</f>
        <v>5.3524184272793587</v>
      </c>
    </row>
    <row r="130" spans="1:9" hidden="1" x14ac:dyDescent="0.25">
      <c r="A130" t="str">
        <f>IF(Table1[[#This Row],[Included?]], (Table1[[#This Row],[I R]]-Data!S$188)/(Data!S$186-90*Data!S$188)*Data!B$193, "")</f>
        <v/>
      </c>
      <c r="B130" t="str">
        <f>IF(Table1[[#This Row],[Included?]], (Table1[[#This Row],[I HR]]-Data!T$188)/(Data!T$186-90*Data!T$188)*Data!C$193, "")</f>
        <v/>
      </c>
      <c r="C130" t="str">
        <f>IF(Table1[[#This Row],[Included?]], (Table1[[#This Row],[I RBI]]-Data!U$188)/(Data!U$186-90*Data!U$188)*Data!D$193, "")</f>
        <v/>
      </c>
      <c r="D130" t="str">
        <f>IF(Table1[[#This Row],[Included?]], (Table1[[#This Row],[I SB]]-Data!V$188)/(Data!V$186-90*Data!V$188)*Data!E$193, "")</f>
        <v/>
      </c>
      <c r="E130" t="str">
        <f>IF(Table1[[#This Row],[Included?]], (Table1[[#This Row],[I OBP]]-Data!W$188)/(Data!W$186-90*Data!W$188)*Data!F$193, "")</f>
        <v/>
      </c>
      <c r="F130" t="str">
        <f>IF( Table1[[#This Row],[Included?]], SUM(Table5[[#This Row],[Radj]:[OBPAdj]]), "")</f>
        <v/>
      </c>
      <c r="G13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0" t="str">
        <f>IF(Table1[[#This Row],[Included?]], Table5[[#This Row],[TotalAdj]]-Table5[[#This Row],[MinPos]], "")</f>
        <v/>
      </c>
      <c r="I130" t="str">
        <f>IF(Table1[[#This Row],[Included?]], 1+(Data!D$186-Data!B$185)*Table5[[#This Row],[Diff]]/SUM(Table5[Diff]), "")</f>
        <v/>
      </c>
    </row>
    <row r="131" spans="1:9" hidden="1" x14ac:dyDescent="0.25">
      <c r="A131" t="str">
        <f>IF(Table1[[#This Row],[Included?]], (Table1[[#This Row],[I R]]-Data!S$188)/(Data!S$186-90*Data!S$188)*Data!B$193, "")</f>
        <v/>
      </c>
      <c r="B131" t="str">
        <f>IF(Table1[[#This Row],[Included?]], (Table1[[#This Row],[I HR]]-Data!T$188)/(Data!T$186-90*Data!T$188)*Data!C$193, "")</f>
        <v/>
      </c>
      <c r="C131" t="str">
        <f>IF(Table1[[#This Row],[Included?]], (Table1[[#This Row],[I RBI]]-Data!U$188)/(Data!U$186-90*Data!U$188)*Data!D$193, "")</f>
        <v/>
      </c>
      <c r="D131" t="str">
        <f>IF(Table1[[#This Row],[Included?]], (Table1[[#This Row],[I SB]]-Data!V$188)/(Data!V$186-90*Data!V$188)*Data!E$193, "")</f>
        <v/>
      </c>
      <c r="E131" t="str">
        <f>IF(Table1[[#This Row],[Included?]], (Table1[[#This Row],[I OBP]]-Data!W$188)/(Data!W$186-90*Data!W$188)*Data!F$193, "")</f>
        <v/>
      </c>
      <c r="F131" t="str">
        <f>IF( Table1[[#This Row],[Included?]], SUM(Table5[[#This Row],[Radj]:[OBPAdj]]), "")</f>
        <v/>
      </c>
      <c r="G13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1" t="str">
        <f>IF(Table1[[#This Row],[Included?]], Table5[[#This Row],[TotalAdj]]-Table5[[#This Row],[MinPos]], "")</f>
        <v/>
      </c>
      <c r="I131" t="str">
        <f>IF(Table1[[#This Row],[Included?]], 1+(Data!D$186-Data!B$185)*Table5[[#This Row],[Diff]]/SUM(Table5[Diff]), "")</f>
        <v/>
      </c>
    </row>
    <row r="132" spans="1:9" hidden="1" x14ac:dyDescent="0.25">
      <c r="A132" t="str">
        <f>IF(Table1[[#This Row],[Included?]], (Table1[[#This Row],[I R]]-Data!S$188)/(Data!S$186-90*Data!S$188)*Data!B$193, "")</f>
        <v/>
      </c>
      <c r="B132" t="str">
        <f>IF(Table1[[#This Row],[Included?]], (Table1[[#This Row],[I HR]]-Data!T$188)/(Data!T$186-90*Data!T$188)*Data!C$193, "")</f>
        <v/>
      </c>
      <c r="C132" t="str">
        <f>IF(Table1[[#This Row],[Included?]], (Table1[[#This Row],[I RBI]]-Data!U$188)/(Data!U$186-90*Data!U$188)*Data!D$193, "")</f>
        <v/>
      </c>
      <c r="D132" t="str">
        <f>IF(Table1[[#This Row],[Included?]], (Table1[[#This Row],[I SB]]-Data!V$188)/(Data!V$186-90*Data!V$188)*Data!E$193, "")</f>
        <v/>
      </c>
      <c r="E132" t="str">
        <f>IF(Table1[[#This Row],[Included?]], (Table1[[#This Row],[I OBP]]-Data!W$188)/(Data!W$186-90*Data!W$188)*Data!F$193, "")</f>
        <v/>
      </c>
      <c r="F132" t="str">
        <f>IF( Table1[[#This Row],[Included?]], SUM(Table5[[#This Row],[Radj]:[OBPAdj]]), "")</f>
        <v/>
      </c>
      <c r="G13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2" t="str">
        <f>IF(Table1[[#This Row],[Included?]], Table5[[#This Row],[TotalAdj]]-Table5[[#This Row],[MinPos]], "")</f>
        <v/>
      </c>
      <c r="I132" t="str">
        <f>IF(Table1[[#This Row],[Included?]], 1+(Data!D$186-Data!B$185)*Table5[[#This Row],[Diff]]/SUM(Table5[Diff]), "")</f>
        <v/>
      </c>
    </row>
    <row r="133" spans="1:9" hidden="1" x14ac:dyDescent="0.25">
      <c r="A133" t="str">
        <f>IF(Table1[[#This Row],[Included?]], (Table1[[#This Row],[I R]]-Data!S$188)/(Data!S$186-90*Data!S$188)*Data!B$193, "")</f>
        <v/>
      </c>
      <c r="B133" t="str">
        <f>IF(Table1[[#This Row],[Included?]], (Table1[[#This Row],[I HR]]-Data!T$188)/(Data!T$186-90*Data!T$188)*Data!C$193, "")</f>
        <v/>
      </c>
      <c r="C133" t="str">
        <f>IF(Table1[[#This Row],[Included?]], (Table1[[#This Row],[I RBI]]-Data!U$188)/(Data!U$186-90*Data!U$188)*Data!D$193, "")</f>
        <v/>
      </c>
      <c r="D133" t="str">
        <f>IF(Table1[[#This Row],[Included?]], (Table1[[#This Row],[I SB]]-Data!V$188)/(Data!V$186-90*Data!V$188)*Data!E$193, "")</f>
        <v/>
      </c>
      <c r="E133" t="str">
        <f>IF(Table1[[#This Row],[Included?]], (Table1[[#This Row],[I OBP]]-Data!W$188)/(Data!W$186-90*Data!W$188)*Data!F$193, "")</f>
        <v/>
      </c>
      <c r="F133" t="str">
        <f>IF( Table1[[#This Row],[Included?]], SUM(Table5[[#This Row],[Radj]:[OBPAdj]]), "")</f>
        <v/>
      </c>
      <c r="G13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3" t="str">
        <f>IF(Table1[[#This Row],[Included?]], Table5[[#This Row],[TotalAdj]]-Table5[[#This Row],[MinPos]], "")</f>
        <v/>
      </c>
      <c r="I133" t="str">
        <f>IF(Table1[[#This Row],[Included?]], 1+(Data!D$186-Data!B$185)*Table5[[#This Row],[Diff]]/SUM(Table5[Diff]), "")</f>
        <v/>
      </c>
    </row>
    <row r="134" spans="1:9" hidden="1" x14ac:dyDescent="0.25">
      <c r="A134" t="str">
        <f>IF(Table1[[#This Row],[Included?]], (Table1[[#This Row],[I R]]-Data!S$188)/(Data!S$186-90*Data!S$188)*Data!B$193, "")</f>
        <v/>
      </c>
      <c r="B134" t="str">
        <f>IF(Table1[[#This Row],[Included?]], (Table1[[#This Row],[I HR]]-Data!T$188)/(Data!T$186-90*Data!T$188)*Data!C$193, "")</f>
        <v/>
      </c>
      <c r="C134" t="str">
        <f>IF(Table1[[#This Row],[Included?]], (Table1[[#This Row],[I RBI]]-Data!U$188)/(Data!U$186-90*Data!U$188)*Data!D$193, "")</f>
        <v/>
      </c>
      <c r="D134" t="str">
        <f>IF(Table1[[#This Row],[Included?]], (Table1[[#This Row],[I SB]]-Data!V$188)/(Data!V$186-90*Data!V$188)*Data!E$193, "")</f>
        <v/>
      </c>
      <c r="E134" t="str">
        <f>IF(Table1[[#This Row],[Included?]], (Table1[[#This Row],[I OBP]]-Data!W$188)/(Data!W$186-90*Data!W$188)*Data!F$193, "")</f>
        <v/>
      </c>
      <c r="F134" t="str">
        <f>IF( Table1[[#This Row],[Included?]], SUM(Table5[[#This Row],[Radj]:[OBPAdj]]), "")</f>
        <v/>
      </c>
      <c r="G13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4" t="str">
        <f>IF(Table1[[#This Row],[Included?]], Table5[[#This Row],[TotalAdj]]-Table5[[#This Row],[MinPos]], "")</f>
        <v/>
      </c>
      <c r="I134" t="str">
        <f>IF(Table1[[#This Row],[Included?]], 1+(Data!D$186-Data!B$185)*Table5[[#This Row],[Diff]]/SUM(Table5[Diff]), "")</f>
        <v/>
      </c>
    </row>
    <row r="135" spans="1:9" hidden="1" x14ac:dyDescent="0.25">
      <c r="A135" t="str">
        <f>IF(Table1[[#This Row],[Included?]], (Table1[[#This Row],[I R]]-Data!S$188)/(Data!S$186-90*Data!S$188)*Data!B$193, "")</f>
        <v/>
      </c>
      <c r="B135" t="str">
        <f>IF(Table1[[#This Row],[Included?]], (Table1[[#This Row],[I HR]]-Data!T$188)/(Data!T$186-90*Data!T$188)*Data!C$193, "")</f>
        <v/>
      </c>
      <c r="C135" t="str">
        <f>IF(Table1[[#This Row],[Included?]], (Table1[[#This Row],[I RBI]]-Data!U$188)/(Data!U$186-90*Data!U$188)*Data!D$193, "")</f>
        <v/>
      </c>
      <c r="D135" t="str">
        <f>IF(Table1[[#This Row],[Included?]], (Table1[[#This Row],[I SB]]-Data!V$188)/(Data!V$186-90*Data!V$188)*Data!E$193, "")</f>
        <v/>
      </c>
      <c r="E135" t="str">
        <f>IF(Table1[[#This Row],[Included?]], (Table1[[#This Row],[I OBP]]-Data!W$188)/(Data!W$186-90*Data!W$188)*Data!F$193, "")</f>
        <v/>
      </c>
      <c r="F135" t="str">
        <f>IF( Table1[[#This Row],[Included?]], SUM(Table5[[#This Row],[Radj]:[OBPAdj]]), "")</f>
        <v/>
      </c>
      <c r="G13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5" t="str">
        <f>IF(Table1[[#This Row],[Included?]], Table5[[#This Row],[TotalAdj]]-Table5[[#This Row],[MinPos]], "")</f>
        <v/>
      </c>
      <c r="I135" t="str">
        <f>IF(Table1[[#This Row],[Included?]], 1+(Data!D$186-Data!B$185)*Table5[[#This Row],[Diff]]/SUM(Table5[Diff]), "")</f>
        <v/>
      </c>
    </row>
    <row r="136" spans="1:9" hidden="1" x14ac:dyDescent="0.25">
      <c r="A136" t="str">
        <f>IF(Table1[[#This Row],[Included?]], (Table1[[#This Row],[I R]]-Data!S$188)/(Data!S$186-90*Data!S$188)*Data!B$193, "")</f>
        <v/>
      </c>
      <c r="B136" t="str">
        <f>IF(Table1[[#This Row],[Included?]], (Table1[[#This Row],[I HR]]-Data!T$188)/(Data!T$186-90*Data!T$188)*Data!C$193, "")</f>
        <v/>
      </c>
      <c r="C136" t="str">
        <f>IF(Table1[[#This Row],[Included?]], (Table1[[#This Row],[I RBI]]-Data!U$188)/(Data!U$186-90*Data!U$188)*Data!D$193, "")</f>
        <v/>
      </c>
      <c r="D136" t="str">
        <f>IF(Table1[[#This Row],[Included?]], (Table1[[#This Row],[I SB]]-Data!V$188)/(Data!V$186-90*Data!V$188)*Data!E$193, "")</f>
        <v/>
      </c>
      <c r="E136" t="str">
        <f>IF(Table1[[#This Row],[Included?]], (Table1[[#This Row],[I OBP]]-Data!W$188)/(Data!W$186-90*Data!W$188)*Data!F$193, "")</f>
        <v/>
      </c>
      <c r="F136" t="str">
        <f>IF( Table1[[#This Row],[Included?]], SUM(Table5[[#This Row],[Radj]:[OBPAdj]]), "")</f>
        <v/>
      </c>
      <c r="G13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6" t="str">
        <f>IF(Table1[[#This Row],[Included?]], Table5[[#This Row],[TotalAdj]]-Table5[[#This Row],[MinPos]], "")</f>
        <v/>
      </c>
      <c r="I136" t="str">
        <f>IF(Table1[[#This Row],[Included?]], 1+(Data!D$186-Data!B$185)*Table5[[#This Row],[Diff]]/SUM(Table5[Diff]), "")</f>
        <v/>
      </c>
    </row>
    <row r="137" spans="1:9" hidden="1" x14ac:dyDescent="0.25">
      <c r="A137" t="str">
        <f>IF(Table1[[#This Row],[Included?]], (Table1[[#This Row],[I R]]-Data!S$188)/(Data!S$186-90*Data!S$188)*Data!B$193, "")</f>
        <v/>
      </c>
      <c r="B137" t="str">
        <f>IF(Table1[[#This Row],[Included?]], (Table1[[#This Row],[I HR]]-Data!T$188)/(Data!T$186-90*Data!T$188)*Data!C$193, "")</f>
        <v/>
      </c>
      <c r="C137" t="str">
        <f>IF(Table1[[#This Row],[Included?]], (Table1[[#This Row],[I RBI]]-Data!U$188)/(Data!U$186-90*Data!U$188)*Data!D$193, "")</f>
        <v/>
      </c>
      <c r="D137" t="str">
        <f>IF(Table1[[#This Row],[Included?]], (Table1[[#This Row],[I SB]]-Data!V$188)/(Data!V$186-90*Data!V$188)*Data!E$193, "")</f>
        <v/>
      </c>
      <c r="E137" t="str">
        <f>IF(Table1[[#This Row],[Included?]], (Table1[[#This Row],[I OBP]]-Data!W$188)/(Data!W$186-90*Data!W$188)*Data!F$193, "")</f>
        <v/>
      </c>
      <c r="F137" t="str">
        <f>IF( Table1[[#This Row],[Included?]], SUM(Table5[[#This Row],[Radj]:[OBPAdj]]), "")</f>
        <v/>
      </c>
      <c r="G13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7" t="str">
        <f>IF(Table1[[#This Row],[Included?]], Table5[[#This Row],[TotalAdj]]-Table5[[#This Row],[MinPos]], "")</f>
        <v/>
      </c>
      <c r="I137" t="str">
        <f>IF(Table1[[#This Row],[Included?]], 1+(Data!D$186-Data!B$185)*Table5[[#This Row],[Diff]]/SUM(Table5[Diff]), "")</f>
        <v/>
      </c>
    </row>
    <row r="138" spans="1:9" hidden="1" x14ac:dyDescent="0.25">
      <c r="A138" t="str">
        <f>IF(Table1[[#This Row],[Included?]], (Table1[[#This Row],[I R]]-Data!S$188)/(Data!S$186-90*Data!S$188)*Data!B$193, "")</f>
        <v/>
      </c>
      <c r="B138" t="str">
        <f>IF(Table1[[#This Row],[Included?]], (Table1[[#This Row],[I HR]]-Data!T$188)/(Data!T$186-90*Data!T$188)*Data!C$193, "")</f>
        <v/>
      </c>
      <c r="C138" t="str">
        <f>IF(Table1[[#This Row],[Included?]], (Table1[[#This Row],[I RBI]]-Data!U$188)/(Data!U$186-90*Data!U$188)*Data!D$193, "")</f>
        <v/>
      </c>
      <c r="D138" t="str">
        <f>IF(Table1[[#This Row],[Included?]], (Table1[[#This Row],[I SB]]-Data!V$188)/(Data!V$186-90*Data!V$188)*Data!E$193, "")</f>
        <v/>
      </c>
      <c r="E138" t="str">
        <f>IF(Table1[[#This Row],[Included?]], (Table1[[#This Row],[I OBP]]-Data!W$188)/(Data!W$186-90*Data!W$188)*Data!F$193, "")</f>
        <v/>
      </c>
      <c r="F138" t="str">
        <f>IF( Table1[[#This Row],[Included?]], SUM(Table5[[#This Row],[Radj]:[OBPAdj]]), "")</f>
        <v/>
      </c>
      <c r="G13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8" t="str">
        <f>IF(Table1[[#This Row],[Included?]], Table5[[#This Row],[TotalAdj]]-Table5[[#This Row],[MinPos]], "")</f>
        <v/>
      </c>
      <c r="I138" t="str">
        <f>IF(Table1[[#This Row],[Included?]], 1+(Data!D$186-Data!B$185)*Table5[[#This Row],[Diff]]/SUM(Table5[Diff]), "")</f>
        <v/>
      </c>
    </row>
    <row r="139" spans="1:9" hidden="1" x14ac:dyDescent="0.25">
      <c r="A139" t="str">
        <f>IF(Table1[[#This Row],[Included?]], (Table1[[#This Row],[I R]]-Data!S$188)/(Data!S$186-90*Data!S$188)*Data!B$193, "")</f>
        <v/>
      </c>
      <c r="B139" t="str">
        <f>IF(Table1[[#This Row],[Included?]], (Table1[[#This Row],[I HR]]-Data!T$188)/(Data!T$186-90*Data!T$188)*Data!C$193, "")</f>
        <v/>
      </c>
      <c r="C139" t="str">
        <f>IF(Table1[[#This Row],[Included?]], (Table1[[#This Row],[I RBI]]-Data!U$188)/(Data!U$186-90*Data!U$188)*Data!D$193, "")</f>
        <v/>
      </c>
      <c r="D139" t="str">
        <f>IF(Table1[[#This Row],[Included?]], (Table1[[#This Row],[I SB]]-Data!V$188)/(Data!V$186-90*Data!V$188)*Data!E$193, "")</f>
        <v/>
      </c>
      <c r="E139" t="str">
        <f>IF(Table1[[#This Row],[Included?]], (Table1[[#This Row],[I OBP]]-Data!W$188)/(Data!W$186-90*Data!W$188)*Data!F$193, "")</f>
        <v/>
      </c>
      <c r="F139" t="str">
        <f>IF( Table1[[#This Row],[Included?]], SUM(Table5[[#This Row],[Radj]:[OBPAdj]]), "")</f>
        <v/>
      </c>
      <c r="G13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39" t="str">
        <f>IF(Table1[[#This Row],[Included?]], Table5[[#This Row],[TotalAdj]]-Table5[[#This Row],[MinPos]], "")</f>
        <v/>
      </c>
      <c r="I139" t="str">
        <f>IF(Table1[[#This Row],[Included?]], 1+(Data!D$186-Data!B$185)*Table5[[#This Row],[Diff]]/SUM(Table5[Diff]), "")</f>
        <v/>
      </c>
    </row>
    <row r="140" spans="1:9" hidden="1" x14ac:dyDescent="0.25">
      <c r="A140">
        <f>IF(Table1[[#This Row],[Included?]], (Table1[[#This Row],[I R]]-Data!S$188)/(Data!S$186-90*Data!S$188)*Data!B$193, "")</f>
        <v>0.32553320251609347</v>
      </c>
      <c r="B140">
        <f>IF(Table1[[#This Row],[Included?]], (Table1[[#This Row],[I HR]]-Data!T$188)/(Data!T$186-90*Data!T$188)*Data!C$193, "")</f>
        <v>4.5022571787592502</v>
      </c>
      <c r="C140">
        <f>IF(Table1[[#This Row],[Included?]], (Table1[[#This Row],[I RBI]]-Data!U$188)/(Data!U$186-90*Data!U$188)*Data!D$193, "")</f>
        <v>0.51994987799248193</v>
      </c>
      <c r="D140">
        <f>IF(Table1[[#This Row],[Included?]], (Table1[[#This Row],[I SB]]-Data!V$188)/(Data!V$186-90*Data!V$188)*Data!E$193, "")</f>
        <v>1.5649586776859499</v>
      </c>
      <c r="E140">
        <f>IF(Table1[[#This Row],[Included?]], (Table1[[#This Row],[I OBP]]-Data!W$188)/(Data!W$186-90*Data!W$188)*Data!F$193, "")</f>
        <v>5.1432720606861526</v>
      </c>
      <c r="F140">
        <f>IF( Table1[[#This Row],[Included?]], SUM(Table5[[#This Row],[Radj]:[OBPAdj]]), "")</f>
        <v>12.055970997639928</v>
      </c>
      <c r="G140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40">
        <f>IF(Table1[[#This Row],[Included?]], Table5[[#This Row],[TotalAdj]]-Table5[[#This Row],[MinPos]], "")</f>
        <v>1.6005730788255192</v>
      </c>
      <c r="I140">
        <f>IF(Table1[[#This Row],[Included?]], 1+(Data!D$186-Data!B$185)*Table5[[#This Row],[Diff]]/SUM(Table5[Diff]), "")</f>
        <v>6.1717564282138433</v>
      </c>
    </row>
    <row r="141" spans="1:9" hidden="1" x14ac:dyDescent="0.25">
      <c r="A141">
        <f>IF(Table1[[#This Row],[Included?]], (Table1[[#This Row],[I R]]-Data!S$188)/(Data!S$186-90*Data!S$188)*Data!B$193, "")</f>
        <v>0.32888921491316547</v>
      </c>
      <c r="B141">
        <f>IF(Table1[[#This Row],[Included?]], (Table1[[#This Row],[I HR]]-Data!T$188)/(Data!T$186-90*Data!T$188)*Data!C$193, "")</f>
        <v>4.0657141527435208</v>
      </c>
      <c r="C141">
        <f>IF(Table1[[#This Row],[Included?]], (Table1[[#This Row],[I RBI]]-Data!U$188)/(Data!U$186-90*Data!U$188)*Data!D$193, "")</f>
        <v>0.83690562553584391</v>
      </c>
      <c r="D141">
        <f>IF(Table1[[#This Row],[Included?]], (Table1[[#This Row],[I SB]]-Data!V$188)/(Data!V$186-90*Data!V$188)*Data!E$193, "")</f>
        <v>1.1008264462809914</v>
      </c>
      <c r="E141">
        <f>IF(Table1[[#This Row],[Included?]], (Table1[[#This Row],[I OBP]]-Data!W$188)/(Data!W$186-90*Data!W$188)*Data!F$193, "")</f>
        <v>4.123062479340887</v>
      </c>
      <c r="F141">
        <f>IF( Table1[[#This Row],[Included?]], SUM(Table5[[#This Row],[Radj]:[OBPAdj]]), "")</f>
        <v>10.455397918814409</v>
      </c>
      <c r="G141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>10.455397918814409</v>
      </c>
      <c r="H141">
        <f>IF(Table1[[#This Row],[Included?]], Table5[[#This Row],[TotalAdj]]-Table5[[#This Row],[MinPos]], "")</f>
        <v>0</v>
      </c>
      <c r="I141">
        <f>IF(Table1[[#This Row],[Included?]], 1+(Data!D$186-Data!B$185)*Table5[[#This Row],[Diff]]/SUM(Table5[Diff]), "")</f>
        <v>1</v>
      </c>
    </row>
    <row r="142" spans="1:9" hidden="1" x14ac:dyDescent="0.25">
      <c r="A142" t="str">
        <f>IF(Table1[[#This Row],[Included?]], (Table1[[#This Row],[I R]]-Data!S$188)/(Data!S$186-90*Data!S$188)*Data!B$193, "")</f>
        <v/>
      </c>
      <c r="B142" t="str">
        <f>IF(Table1[[#This Row],[Included?]], (Table1[[#This Row],[I HR]]-Data!T$188)/(Data!T$186-90*Data!T$188)*Data!C$193, "")</f>
        <v/>
      </c>
      <c r="C142" t="str">
        <f>IF(Table1[[#This Row],[Included?]], (Table1[[#This Row],[I RBI]]-Data!U$188)/(Data!U$186-90*Data!U$188)*Data!D$193, "")</f>
        <v/>
      </c>
      <c r="D142" t="str">
        <f>IF(Table1[[#This Row],[Included?]], (Table1[[#This Row],[I SB]]-Data!V$188)/(Data!V$186-90*Data!V$188)*Data!E$193, "")</f>
        <v/>
      </c>
      <c r="E142" t="str">
        <f>IF(Table1[[#This Row],[Included?]], (Table1[[#This Row],[I OBP]]-Data!W$188)/(Data!W$186-90*Data!W$188)*Data!F$193, "")</f>
        <v/>
      </c>
      <c r="F142" t="str">
        <f>IF( Table1[[#This Row],[Included?]], SUM(Table5[[#This Row],[Radj]:[OBPAdj]]), "")</f>
        <v/>
      </c>
      <c r="G14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2" t="str">
        <f>IF(Table1[[#This Row],[Included?]], Table5[[#This Row],[TotalAdj]]-Table5[[#This Row],[MinPos]], "")</f>
        <v/>
      </c>
      <c r="I142" t="str">
        <f>IF(Table1[[#This Row],[Included?]], 1+(Data!D$186-Data!B$185)*Table5[[#This Row],[Diff]]/SUM(Table5[Diff]), "")</f>
        <v/>
      </c>
    </row>
    <row r="143" spans="1:9" hidden="1" x14ac:dyDescent="0.25">
      <c r="A143" t="str">
        <f>IF(Table1[[#This Row],[Included?]], (Table1[[#This Row],[I R]]-Data!S$188)/(Data!S$186-90*Data!S$188)*Data!B$193, "")</f>
        <v/>
      </c>
      <c r="B143" t="str">
        <f>IF(Table1[[#This Row],[Included?]], (Table1[[#This Row],[I HR]]-Data!T$188)/(Data!T$186-90*Data!T$188)*Data!C$193, "")</f>
        <v/>
      </c>
      <c r="C143" t="str">
        <f>IF(Table1[[#This Row],[Included?]], (Table1[[#This Row],[I RBI]]-Data!U$188)/(Data!U$186-90*Data!U$188)*Data!D$193, "")</f>
        <v/>
      </c>
      <c r="D143" t="str">
        <f>IF(Table1[[#This Row],[Included?]], (Table1[[#This Row],[I SB]]-Data!V$188)/(Data!V$186-90*Data!V$188)*Data!E$193, "")</f>
        <v/>
      </c>
      <c r="E143" t="str">
        <f>IF(Table1[[#This Row],[Included?]], (Table1[[#This Row],[I OBP]]-Data!W$188)/(Data!W$186-90*Data!W$188)*Data!F$193, "")</f>
        <v/>
      </c>
      <c r="F143" t="str">
        <f>IF( Table1[[#This Row],[Included?]], SUM(Table5[[#This Row],[Radj]:[OBPAdj]]), "")</f>
        <v/>
      </c>
      <c r="G14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3" t="str">
        <f>IF(Table1[[#This Row],[Included?]], Table5[[#This Row],[TotalAdj]]-Table5[[#This Row],[MinPos]], "")</f>
        <v/>
      </c>
      <c r="I143" t="str">
        <f>IF(Table1[[#This Row],[Included?]], 1+(Data!D$186-Data!B$185)*Table5[[#This Row],[Diff]]/SUM(Table5[Diff]), "")</f>
        <v/>
      </c>
    </row>
    <row r="144" spans="1:9" hidden="1" x14ac:dyDescent="0.25">
      <c r="A144" t="str">
        <f>IF(Table1[[#This Row],[Included?]], (Table1[[#This Row],[I R]]-Data!S$188)/(Data!S$186-90*Data!S$188)*Data!B$193, "")</f>
        <v/>
      </c>
      <c r="B144" t="str">
        <f>IF(Table1[[#This Row],[Included?]], (Table1[[#This Row],[I HR]]-Data!T$188)/(Data!T$186-90*Data!T$188)*Data!C$193, "")</f>
        <v/>
      </c>
      <c r="C144" t="str">
        <f>IF(Table1[[#This Row],[Included?]], (Table1[[#This Row],[I RBI]]-Data!U$188)/(Data!U$186-90*Data!U$188)*Data!D$193, "")</f>
        <v/>
      </c>
      <c r="D144" t="str">
        <f>IF(Table1[[#This Row],[Included?]], (Table1[[#This Row],[I SB]]-Data!V$188)/(Data!V$186-90*Data!V$188)*Data!E$193, "")</f>
        <v/>
      </c>
      <c r="E144" t="str">
        <f>IF(Table1[[#This Row],[Included?]], (Table1[[#This Row],[I OBP]]-Data!W$188)/(Data!W$186-90*Data!W$188)*Data!F$193, "")</f>
        <v/>
      </c>
      <c r="F144" t="str">
        <f>IF( Table1[[#This Row],[Included?]], SUM(Table5[[#This Row],[Radj]:[OBPAdj]]), "")</f>
        <v/>
      </c>
      <c r="G14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4" t="str">
        <f>IF(Table1[[#This Row],[Included?]], Table5[[#This Row],[TotalAdj]]-Table5[[#This Row],[MinPos]], "")</f>
        <v/>
      </c>
      <c r="I144" t="str">
        <f>IF(Table1[[#This Row],[Included?]], 1+(Data!D$186-Data!B$185)*Table5[[#This Row],[Diff]]/SUM(Table5[Diff]), "")</f>
        <v/>
      </c>
    </row>
    <row r="145" spans="1:9" hidden="1" x14ac:dyDescent="0.25">
      <c r="A145" t="str">
        <f>IF(Table1[[#This Row],[Included?]], (Table1[[#This Row],[I R]]-Data!S$188)/(Data!S$186-90*Data!S$188)*Data!B$193, "")</f>
        <v/>
      </c>
      <c r="B145" t="str">
        <f>IF(Table1[[#This Row],[Included?]], (Table1[[#This Row],[I HR]]-Data!T$188)/(Data!T$186-90*Data!T$188)*Data!C$193, "")</f>
        <v/>
      </c>
      <c r="C145" t="str">
        <f>IF(Table1[[#This Row],[Included?]], (Table1[[#This Row],[I RBI]]-Data!U$188)/(Data!U$186-90*Data!U$188)*Data!D$193, "")</f>
        <v/>
      </c>
      <c r="D145" t="str">
        <f>IF(Table1[[#This Row],[Included?]], (Table1[[#This Row],[I SB]]-Data!V$188)/(Data!V$186-90*Data!V$188)*Data!E$193, "")</f>
        <v/>
      </c>
      <c r="E145" t="str">
        <f>IF(Table1[[#This Row],[Included?]], (Table1[[#This Row],[I OBP]]-Data!W$188)/(Data!W$186-90*Data!W$188)*Data!F$193, "")</f>
        <v/>
      </c>
      <c r="F145" t="str">
        <f>IF( Table1[[#This Row],[Included?]], SUM(Table5[[#This Row],[Radj]:[OBPAdj]]), "")</f>
        <v/>
      </c>
      <c r="G14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5" t="str">
        <f>IF(Table1[[#This Row],[Included?]], Table5[[#This Row],[TotalAdj]]-Table5[[#This Row],[MinPos]], "")</f>
        <v/>
      </c>
      <c r="I145" t="str">
        <f>IF(Table1[[#This Row],[Included?]], 1+(Data!D$186-Data!B$185)*Table5[[#This Row],[Diff]]/SUM(Table5[Diff]), "")</f>
        <v/>
      </c>
    </row>
    <row r="146" spans="1:9" hidden="1" x14ac:dyDescent="0.25">
      <c r="A146" t="str">
        <f>IF(Table1[[#This Row],[Included?]], (Table1[[#This Row],[I R]]-Data!S$188)/(Data!S$186-90*Data!S$188)*Data!B$193, "")</f>
        <v/>
      </c>
      <c r="B146" t="str">
        <f>IF(Table1[[#This Row],[Included?]], (Table1[[#This Row],[I HR]]-Data!T$188)/(Data!T$186-90*Data!T$188)*Data!C$193, "")</f>
        <v/>
      </c>
      <c r="C146" t="str">
        <f>IF(Table1[[#This Row],[Included?]], (Table1[[#This Row],[I RBI]]-Data!U$188)/(Data!U$186-90*Data!U$188)*Data!D$193, "")</f>
        <v/>
      </c>
      <c r="D146" t="str">
        <f>IF(Table1[[#This Row],[Included?]], (Table1[[#This Row],[I SB]]-Data!V$188)/(Data!V$186-90*Data!V$188)*Data!E$193, "")</f>
        <v/>
      </c>
      <c r="E146" t="str">
        <f>IF(Table1[[#This Row],[Included?]], (Table1[[#This Row],[I OBP]]-Data!W$188)/(Data!W$186-90*Data!W$188)*Data!F$193, "")</f>
        <v/>
      </c>
      <c r="F146" t="str">
        <f>IF( Table1[[#This Row],[Included?]], SUM(Table5[[#This Row],[Radj]:[OBPAdj]]), "")</f>
        <v/>
      </c>
      <c r="G14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6" t="str">
        <f>IF(Table1[[#This Row],[Included?]], Table5[[#This Row],[TotalAdj]]-Table5[[#This Row],[MinPos]], "")</f>
        <v/>
      </c>
      <c r="I146" t="str">
        <f>IF(Table1[[#This Row],[Included?]], 1+(Data!D$186-Data!B$185)*Table5[[#This Row],[Diff]]/SUM(Table5[Diff]), "")</f>
        <v/>
      </c>
    </row>
    <row r="147" spans="1:9" hidden="1" x14ac:dyDescent="0.25">
      <c r="A147" t="str">
        <f>IF(Table1[[#This Row],[Included?]], (Table1[[#This Row],[I R]]-Data!S$188)/(Data!S$186-90*Data!S$188)*Data!B$193, "")</f>
        <v/>
      </c>
      <c r="B147" t="str">
        <f>IF(Table1[[#This Row],[Included?]], (Table1[[#This Row],[I HR]]-Data!T$188)/(Data!T$186-90*Data!T$188)*Data!C$193, "")</f>
        <v/>
      </c>
      <c r="C147" t="str">
        <f>IF(Table1[[#This Row],[Included?]], (Table1[[#This Row],[I RBI]]-Data!U$188)/(Data!U$186-90*Data!U$188)*Data!D$193, "")</f>
        <v/>
      </c>
      <c r="D147" t="str">
        <f>IF(Table1[[#This Row],[Included?]], (Table1[[#This Row],[I SB]]-Data!V$188)/(Data!V$186-90*Data!V$188)*Data!E$193, "")</f>
        <v/>
      </c>
      <c r="E147" t="str">
        <f>IF(Table1[[#This Row],[Included?]], (Table1[[#This Row],[I OBP]]-Data!W$188)/(Data!W$186-90*Data!W$188)*Data!F$193, "")</f>
        <v/>
      </c>
      <c r="F147" t="str">
        <f>IF( Table1[[#This Row],[Included?]], SUM(Table5[[#This Row],[Radj]:[OBPAdj]]), "")</f>
        <v/>
      </c>
      <c r="G14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7" t="str">
        <f>IF(Table1[[#This Row],[Included?]], Table5[[#This Row],[TotalAdj]]-Table5[[#This Row],[MinPos]], "")</f>
        <v/>
      </c>
      <c r="I147" t="str">
        <f>IF(Table1[[#This Row],[Included?]], 1+(Data!D$186-Data!B$185)*Table5[[#This Row],[Diff]]/SUM(Table5[Diff]), "")</f>
        <v/>
      </c>
    </row>
    <row r="148" spans="1:9" hidden="1" x14ac:dyDescent="0.25">
      <c r="A148" t="str">
        <f>IF(Table1[[#This Row],[Included?]], (Table1[[#This Row],[I R]]-Data!S$188)/(Data!S$186-90*Data!S$188)*Data!B$193, "")</f>
        <v/>
      </c>
      <c r="B148" t="str">
        <f>IF(Table1[[#This Row],[Included?]], (Table1[[#This Row],[I HR]]-Data!T$188)/(Data!T$186-90*Data!T$188)*Data!C$193, "")</f>
        <v/>
      </c>
      <c r="C148" t="str">
        <f>IF(Table1[[#This Row],[Included?]], (Table1[[#This Row],[I RBI]]-Data!U$188)/(Data!U$186-90*Data!U$188)*Data!D$193, "")</f>
        <v/>
      </c>
      <c r="D148" t="str">
        <f>IF(Table1[[#This Row],[Included?]], (Table1[[#This Row],[I SB]]-Data!V$188)/(Data!V$186-90*Data!V$188)*Data!E$193, "")</f>
        <v/>
      </c>
      <c r="E148" t="str">
        <f>IF(Table1[[#This Row],[Included?]], (Table1[[#This Row],[I OBP]]-Data!W$188)/(Data!W$186-90*Data!W$188)*Data!F$193, "")</f>
        <v/>
      </c>
      <c r="F148" t="str">
        <f>IF( Table1[[#This Row],[Included?]], SUM(Table5[[#This Row],[Radj]:[OBPAdj]]), "")</f>
        <v/>
      </c>
      <c r="G14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8" t="str">
        <f>IF(Table1[[#This Row],[Included?]], Table5[[#This Row],[TotalAdj]]-Table5[[#This Row],[MinPos]], "")</f>
        <v/>
      </c>
      <c r="I148" t="str">
        <f>IF(Table1[[#This Row],[Included?]], 1+(Data!D$186-Data!B$185)*Table5[[#This Row],[Diff]]/SUM(Table5[Diff]), "")</f>
        <v/>
      </c>
    </row>
    <row r="149" spans="1:9" hidden="1" x14ac:dyDescent="0.25">
      <c r="A149" t="str">
        <f>IF(Table1[[#This Row],[Included?]], (Table1[[#This Row],[I R]]-Data!S$188)/(Data!S$186-90*Data!S$188)*Data!B$193, "")</f>
        <v/>
      </c>
      <c r="B149" t="str">
        <f>IF(Table1[[#This Row],[Included?]], (Table1[[#This Row],[I HR]]-Data!T$188)/(Data!T$186-90*Data!T$188)*Data!C$193, "")</f>
        <v/>
      </c>
      <c r="C149" t="str">
        <f>IF(Table1[[#This Row],[Included?]], (Table1[[#This Row],[I RBI]]-Data!U$188)/(Data!U$186-90*Data!U$188)*Data!D$193, "")</f>
        <v/>
      </c>
      <c r="D149" t="str">
        <f>IF(Table1[[#This Row],[Included?]], (Table1[[#This Row],[I SB]]-Data!V$188)/(Data!V$186-90*Data!V$188)*Data!E$193, "")</f>
        <v/>
      </c>
      <c r="E149" t="str">
        <f>IF(Table1[[#This Row],[Included?]], (Table1[[#This Row],[I OBP]]-Data!W$188)/(Data!W$186-90*Data!W$188)*Data!F$193, "")</f>
        <v/>
      </c>
      <c r="F149" t="str">
        <f>IF( Table1[[#This Row],[Included?]], SUM(Table5[[#This Row],[Radj]:[OBPAdj]]), "")</f>
        <v/>
      </c>
      <c r="G14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49" t="str">
        <f>IF(Table1[[#This Row],[Included?]], Table5[[#This Row],[TotalAdj]]-Table5[[#This Row],[MinPos]], "")</f>
        <v/>
      </c>
      <c r="I149" t="str">
        <f>IF(Table1[[#This Row],[Included?]], 1+(Data!D$186-Data!B$185)*Table5[[#This Row],[Diff]]/SUM(Table5[Diff]), "")</f>
        <v/>
      </c>
    </row>
    <row r="150" spans="1:9" hidden="1" x14ac:dyDescent="0.25">
      <c r="A150" t="str">
        <f>IF(Table1[[#This Row],[Included?]], (Table1[[#This Row],[I R]]-Data!S$188)/(Data!S$186-90*Data!S$188)*Data!B$193, "")</f>
        <v/>
      </c>
      <c r="B150" t="str">
        <f>IF(Table1[[#This Row],[Included?]], (Table1[[#This Row],[I HR]]-Data!T$188)/(Data!T$186-90*Data!T$188)*Data!C$193, "")</f>
        <v/>
      </c>
      <c r="C150" t="str">
        <f>IF(Table1[[#This Row],[Included?]], (Table1[[#This Row],[I RBI]]-Data!U$188)/(Data!U$186-90*Data!U$188)*Data!D$193, "")</f>
        <v/>
      </c>
      <c r="D150" t="str">
        <f>IF(Table1[[#This Row],[Included?]], (Table1[[#This Row],[I SB]]-Data!V$188)/(Data!V$186-90*Data!V$188)*Data!E$193, "")</f>
        <v/>
      </c>
      <c r="E150" t="str">
        <f>IF(Table1[[#This Row],[Included?]], (Table1[[#This Row],[I OBP]]-Data!W$188)/(Data!W$186-90*Data!W$188)*Data!F$193, "")</f>
        <v/>
      </c>
      <c r="F150" t="str">
        <f>IF( Table1[[#This Row],[Included?]], SUM(Table5[[#This Row],[Radj]:[OBPAdj]]), "")</f>
        <v/>
      </c>
      <c r="G15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0" t="str">
        <f>IF(Table1[[#This Row],[Included?]], Table5[[#This Row],[TotalAdj]]-Table5[[#This Row],[MinPos]], "")</f>
        <v/>
      </c>
      <c r="I150" t="str">
        <f>IF(Table1[[#This Row],[Included?]], 1+(Data!D$186-Data!B$185)*Table5[[#This Row],[Diff]]/SUM(Table5[Diff]), "")</f>
        <v/>
      </c>
    </row>
    <row r="151" spans="1:9" hidden="1" x14ac:dyDescent="0.25">
      <c r="A151" t="str">
        <f>IF(Table1[[#This Row],[Included?]], (Table1[[#This Row],[I R]]-Data!S$188)/(Data!S$186-90*Data!S$188)*Data!B$193, "")</f>
        <v/>
      </c>
      <c r="B151" t="str">
        <f>IF(Table1[[#This Row],[Included?]], (Table1[[#This Row],[I HR]]-Data!T$188)/(Data!T$186-90*Data!T$188)*Data!C$193, "")</f>
        <v/>
      </c>
      <c r="C151" t="str">
        <f>IF(Table1[[#This Row],[Included?]], (Table1[[#This Row],[I RBI]]-Data!U$188)/(Data!U$186-90*Data!U$188)*Data!D$193, "")</f>
        <v/>
      </c>
      <c r="D151" t="str">
        <f>IF(Table1[[#This Row],[Included?]], (Table1[[#This Row],[I SB]]-Data!V$188)/(Data!V$186-90*Data!V$188)*Data!E$193, "")</f>
        <v/>
      </c>
      <c r="E151" t="str">
        <f>IF(Table1[[#This Row],[Included?]], (Table1[[#This Row],[I OBP]]-Data!W$188)/(Data!W$186-90*Data!W$188)*Data!F$193, "")</f>
        <v/>
      </c>
      <c r="F151" t="str">
        <f>IF( Table1[[#This Row],[Included?]], SUM(Table5[[#This Row],[Radj]:[OBPAdj]]), "")</f>
        <v/>
      </c>
      <c r="G15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1" t="str">
        <f>IF(Table1[[#This Row],[Included?]], Table5[[#This Row],[TotalAdj]]-Table5[[#This Row],[MinPos]], "")</f>
        <v/>
      </c>
      <c r="I151" t="str">
        <f>IF(Table1[[#This Row],[Included?]], 1+(Data!D$186-Data!B$185)*Table5[[#This Row],[Diff]]/SUM(Table5[Diff]), "")</f>
        <v/>
      </c>
    </row>
    <row r="152" spans="1:9" hidden="1" x14ac:dyDescent="0.25">
      <c r="A152" t="str">
        <f>IF(Table1[[#This Row],[Included?]], (Table1[[#This Row],[I R]]-Data!S$188)/(Data!S$186-90*Data!S$188)*Data!B$193, "")</f>
        <v/>
      </c>
      <c r="B152" t="str">
        <f>IF(Table1[[#This Row],[Included?]], (Table1[[#This Row],[I HR]]-Data!T$188)/(Data!T$186-90*Data!T$188)*Data!C$193, "")</f>
        <v/>
      </c>
      <c r="C152" t="str">
        <f>IF(Table1[[#This Row],[Included?]], (Table1[[#This Row],[I RBI]]-Data!U$188)/(Data!U$186-90*Data!U$188)*Data!D$193, "")</f>
        <v/>
      </c>
      <c r="D152" t="str">
        <f>IF(Table1[[#This Row],[Included?]], (Table1[[#This Row],[I SB]]-Data!V$188)/(Data!V$186-90*Data!V$188)*Data!E$193, "")</f>
        <v/>
      </c>
      <c r="E152" t="str">
        <f>IF(Table1[[#This Row],[Included?]], (Table1[[#This Row],[I OBP]]-Data!W$188)/(Data!W$186-90*Data!W$188)*Data!F$193, "")</f>
        <v/>
      </c>
      <c r="F152" t="str">
        <f>IF( Table1[[#This Row],[Included?]], SUM(Table5[[#This Row],[Radj]:[OBPAdj]]), "")</f>
        <v/>
      </c>
      <c r="G15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2" t="str">
        <f>IF(Table1[[#This Row],[Included?]], Table5[[#This Row],[TotalAdj]]-Table5[[#This Row],[MinPos]], "")</f>
        <v/>
      </c>
      <c r="I152" t="str">
        <f>IF(Table1[[#This Row],[Included?]], 1+(Data!D$186-Data!B$185)*Table5[[#This Row],[Diff]]/SUM(Table5[Diff]), "")</f>
        <v/>
      </c>
    </row>
    <row r="153" spans="1:9" hidden="1" x14ac:dyDescent="0.25">
      <c r="A153" t="str">
        <f>IF(Table1[[#This Row],[Included?]], (Table1[[#This Row],[I R]]-Data!S$188)/(Data!S$186-90*Data!S$188)*Data!B$193, "")</f>
        <v/>
      </c>
      <c r="B153" t="str">
        <f>IF(Table1[[#This Row],[Included?]], (Table1[[#This Row],[I HR]]-Data!T$188)/(Data!T$186-90*Data!T$188)*Data!C$193, "")</f>
        <v/>
      </c>
      <c r="C153" t="str">
        <f>IF(Table1[[#This Row],[Included?]], (Table1[[#This Row],[I RBI]]-Data!U$188)/(Data!U$186-90*Data!U$188)*Data!D$193, "")</f>
        <v/>
      </c>
      <c r="D153" t="str">
        <f>IF(Table1[[#This Row],[Included?]], (Table1[[#This Row],[I SB]]-Data!V$188)/(Data!V$186-90*Data!V$188)*Data!E$193, "")</f>
        <v/>
      </c>
      <c r="E153" t="str">
        <f>IF(Table1[[#This Row],[Included?]], (Table1[[#This Row],[I OBP]]-Data!W$188)/(Data!W$186-90*Data!W$188)*Data!F$193, "")</f>
        <v/>
      </c>
      <c r="F153" t="str">
        <f>IF( Table1[[#This Row],[Included?]], SUM(Table5[[#This Row],[Radj]:[OBPAdj]]), "")</f>
        <v/>
      </c>
      <c r="G15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3" t="str">
        <f>IF(Table1[[#This Row],[Included?]], Table5[[#This Row],[TotalAdj]]-Table5[[#This Row],[MinPos]], "")</f>
        <v/>
      </c>
      <c r="I153" t="str">
        <f>IF(Table1[[#This Row],[Included?]], 1+(Data!D$186-Data!B$185)*Table5[[#This Row],[Diff]]/SUM(Table5[Diff]), "")</f>
        <v/>
      </c>
    </row>
    <row r="154" spans="1:9" hidden="1" x14ac:dyDescent="0.25">
      <c r="A154" t="str">
        <f>IF(Table1[[#This Row],[Included?]], (Table1[[#This Row],[I R]]-Data!S$188)/(Data!S$186-90*Data!S$188)*Data!B$193, "")</f>
        <v/>
      </c>
      <c r="B154" t="str">
        <f>IF(Table1[[#This Row],[Included?]], (Table1[[#This Row],[I HR]]-Data!T$188)/(Data!T$186-90*Data!T$188)*Data!C$193, "")</f>
        <v/>
      </c>
      <c r="C154" t="str">
        <f>IF(Table1[[#This Row],[Included?]], (Table1[[#This Row],[I RBI]]-Data!U$188)/(Data!U$186-90*Data!U$188)*Data!D$193, "")</f>
        <v/>
      </c>
      <c r="D154" t="str">
        <f>IF(Table1[[#This Row],[Included?]], (Table1[[#This Row],[I SB]]-Data!V$188)/(Data!V$186-90*Data!V$188)*Data!E$193, "")</f>
        <v/>
      </c>
      <c r="E154" t="str">
        <f>IF(Table1[[#This Row],[Included?]], (Table1[[#This Row],[I OBP]]-Data!W$188)/(Data!W$186-90*Data!W$188)*Data!F$193, "")</f>
        <v/>
      </c>
      <c r="F154" t="str">
        <f>IF( Table1[[#This Row],[Included?]], SUM(Table5[[#This Row],[Radj]:[OBPAdj]]), "")</f>
        <v/>
      </c>
      <c r="G15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4" t="str">
        <f>IF(Table1[[#This Row],[Included?]], Table5[[#This Row],[TotalAdj]]-Table5[[#This Row],[MinPos]], "")</f>
        <v/>
      </c>
      <c r="I154" t="str">
        <f>IF(Table1[[#This Row],[Included?]], 1+(Data!D$186-Data!B$185)*Table5[[#This Row],[Diff]]/SUM(Table5[Diff]), "")</f>
        <v/>
      </c>
    </row>
    <row r="155" spans="1:9" hidden="1" x14ac:dyDescent="0.25">
      <c r="A155" t="str">
        <f>IF(Table1[[#This Row],[Included?]], (Table1[[#This Row],[I R]]-Data!S$188)/(Data!S$186-90*Data!S$188)*Data!B$193, "")</f>
        <v/>
      </c>
      <c r="B155" t="str">
        <f>IF(Table1[[#This Row],[Included?]], (Table1[[#This Row],[I HR]]-Data!T$188)/(Data!T$186-90*Data!T$188)*Data!C$193, "")</f>
        <v/>
      </c>
      <c r="C155" t="str">
        <f>IF(Table1[[#This Row],[Included?]], (Table1[[#This Row],[I RBI]]-Data!U$188)/(Data!U$186-90*Data!U$188)*Data!D$193, "")</f>
        <v/>
      </c>
      <c r="D155" t="str">
        <f>IF(Table1[[#This Row],[Included?]], (Table1[[#This Row],[I SB]]-Data!V$188)/(Data!V$186-90*Data!V$188)*Data!E$193, "")</f>
        <v/>
      </c>
      <c r="E155" t="str">
        <f>IF(Table1[[#This Row],[Included?]], (Table1[[#This Row],[I OBP]]-Data!W$188)/(Data!W$186-90*Data!W$188)*Data!F$193, "")</f>
        <v/>
      </c>
      <c r="F155" t="str">
        <f>IF( Table1[[#This Row],[Included?]], SUM(Table5[[#This Row],[Radj]:[OBPAdj]]), "")</f>
        <v/>
      </c>
      <c r="G15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5" t="str">
        <f>IF(Table1[[#This Row],[Included?]], Table5[[#This Row],[TotalAdj]]-Table5[[#This Row],[MinPos]], "")</f>
        <v/>
      </c>
      <c r="I155" t="str">
        <f>IF(Table1[[#This Row],[Included?]], 1+(Data!D$186-Data!B$185)*Table5[[#This Row],[Diff]]/SUM(Table5[Diff]), "")</f>
        <v/>
      </c>
    </row>
    <row r="156" spans="1:9" hidden="1" x14ac:dyDescent="0.25">
      <c r="A156" t="str">
        <f>IF(Table1[[#This Row],[Included?]], (Table1[[#This Row],[I R]]-Data!S$188)/(Data!S$186-90*Data!S$188)*Data!B$193, "")</f>
        <v/>
      </c>
      <c r="B156" t="str">
        <f>IF(Table1[[#This Row],[Included?]], (Table1[[#This Row],[I HR]]-Data!T$188)/(Data!T$186-90*Data!T$188)*Data!C$193, "")</f>
        <v/>
      </c>
      <c r="C156" t="str">
        <f>IF(Table1[[#This Row],[Included?]], (Table1[[#This Row],[I RBI]]-Data!U$188)/(Data!U$186-90*Data!U$188)*Data!D$193, "")</f>
        <v/>
      </c>
      <c r="D156" t="str">
        <f>IF(Table1[[#This Row],[Included?]], (Table1[[#This Row],[I SB]]-Data!V$188)/(Data!V$186-90*Data!V$188)*Data!E$193, "")</f>
        <v/>
      </c>
      <c r="E156" t="str">
        <f>IF(Table1[[#This Row],[Included?]], (Table1[[#This Row],[I OBP]]-Data!W$188)/(Data!W$186-90*Data!W$188)*Data!F$193, "")</f>
        <v/>
      </c>
      <c r="F156" t="str">
        <f>IF( Table1[[#This Row],[Included?]], SUM(Table5[[#This Row],[Radj]:[OBPAdj]]), "")</f>
        <v/>
      </c>
      <c r="G15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6" t="str">
        <f>IF(Table1[[#This Row],[Included?]], Table5[[#This Row],[TotalAdj]]-Table5[[#This Row],[MinPos]], "")</f>
        <v/>
      </c>
      <c r="I156" t="str">
        <f>IF(Table1[[#This Row],[Included?]], 1+(Data!D$186-Data!B$185)*Table5[[#This Row],[Diff]]/SUM(Table5[Diff]), "")</f>
        <v/>
      </c>
    </row>
    <row r="157" spans="1:9" hidden="1" x14ac:dyDescent="0.25">
      <c r="A157" t="str">
        <f>IF(Table1[[#This Row],[Included?]], (Table1[[#This Row],[I R]]-Data!S$188)/(Data!S$186-90*Data!S$188)*Data!B$193, "")</f>
        <v/>
      </c>
      <c r="B157" t="str">
        <f>IF(Table1[[#This Row],[Included?]], (Table1[[#This Row],[I HR]]-Data!T$188)/(Data!T$186-90*Data!T$188)*Data!C$193, "")</f>
        <v/>
      </c>
      <c r="C157" t="str">
        <f>IF(Table1[[#This Row],[Included?]], (Table1[[#This Row],[I RBI]]-Data!U$188)/(Data!U$186-90*Data!U$188)*Data!D$193, "")</f>
        <v/>
      </c>
      <c r="D157" t="str">
        <f>IF(Table1[[#This Row],[Included?]], (Table1[[#This Row],[I SB]]-Data!V$188)/(Data!V$186-90*Data!V$188)*Data!E$193, "")</f>
        <v/>
      </c>
      <c r="E157" t="str">
        <f>IF(Table1[[#This Row],[Included?]], (Table1[[#This Row],[I OBP]]-Data!W$188)/(Data!W$186-90*Data!W$188)*Data!F$193, "")</f>
        <v/>
      </c>
      <c r="F157" t="str">
        <f>IF( Table1[[#This Row],[Included?]], SUM(Table5[[#This Row],[Radj]:[OBPAdj]]), "")</f>
        <v/>
      </c>
      <c r="G15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7" t="str">
        <f>IF(Table1[[#This Row],[Included?]], Table5[[#This Row],[TotalAdj]]-Table5[[#This Row],[MinPos]], "")</f>
        <v/>
      </c>
      <c r="I157" t="str">
        <f>IF(Table1[[#This Row],[Included?]], 1+(Data!D$186-Data!B$185)*Table5[[#This Row],[Diff]]/SUM(Table5[Diff]), "")</f>
        <v/>
      </c>
    </row>
    <row r="158" spans="1:9" hidden="1" x14ac:dyDescent="0.25">
      <c r="A158" t="str">
        <f>IF(Table1[[#This Row],[Included?]], (Table1[[#This Row],[I R]]-Data!S$188)/(Data!S$186-90*Data!S$188)*Data!B$193, "")</f>
        <v/>
      </c>
      <c r="B158" t="str">
        <f>IF(Table1[[#This Row],[Included?]], (Table1[[#This Row],[I HR]]-Data!T$188)/(Data!T$186-90*Data!T$188)*Data!C$193, "")</f>
        <v/>
      </c>
      <c r="C158" t="str">
        <f>IF(Table1[[#This Row],[Included?]], (Table1[[#This Row],[I RBI]]-Data!U$188)/(Data!U$186-90*Data!U$188)*Data!D$193, "")</f>
        <v/>
      </c>
      <c r="D158" t="str">
        <f>IF(Table1[[#This Row],[Included?]], (Table1[[#This Row],[I SB]]-Data!V$188)/(Data!V$186-90*Data!V$188)*Data!E$193, "")</f>
        <v/>
      </c>
      <c r="E158" t="str">
        <f>IF(Table1[[#This Row],[Included?]], (Table1[[#This Row],[I OBP]]-Data!W$188)/(Data!W$186-90*Data!W$188)*Data!F$193, "")</f>
        <v/>
      </c>
      <c r="F158" t="str">
        <f>IF( Table1[[#This Row],[Included?]], SUM(Table5[[#This Row],[Radj]:[OBPAdj]]), "")</f>
        <v/>
      </c>
      <c r="G15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8" t="str">
        <f>IF(Table1[[#This Row],[Included?]], Table5[[#This Row],[TotalAdj]]-Table5[[#This Row],[MinPos]], "")</f>
        <v/>
      </c>
      <c r="I158" t="str">
        <f>IF(Table1[[#This Row],[Included?]], 1+(Data!D$186-Data!B$185)*Table5[[#This Row],[Diff]]/SUM(Table5[Diff]), "")</f>
        <v/>
      </c>
    </row>
    <row r="159" spans="1:9" hidden="1" x14ac:dyDescent="0.25">
      <c r="A159" t="str">
        <f>IF(Table1[[#This Row],[Included?]], (Table1[[#This Row],[I R]]-Data!S$188)/(Data!S$186-90*Data!S$188)*Data!B$193, "")</f>
        <v/>
      </c>
      <c r="B159" t="str">
        <f>IF(Table1[[#This Row],[Included?]], (Table1[[#This Row],[I HR]]-Data!T$188)/(Data!T$186-90*Data!T$188)*Data!C$193, "")</f>
        <v/>
      </c>
      <c r="C159" t="str">
        <f>IF(Table1[[#This Row],[Included?]], (Table1[[#This Row],[I RBI]]-Data!U$188)/(Data!U$186-90*Data!U$188)*Data!D$193, "")</f>
        <v/>
      </c>
      <c r="D159" t="str">
        <f>IF(Table1[[#This Row],[Included?]], (Table1[[#This Row],[I SB]]-Data!V$188)/(Data!V$186-90*Data!V$188)*Data!E$193, "")</f>
        <v/>
      </c>
      <c r="E159" t="str">
        <f>IF(Table1[[#This Row],[Included?]], (Table1[[#This Row],[I OBP]]-Data!W$188)/(Data!W$186-90*Data!W$188)*Data!F$193, "")</f>
        <v/>
      </c>
      <c r="F159" t="str">
        <f>IF( Table1[[#This Row],[Included?]], SUM(Table5[[#This Row],[Radj]:[OBPAdj]]), "")</f>
        <v/>
      </c>
      <c r="G15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59" t="str">
        <f>IF(Table1[[#This Row],[Included?]], Table5[[#This Row],[TotalAdj]]-Table5[[#This Row],[MinPos]], "")</f>
        <v/>
      </c>
      <c r="I159" t="str">
        <f>IF(Table1[[#This Row],[Included?]], 1+(Data!D$186-Data!B$185)*Table5[[#This Row],[Diff]]/SUM(Table5[Diff]), "")</f>
        <v/>
      </c>
    </row>
    <row r="160" spans="1:9" hidden="1" x14ac:dyDescent="0.25">
      <c r="A160" t="str">
        <f>IF(Table1[[#This Row],[Included?]], (Table1[[#This Row],[I R]]-Data!S$188)/(Data!S$186-90*Data!S$188)*Data!B$193, "")</f>
        <v/>
      </c>
      <c r="B160" t="str">
        <f>IF(Table1[[#This Row],[Included?]], (Table1[[#This Row],[I HR]]-Data!T$188)/(Data!T$186-90*Data!T$188)*Data!C$193, "")</f>
        <v/>
      </c>
      <c r="C160" t="str">
        <f>IF(Table1[[#This Row],[Included?]], (Table1[[#This Row],[I RBI]]-Data!U$188)/(Data!U$186-90*Data!U$188)*Data!D$193, "")</f>
        <v/>
      </c>
      <c r="D160" t="str">
        <f>IF(Table1[[#This Row],[Included?]], (Table1[[#This Row],[I SB]]-Data!V$188)/(Data!V$186-90*Data!V$188)*Data!E$193, "")</f>
        <v/>
      </c>
      <c r="E160" t="str">
        <f>IF(Table1[[#This Row],[Included?]], (Table1[[#This Row],[I OBP]]-Data!W$188)/(Data!W$186-90*Data!W$188)*Data!F$193, "")</f>
        <v/>
      </c>
      <c r="F160" t="str">
        <f>IF( Table1[[#This Row],[Included?]], SUM(Table5[[#This Row],[Radj]:[OBPAdj]]), "")</f>
        <v/>
      </c>
      <c r="G16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0" t="str">
        <f>IF(Table1[[#This Row],[Included?]], Table5[[#This Row],[TotalAdj]]-Table5[[#This Row],[MinPos]], "")</f>
        <v/>
      </c>
      <c r="I160" t="str">
        <f>IF(Table1[[#This Row],[Included?]], 1+(Data!D$186-Data!B$185)*Table5[[#This Row],[Diff]]/SUM(Table5[Diff]), "")</f>
        <v/>
      </c>
    </row>
    <row r="161" spans="1:9" hidden="1" x14ac:dyDescent="0.25">
      <c r="A161" t="str">
        <f>IF(Table1[[#This Row],[Included?]], (Table1[[#This Row],[I R]]-Data!S$188)/(Data!S$186-90*Data!S$188)*Data!B$193, "")</f>
        <v/>
      </c>
      <c r="B161" t="str">
        <f>IF(Table1[[#This Row],[Included?]], (Table1[[#This Row],[I HR]]-Data!T$188)/(Data!T$186-90*Data!T$188)*Data!C$193, "")</f>
        <v/>
      </c>
      <c r="C161" t="str">
        <f>IF(Table1[[#This Row],[Included?]], (Table1[[#This Row],[I RBI]]-Data!U$188)/(Data!U$186-90*Data!U$188)*Data!D$193, "")</f>
        <v/>
      </c>
      <c r="D161" t="str">
        <f>IF(Table1[[#This Row],[Included?]], (Table1[[#This Row],[I SB]]-Data!V$188)/(Data!V$186-90*Data!V$188)*Data!E$193, "")</f>
        <v/>
      </c>
      <c r="E161" t="str">
        <f>IF(Table1[[#This Row],[Included?]], (Table1[[#This Row],[I OBP]]-Data!W$188)/(Data!W$186-90*Data!W$188)*Data!F$193, "")</f>
        <v/>
      </c>
      <c r="F161" t="str">
        <f>IF( Table1[[#This Row],[Included?]], SUM(Table5[[#This Row],[Radj]:[OBPAdj]]), "")</f>
        <v/>
      </c>
      <c r="G16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1" t="str">
        <f>IF(Table1[[#This Row],[Included?]], Table5[[#This Row],[TotalAdj]]-Table5[[#This Row],[MinPos]], "")</f>
        <v/>
      </c>
      <c r="I161" t="str">
        <f>IF(Table1[[#This Row],[Included?]], 1+(Data!D$186-Data!B$185)*Table5[[#This Row],[Diff]]/SUM(Table5[Diff]), "")</f>
        <v/>
      </c>
    </row>
    <row r="162" spans="1:9" hidden="1" x14ac:dyDescent="0.25">
      <c r="A162" t="str">
        <f>IF(Table1[[#This Row],[Included?]], (Table1[[#This Row],[I R]]-Data!S$188)/(Data!S$186-90*Data!S$188)*Data!B$193, "")</f>
        <v/>
      </c>
      <c r="B162" t="str">
        <f>IF(Table1[[#This Row],[Included?]], (Table1[[#This Row],[I HR]]-Data!T$188)/(Data!T$186-90*Data!T$188)*Data!C$193, "")</f>
        <v/>
      </c>
      <c r="C162" t="str">
        <f>IF(Table1[[#This Row],[Included?]], (Table1[[#This Row],[I RBI]]-Data!U$188)/(Data!U$186-90*Data!U$188)*Data!D$193, "")</f>
        <v/>
      </c>
      <c r="D162" t="str">
        <f>IF(Table1[[#This Row],[Included?]], (Table1[[#This Row],[I SB]]-Data!V$188)/(Data!V$186-90*Data!V$188)*Data!E$193, "")</f>
        <v/>
      </c>
      <c r="E162" t="str">
        <f>IF(Table1[[#This Row],[Included?]], (Table1[[#This Row],[I OBP]]-Data!W$188)/(Data!W$186-90*Data!W$188)*Data!F$193, "")</f>
        <v/>
      </c>
      <c r="F162" t="str">
        <f>IF( Table1[[#This Row],[Included?]], SUM(Table5[[#This Row],[Radj]:[OBPAdj]]), "")</f>
        <v/>
      </c>
      <c r="G16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2" t="str">
        <f>IF(Table1[[#This Row],[Included?]], Table5[[#This Row],[TotalAdj]]-Table5[[#This Row],[MinPos]], "")</f>
        <v/>
      </c>
      <c r="I162" t="str">
        <f>IF(Table1[[#This Row],[Included?]], 1+(Data!D$186-Data!B$185)*Table5[[#This Row],[Diff]]/SUM(Table5[Diff]), "")</f>
        <v/>
      </c>
    </row>
    <row r="163" spans="1:9" hidden="1" x14ac:dyDescent="0.25">
      <c r="A163" t="str">
        <f>IF(Table1[[#This Row],[Included?]], (Table1[[#This Row],[I R]]-Data!S$188)/(Data!S$186-90*Data!S$188)*Data!B$193, "")</f>
        <v/>
      </c>
      <c r="B163" t="str">
        <f>IF(Table1[[#This Row],[Included?]], (Table1[[#This Row],[I HR]]-Data!T$188)/(Data!T$186-90*Data!T$188)*Data!C$193, "")</f>
        <v/>
      </c>
      <c r="C163" t="str">
        <f>IF(Table1[[#This Row],[Included?]], (Table1[[#This Row],[I RBI]]-Data!U$188)/(Data!U$186-90*Data!U$188)*Data!D$193, "")</f>
        <v/>
      </c>
      <c r="D163" t="str">
        <f>IF(Table1[[#This Row],[Included?]], (Table1[[#This Row],[I SB]]-Data!V$188)/(Data!V$186-90*Data!V$188)*Data!E$193, "")</f>
        <v/>
      </c>
      <c r="E163" t="str">
        <f>IF(Table1[[#This Row],[Included?]], (Table1[[#This Row],[I OBP]]-Data!W$188)/(Data!W$186-90*Data!W$188)*Data!F$193, "")</f>
        <v/>
      </c>
      <c r="F163" t="str">
        <f>IF( Table1[[#This Row],[Included?]], SUM(Table5[[#This Row],[Radj]:[OBPAdj]]), "")</f>
        <v/>
      </c>
      <c r="G16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3" t="str">
        <f>IF(Table1[[#This Row],[Included?]], Table5[[#This Row],[TotalAdj]]-Table5[[#This Row],[MinPos]], "")</f>
        <v/>
      </c>
      <c r="I163" t="str">
        <f>IF(Table1[[#This Row],[Included?]], 1+(Data!D$186-Data!B$185)*Table5[[#This Row],[Diff]]/SUM(Table5[Diff]), "")</f>
        <v/>
      </c>
    </row>
    <row r="164" spans="1:9" hidden="1" x14ac:dyDescent="0.25">
      <c r="A164" t="str">
        <f>IF(Table1[[#This Row],[Included?]], (Table1[[#This Row],[I R]]-Data!S$188)/(Data!S$186-90*Data!S$188)*Data!B$193, "")</f>
        <v/>
      </c>
      <c r="B164" t="str">
        <f>IF(Table1[[#This Row],[Included?]], (Table1[[#This Row],[I HR]]-Data!T$188)/(Data!T$186-90*Data!T$188)*Data!C$193, "")</f>
        <v/>
      </c>
      <c r="C164" t="str">
        <f>IF(Table1[[#This Row],[Included?]], (Table1[[#This Row],[I RBI]]-Data!U$188)/(Data!U$186-90*Data!U$188)*Data!D$193, "")</f>
        <v/>
      </c>
      <c r="D164" t="str">
        <f>IF(Table1[[#This Row],[Included?]], (Table1[[#This Row],[I SB]]-Data!V$188)/(Data!V$186-90*Data!V$188)*Data!E$193, "")</f>
        <v/>
      </c>
      <c r="E164" t="str">
        <f>IF(Table1[[#This Row],[Included?]], (Table1[[#This Row],[I OBP]]-Data!W$188)/(Data!W$186-90*Data!W$188)*Data!F$193, "")</f>
        <v/>
      </c>
      <c r="F164" t="str">
        <f>IF( Table1[[#This Row],[Included?]], SUM(Table5[[#This Row],[Radj]:[OBPAdj]]), "")</f>
        <v/>
      </c>
      <c r="G16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4" t="str">
        <f>IF(Table1[[#This Row],[Included?]], Table5[[#This Row],[TotalAdj]]-Table5[[#This Row],[MinPos]], "")</f>
        <v/>
      </c>
      <c r="I164" t="str">
        <f>IF(Table1[[#This Row],[Included?]], 1+(Data!D$186-Data!B$185)*Table5[[#This Row],[Diff]]/SUM(Table5[Diff]), "")</f>
        <v/>
      </c>
    </row>
    <row r="165" spans="1:9" hidden="1" x14ac:dyDescent="0.25">
      <c r="A165" t="str">
        <f>IF(Table1[[#This Row],[Included?]], (Table1[[#This Row],[I R]]-Data!S$188)/(Data!S$186-90*Data!S$188)*Data!B$193, "")</f>
        <v/>
      </c>
      <c r="B165" t="str">
        <f>IF(Table1[[#This Row],[Included?]], (Table1[[#This Row],[I HR]]-Data!T$188)/(Data!T$186-90*Data!T$188)*Data!C$193, "")</f>
        <v/>
      </c>
      <c r="C165" t="str">
        <f>IF(Table1[[#This Row],[Included?]], (Table1[[#This Row],[I RBI]]-Data!U$188)/(Data!U$186-90*Data!U$188)*Data!D$193, "")</f>
        <v/>
      </c>
      <c r="D165" t="str">
        <f>IF(Table1[[#This Row],[Included?]], (Table1[[#This Row],[I SB]]-Data!V$188)/(Data!V$186-90*Data!V$188)*Data!E$193, "")</f>
        <v/>
      </c>
      <c r="E165" t="str">
        <f>IF(Table1[[#This Row],[Included?]], (Table1[[#This Row],[I OBP]]-Data!W$188)/(Data!W$186-90*Data!W$188)*Data!F$193, "")</f>
        <v/>
      </c>
      <c r="F165" t="str">
        <f>IF( Table1[[#This Row],[Included?]], SUM(Table5[[#This Row],[Radj]:[OBPAdj]]), "")</f>
        <v/>
      </c>
      <c r="G16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5" t="str">
        <f>IF(Table1[[#This Row],[Included?]], Table5[[#This Row],[TotalAdj]]-Table5[[#This Row],[MinPos]], "")</f>
        <v/>
      </c>
      <c r="I165" t="str">
        <f>IF(Table1[[#This Row],[Included?]], 1+(Data!D$186-Data!B$185)*Table5[[#This Row],[Diff]]/SUM(Table5[Diff]), "")</f>
        <v/>
      </c>
    </row>
    <row r="166" spans="1:9" hidden="1" x14ac:dyDescent="0.25">
      <c r="A166" t="str">
        <f>IF(Table1[[#This Row],[Included?]], (Table1[[#This Row],[I R]]-Data!S$188)/(Data!S$186-90*Data!S$188)*Data!B$193, "")</f>
        <v/>
      </c>
      <c r="B166" t="str">
        <f>IF(Table1[[#This Row],[Included?]], (Table1[[#This Row],[I HR]]-Data!T$188)/(Data!T$186-90*Data!T$188)*Data!C$193, "")</f>
        <v/>
      </c>
      <c r="C166" t="str">
        <f>IF(Table1[[#This Row],[Included?]], (Table1[[#This Row],[I RBI]]-Data!U$188)/(Data!U$186-90*Data!U$188)*Data!D$193, "")</f>
        <v/>
      </c>
      <c r="D166" t="str">
        <f>IF(Table1[[#This Row],[Included?]], (Table1[[#This Row],[I SB]]-Data!V$188)/(Data!V$186-90*Data!V$188)*Data!E$193, "")</f>
        <v/>
      </c>
      <c r="E166" t="str">
        <f>IF(Table1[[#This Row],[Included?]], (Table1[[#This Row],[I OBP]]-Data!W$188)/(Data!W$186-90*Data!W$188)*Data!F$193, "")</f>
        <v/>
      </c>
      <c r="F166" t="str">
        <f>IF( Table1[[#This Row],[Included?]], SUM(Table5[[#This Row],[Radj]:[OBPAdj]]), "")</f>
        <v/>
      </c>
      <c r="G16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6" t="str">
        <f>IF(Table1[[#This Row],[Included?]], Table5[[#This Row],[TotalAdj]]-Table5[[#This Row],[MinPos]], "")</f>
        <v/>
      </c>
      <c r="I166" t="str">
        <f>IF(Table1[[#This Row],[Included?]], 1+(Data!D$186-Data!B$185)*Table5[[#This Row],[Diff]]/SUM(Table5[Diff]), "")</f>
        <v/>
      </c>
    </row>
    <row r="167" spans="1:9" hidden="1" x14ac:dyDescent="0.25">
      <c r="A167" t="str">
        <f>IF(Table1[[#This Row],[Included?]], (Table1[[#This Row],[I R]]-Data!S$188)/(Data!S$186-90*Data!S$188)*Data!B$193, "")</f>
        <v/>
      </c>
      <c r="B167" t="str">
        <f>IF(Table1[[#This Row],[Included?]], (Table1[[#This Row],[I HR]]-Data!T$188)/(Data!T$186-90*Data!T$188)*Data!C$193, "")</f>
        <v/>
      </c>
      <c r="C167" t="str">
        <f>IF(Table1[[#This Row],[Included?]], (Table1[[#This Row],[I RBI]]-Data!U$188)/(Data!U$186-90*Data!U$188)*Data!D$193, "")</f>
        <v/>
      </c>
      <c r="D167" t="str">
        <f>IF(Table1[[#This Row],[Included?]], (Table1[[#This Row],[I SB]]-Data!V$188)/(Data!V$186-90*Data!V$188)*Data!E$193, "")</f>
        <v/>
      </c>
      <c r="E167" t="str">
        <f>IF(Table1[[#This Row],[Included?]], (Table1[[#This Row],[I OBP]]-Data!W$188)/(Data!W$186-90*Data!W$188)*Data!F$193, "")</f>
        <v/>
      </c>
      <c r="F167" t="str">
        <f>IF( Table1[[#This Row],[Included?]], SUM(Table5[[#This Row],[Radj]:[OBPAdj]]), "")</f>
        <v/>
      </c>
      <c r="G16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7" t="str">
        <f>IF(Table1[[#This Row],[Included?]], Table5[[#This Row],[TotalAdj]]-Table5[[#This Row],[MinPos]], "")</f>
        <v/>
      </c>
      <c r="I167" t="str">
        <f>IF(Table1[[#This Row],[Included?]], 1+(Data!D$186-Data!B$185)*Table5[[#This Row],[Diff]]/SUM(Table5[Diff]), "")</f>
        <v/>
      </c>
    </row>
    <row r="168" spans="1:9" hidden="1" x14ac:dyDescent="0.25">
      <c r="A168" t="str">
        <f>IF(Table1[[#This Row],[Included?]], (Table1[[#This Row],[I R]]-Data!S$188)/(Data!S$186-90*Data!S$188)*Data!B$193, "")</f>
        <v/>
      </c>
      <c r="B168" t="str">
        <f>IF(Table1[[#This Row],[Included?]], (Table1[[#This Row],[I HR]]-Data!T$188)/(Data!T$186-90*Data!T$188)*Data!C$193, "")</f>
        <v/>
      </c>
      <c r="C168" t="str">
        <f>IF(Table1[[#This Row],[Included?]], (Table1[[#This Row],[I RBI]]-Data!U$188)/(Data!U$186-90*Data!U$188)*Data!D$193, "")</f>
        <v/>
      </c>
      <c r="D168" t="str">
        <f>IF(Table1[[#This Row],[Included?]], (Table1[[#This Row],[I SB]]-Data!V$188)/(Data!V$186-90*Data!V$188)*Data!E$193, "")</f>
        <v/>
      </c>
      <c r="E168" t="str">
        <f>IF(Table1[[#This Row],[Included?]], (Table1[[#This Row],[I OBP]]-Data!W$188)/(Data!W$186-90*Data!W$188)*Data!F$193, "")</f>
        <v/>
      </c>
      <c r="F168" t="str">
        <f>IF( Table1[[#This Row],[Included?]], SUM(Table5[[#This Row],[Radj]:[OBPAdj]]), "")</f>
        <v/>
      </c>
      <c r="G16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8" t="str">
        <f>IF(Table1[[#This Row],[Included?]], Table5[[#This Row],[TotalAdj]]-Table5[[#This Row],[MinPos]], "")</f>
        <v/>
      </c>
      <c r="I168" t="str">
        <f>IF(Table1[[#This Row],[Included?]], 1+(Data!D$186-Data!B$185)*Table5[[#This Row],[Diff]]/SUM(Table5[Diff]), "")</f>
        <v/>
      </c>
    </row>
    <row r="169" spans="1:9" hidden="1" x14ac:dyDescent="0.25">
      <c r="A169" t="str">
        <f>IF(Table1[[#This Row],[Included?]], (Table1[[#This Row],[I R]]-Data!S$188)/(Data!S$186-90*Data!S$188)*Data!B$193, "")</f>
        <v/>
      </c>
      <c r="B169" t="str">
        <f>IF(Table1[[#This Row],[Included?]], (Table1[[#This Row],[I HR]]-Data!T$188)/(Data!T$186-90*Data!T$188)*Data!C$193, "")</f>
        <v/>
      </c>
      <c r="C169" t="str">
        <f>IF(Table1[[#This Row],[Included?]], (Table1[[#This Row],[I RBI]]-Data!U$188)/(Data!U$186-90*Data!U$188)*Data!D$193, "")</f>
        <v/>
      </c>
      <c r="D169" t="str">
        <f>IF(Table1[[#This Row],[Included?]], (Table1[[#This Row],[I SB]]-Data!V$188)/(Data!V$186-90*Data!V$188)*Data!E$193, "")</f>
        <v/>
      </c>
      <c r="E169" t="str">
        <f>IF(Table1[[#This Row],[Included?]], (Table1[[#This Row],[I OBP]]-Data!W$188)/(Data!W$186-90*Data!W$188)*Data!F$193, "")</f>
        <v/>
      </c>
      <c r="F169" t="str">
        <f>IF( Table1[[#This Row],[Included?]], SUM(Table5[[#This Row],[Radj]:[OBPAdj]]), "")</f>
        <v/>
      </c>
      <c r="G16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69" t="str">
        <f>IF(Table1[[#This Row],[Included?]], Table5[[#This Row],[TotalAdj]]-Table5[[#This Row],[MinPos]], "")</f>
        <v/>
      </c>
      <c r="I169" t="str">
        <f>IF(Table1[[#This Row],[Included?]], 1+(Data!D$186-Data!B$185)*Table5[[#This Row],[Diff]]/SUM(Table5[Diff]), "")</f>
        <v/>
      </c>
    </row>
    <row r="170" spans="1:9" hidden="1" x14ac:dyDescent="0.25">
      <c r="A170" t="str">
        <f>IF(Table1[[#This Row],[Included?]], (Table1[[#This Row],[I R]]-Data!S$188)/(Data!S$186-90*Data!S$188)*Data!B$193, "")</f>
        <v/>
      </c>
      <c r="B170" t="str">
        <f>IF(Table1[[#This Row],[Included?]], (Table1[[#This Row],[I HR]]-Data!T$188)/(Data!T$186-90*Data!T$188)*Data!C$193, "")</f>
        <v/>
      </c>
      <c r="C170" t="str">
        <f>IF(Table1[[#This Row],[Included?]], (Table1[[#This Row],[I RBI]]-Data!U$188)/(Data!U$186-90*Data!U$188)*Data!D$193, "")</f>
        <v/>
      </c>
      <c r="D170" t="str">
        <f>IF(Table1[[#This Row],[Included?]], (Table1[[#This Row],[I SB]]-Data!V$188)/(Data!V$186-90*Data!V$188)*Data!E$193, "")</f>
        <v/>
      </c>
      <c r="E170" t="str">
        <f>IF(Table1[[#This Row],[Included?]], (Table1[[#This Row],[I OBP]]-Data!W$188)/(Data!W$186-90*Data!W$188)*Data!F$193, "")</f>
        <v/>
      </c>
      <c r="F170" t="str">
        <f>IF( Table1[[#This Row],[Included?]], SUM(Table5[[#This Row],[Radj]:[OBPAdj]]), "")</f>
        <v/>
      </c>
      <c r="G17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0" t="str">
        <f>IF(Table1[[#This Row],[Included?]], Table5[[#This Row],[TotalAdj]]-Table5[[#This Row],[MinPos]], "")</f>
        <v/>
      </c>
      <c r="I170" t="str">
        <f>IF(Table1[[#This Row],[Included?]], 1+(Data!D$186-Data!B$185)*Table5[[#This Row],[Diff]]/SUM(Table5[Diff]), "")</f>
        <v/>
      </c>
    </row>
    <row r="171" spans="1:9" hidden="1" x14ac:dyDescent="0.25">
      <c r="A171" t="str">
        <f>IF(Table1[[#This Row],[Included?]], (Table1[[#This Row],[I R]]-Data!S$188)/(Data!S$186-90*Data!S$188)*Data!B$193, "")</f>
        <v/>
      </c>
      <c r="B171" t="str">
        <f>IF(Table1[[#This Row],[Included?]], (Table1[[#This Row],[I HR]]-Data!T$188)/(Data!T$186-90*Data!T$188)*Data!C$193, "")</f>
        <v/>
      </c>
      <c r="C171" t="str">
        <f>IF(Table1[[#This Row],[Included?]], (Table1[[#This Row],[I RBI]]-Data!U$188)/(Data!U$186-90*Data!U$188)*Data!D$193, "")</f>
        <v/>
      </c>
      <c r="D171" t="str">
        <f>IF(Table1[[#This Row],[Included?]], (Table1[[#This Row],[I SB]]-Data!V$188)/(Data!V$186-90*Data!V$188)*Data!E$193, "")</f>
        <v/>
      </c>
      <c r="E171" t="str">
        <f>IF(Table1[[#This Row],[Included?]], (Table1[[#This Row],[I OBP]]-Data!W$188)/(Data!W$186-90*Data!W$188)*Data!F$193, "")</f>
        <v/>
      </c>
      <c r="F171" t="str">
        <f>IF( Table1[[#This Row],[Included?]], SUM(Table5[[#This Row],[Radj]:[OBPAdj]]), "")</f>
        <v/>
      </c>
      <c r="G17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1" t="str">
        <f>IF(Table1[[#This Row],[Included?]], Table5[[#This Row],[TotalAdj]]-Table5[[#This Row],[MinPos]], "")</f>
        <v/>
      </c>
      <c r="I171" t="str">
        <f>IF(Table1[[#This Row],[Included?]], 1+(Data!D$186-Data!B$185)*Table5[[#This Row],[Diff]]/SUM(Table5[Diff]), "")</f>
        <v/>
      </c>
    </row>
    <row r="172" spans="1:9" hidden="1" x14ac:dyDescent="0.25">
      <c r="A172" t="str">
        <f>IF(Table1[[#This Row],[Included?]], (Table1[[#This Row],[I R]]-Data!S$188)/(Data!S$186-90*Data!S$188)*Data!B$193, "")</f>
        <v/>
      </c>
      <c r="B172" t="str">
        <f>IF(Table1[[#This Row],[Included?]], (Table1[[#This Row],[I HR]]-Data!T$188)/(Data!T$186-90*Data!T$188)*Data!C$193, "")</f>
        <v/>
      </c>
      <c r="C172" t="str">
        <f>IF(Table1[[#This Row],[Included?]], (Table1[[#This Row],[I RBI]]-Data!U$188)/(Data!U$186-90*Data!U$188)*Data!D$193, "")</f>
        <v/>
      </c>
      <c r="D172" t="str">
        <f>IF(Table1[[#This Row],[Included?]], (Table1[[#This Row],[I SB]]-Data!V$188)/(Data!V$186-90*Data!V$188)*Data!E$193, "")</f>
        <v/>
      </c>
      <c r="E172" t="str">
        <f>IF(Table1[[#This Row],[Included?]], (Table1[[#This Row],[I OBP]]-Data!W$188)/(Data!W$186-90*Data!W$188)*Data!F$193, "")</f>
        <v/>
      </c>
      <c r="F172" t="str">
        <f>IF( Table1[[#This Row],[Included?]], SUM(Table5[[#This Row],[Radj]:[OBPAdj]]), "")</f>
        <v/>
      </c>
      <c r="G17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2" t="str">
        <f>IF(Table1[[#This Row],[Included?]], Table5[[#This Row],[TotalAdj]]-Table5[[#This Row],[MinPos]], "")</f>
        <v/>
      </c>
      <c r="I172" t="str">
        <f>IF(Table1[[#This Row],[Included?]], 1+(Data!D$186-Data!B$185)*Table5[[#This Row],[Diff]]/SUM(Table5[Diff]), "")</f>
        <v/>
      </c>
    </row>
    <row r="173" spans="1:9" hidden="1" x14ac:dyDescent="0.25">
      <c r="A173" t="str">
        <f>IF(Table1[[#This Row],[Included?]], (Table1[[#This Row],[I R]]-Data!S$188)/(Data!S$186-90*Data!S$188)*Data!B$193, "")</f>
        <v/>
      </c>
      <c r="B173" t="str">
        <f>IF(Table1[[#This Row],[Included?]], (Table1[[#This Row],[I HR]]-Data!T$188)/(Data!T$186-90*Data!T$188)*Data!C$193, "")</f>
        <v/>
      </c>
      <c r="C173" t="str">
        <f>IF(Table1[[#This Row],[Included?]], (Table1[[#This Row],[I RBI]]-Data!U$188)/(Data!U$186-90*Data!U$188)*Data!D$193, "")</f>
        <v/>
      </c>
      <c r="D173" t="str">
        <f>IF(Table1[[#This Row],[Included?]], (Table1[[#This Row],[I SB]]-Data!V$188)/(Data!V$186-90*Data!V$188)*Data!E$193, "")</f>
        <v/>
      </c>
      <c r="E173" t="str">
        <f>IF(Table1[[#This Row],[Included?]], (Table1[[#This Row],[I OBP]]-Data!W$188)/(Data!W$186-90*Data!W$188)*Data!F$193, "")</f>
        <v/>
      </c>
      <c r="F173" t="str">
        <f>IF( Table1[[#This Row],[Included?]], SUM(Table5[[#This Row],[Radj]:[OBPAdj]]), "")</f>
        <v/>
      </c>
      <c r="G17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3" t="str">
        <f>IF(Table1[[#This Row],[Included?]], Table5[[#This Row],[TotalAdj]]-Table5[[#This Row],[MinPos]], "")</f>
        <v/>
      </c>
      <c r="I173" t="str">
        <f>IF(Table1[[#This Row],[Included?]], 1+(Data!D$186-Data!B$185)*Table5[[#This Row],[Diff]]/SUM(Table5[Diff]), "")</f>
        <v/>
      </c>
    </row>
    <row r="174" spans="1:9" hidden="1" x14ac:dyDescent="0.25">
      <c r="A174" t="str">
        <f>IF(Table1[[#This Row],[Included?]], (Table1[[#This Row],[I R]]-Data!S$188)/(Data!S$186-90*Data!S$188)*Data!B$193, "")</f>
        <v/>
      </c>
      <c r="B174" t="str">
        <f>IF(Table1[[#This Row],[Included?]], (Table1[[#This Row],[I HR]]-Data!T$188)/(Data!T$186-90*Data!T$188)*Data!C$193, "")</f>
        <v/>
      </c>
      <c r="C174" t="str">
        <f>IF(Table1[[#This Row],[Included?]], (Table1[[#This Row],[I RBI]]-Data!U$188)/(Data!U$186-90*Data!U$188)*Data!D$193, "")</f>
        <v/>
      </c>
      <c r="D174" t="str">
        <f>IF(Table1[[#This Row],[Included?]], (Table1[[#This Row],[I SB]]-Data!V$188)/(Data!V$186-90*Data!V$188)*Data!E$193, "")</f>
        <v/>
      </c>
      <c r="E174" t="str">
        <f>IF(Table1[[#This Row],[Included?]], (Table1[[#This Row],[I OBP]]-Data!W$188)/(Data!W$186-90*Data!W$188)*Data!F$193, "")</f>
        <v/>
      </c>
      <c r="F174" t="str">
        <f>IF( Table1[[#This Row],[Included?]], SUM(Table5[[#This Row],[Radj]:[OBPAdj]]), "")</f>
        <v/>
      </c>
      <c r="G174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4" t="str">
        <f>IF(Table1[[#This Row],[Included?]], Table5[[#This Row],[TotalAdj]]-Table5[[#This Row],[MinPos]], "")</f>
        <v/>
      </c>
      <c r="I174" t="str">
        <f>IF(Table1[[#This Row],[Included?]], 1+(Data!D$186-Data!B$185)*Table5[[#This Row],[Diff]]/SUM(Table5[Diff]), "")</f>
        <v/>
      </c>
    </row>
    <row r="175" spans="1:9" x14ac:dyDescent="0.25">
      <c r="A175" t="str">
        <f>IF(Table1[[#This Row],[Included?]], (Table1[[#This Row],[I R]]-Data!S$188)/(Data!S$186-90*Data!S$188)*Data!B$193, "")</f>
        <v/>
      </c>
      <c r="B175" t="str">
        <f>IF(Table1[[#This Row],[Included?]], (Table1[[#This Row],[I HR]]-Data!T$188)/(Data!T$186-90*Data!T$188)*Data!C$193, "")</f>
        <v/>
      </c>
      <c r="C175" t="str">
        <f>IF(Table1[[#This Row],[Included?]], (Table1[[#This Row],[I RBI]]-Data!U$188)/(Data!U$186-90*Data!U$188)*Data!D$193, "")</f>
        <v/>
      </c>
      <c r="D175" t="str">
        <f>IF(Table1[[#This Row],[Included?]], (Table1[[#This Row],[I SB]]-Data!V$188)/(Data!V$186-90*Data!V$188)*Data!E$193, "")</f>
        <v/>
      </c>
      <c r="E175" t="str">
        <f>IF(Table1[[#This Row],[Included?]], (Table1[[#This Row],[I OBP]]-Data!W$188)/(Data!W$186-90*Data!W$188)*Data!F$193, "")</f>
        <v/>
      </c>
      <c r="F175" t="str">
        <f>IF( Table1[[#This Row],[Included?]], SUM(Table5[[#This Row],[Radj]:[OBPAdj]]), "")</f>
        <v/>
      </c>
      <c r="G175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5" t="str">
        <f>IF(Table1[[#This Row],[Included?]], Table5[[#This Row],[TotalAdj]]-Table5[[#This Row],[MinPos]], "")</f>
        <v/>
      </c>
      <c r="I175" t="str">
        <f>IF(Table1[[#This Row],[Included?]], 1+(Data!D$186-Data!B$185)*Table5[[#This Row],[Diff]]/SUM(Table5[Diff]), "")</f>
        <v/>
      </c>
    </row>
    <row r="176" spans="1:9" x14ac:dyDescent="0.25">
      <c r="A176" t="str">
        <f>IF(Table1[[#This Row],[Included?]], (Table1[[#This Row],[I R]]-Data!S$188)/(Data!S$186-90*Data!S$188)*Data!B$193, "")</f>
        <v/>
      </c>
      <c r="B176" t="str">
        <f>IF(Table1[[#This Row],[Included?]], (Table1[[#This Row],[I HR]]-Data!T$188)/(Data!T$186-90*Data!T$188)*Data!C$193, "")</f>
        <v/>
      </c>
      <c r="C176" t="str">
        <f>IF(Table1[[#This Row],[Included?]], (Table1[[#This Row],[I RBI]]-Data!U$188)/(Data!U$186-90*Data!U$188)*Data!D$193, "")</f>
        <v/>
      </c>
      <c r="D176" t="str">
        <f>IF(Table1[[#This Row],[Included?]], (Table1[[#This Row],[I SB]]-Data!V$188)/(Data!V$186-90*Data!V$188)*Data!E$193, "")</f>
        <v/>
      </c>
      <c r="E176" t="str">
        <f>IF(Table1[[#This Row],[Included?]], (Table1[[#This Row],[I OBP]]-Data!W$188)/(Data!W$186-90*Data!W$188)*Data!F$193, "")</f>
        <v/>
      </c>
      <c r="F176" t="str">
        <f>IF( Table1[[#This Row],[Included?]], SUM(Table5[[#This Row],[Radj]:[OBPAdj]]), "")</f>
        <v/>
      </c>
      <c r="G176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6" t="str">
        <f>IF(Table1[[#This Row],[Included?]], Table5[[#This Row],[TotalAdj]]-Table5[[#This Row],[MinPos]], "")</f>
        <v/>
      </c>
      <c r="I176" t="str">
        <f>IF(Table1[[#This Row],[Included?]], 1+(Data!D$186-Data!B$185)*Table5[[#This Row],[Diff]]/SUM(Table5[Diff]), "")</f>
        <v/>
      </c>
    </row>
    <row r="177" spans="1:9" x14ac:dyDescent="0.25">
      <c r="A177" t="str">
        <f>IF(Table1[[#This Row],[Included?]], (Table1[[#This Row],[I R]]-Data!S$188)/(Data!S$186-90*Data!S$188)*Data!B$193, "")</f>
        <v/>
      </c>
      <c r="B177" t="str">
        <f>IF(Table1[[#This Row],[Included?]], (Table1[[#This Row],[I HR]]-Data!T$188)/(Data!T$186-90*Data!T$188)*Data!C$193, "")</f>
        <v/>
      </c>
      <c r="C177" t="str">
        <f>IF(Table1[[#This Row],[Included?]], (Table1[[#This Row],[I RBI]]-Data!U$188)/(Data!U$186-90*Data!U$188)*Data!D$193, "")</f>
        <v/>
      </c>
      <c r="D177" t="str">
        <f>IF(Table1[[#This Row],[Included?]], (Table1[[#This Row],[I SB]]-Data!V$188)/(Data!V$186-90*Data!V$188)*Data!E$193, "")</f>
        <v/>
      </c>
      <c r="E177" t="str">
        <f>IF(Table1[[#This Row],[Included?]], (Table1[[#This Row],[I OBP]]-Data!W$188)/(Data!W$186-90*Data!W$188)*Data!F$193, "")</f>
        <v/>
      </c>
      <c r="F177" t="str">
        <f>IF( Table1[[#This Row],[Included?]], SUM(Table5[[#This Row],[Radj]:[OBPAdj]]), "")</f>
        <v/>
      </c>
      <c r="G177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7" t="str">
        <f>IF(Table1[[#This Row],[Included?]], Table5[[#This Row],[TotalAdj]]-Table5[[#This Row],[MinPos]], "")</f>
        <v/>
      </c>
      <c r="I177" t="str">
        <f>IF(Table1[[#This Row],[Included?]], 1+(Data!D$186-Data!B$185)*Table5[[#This Row],[Diff]]/SUM(Table5[Diff]), "")</f>
        <v/>
      </c>
    </row>
    <row r="178" spans="1:9" x14ac:dyDescent="0.25">
      <c r="A178" t="str">
        <f>IF(Table1[[#This Row],[Included?]], (Table1[[#This Row],[I R]]-Data!S$188)/(Data!S$186-90*Data!S$188)*Data!B$193, "")</f>
        <v/>
      </c>
      <c r="B178" t="str">
        <f>IF(Table1[[#This Row],[Included?]], (Table1[[#This Row],[I HR]]-Data!T$188)/(Data!T$186-90*Data!T$188)*Data!C$193, "")</f>
        <v/>
      </c>
      <c r="C178" t="str">
        <f>IF(Table1[[#This Row],[Included?]], (Table1[[#This Row],[I RBI]]-Data!U$188)/(Data!U$186-90*Data!U$188)*Data!D$193, "")</f>
        <v/>
      </c>
      <c r="D178" t="str">
        <f>IF(Table1[[#This Row],[Included?]], (Table1[[#This Row],[I SB]]-Data!V$188)/(Data!V$186-90*Data!V$188)*Data!E$193, "")</f>
        <v/>
      </c>
      <c r="E178" t="str">
        <f>IF(Table1[[#This Row],[Included?]], (Table1[[#This Row],[I OBP]]-Data!W$188)/(Data!W$186-90*Data!W$188)*Data!F$193, "")</f>
        <v/>
      </c>
      <c r="F178" t="str">
        <f>IF( Table1[[#This Row],[Included?]], SUM(Table5[[#This Row],[Radj]:[OBPAdj]]), "")</f>
        <v/>
      </c>
      <c r="G178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8" t="str">
        <f>IF(Table1[[#This Row],[Included?]], Table5[[#This Row],[TotalAdj]]-Table5[[#This Row],[MinPos]], "")</f>
        <v/>
      </c>
      <c r="I178" t="str">
        <f>IF(Table1[[#This Row],[Included?]], 1+(Data!D$186-Data!B$185)*Table5[[#This Row],[Diff]]/SUM(Table5[Diff]), "")</f>
        <v/>
      </c>
    </row>
    <row r="179" spans="1:9" x14ac:dyDescent="0.25">
      <c r="A179" t="str">
        <f>IF(Table1[[#This Row],[Included?]], (Table1[[#This Row],[I R]]-Data!S$188)/(Data!S$186-90*Data!S$188)*Data!B$193, "")</f>
        <v/>
      </c>
      <c r="B179" t="str">
        <f>IF(Table1[[#This Row],[Included?]], (Table1[[#This Row],[I HR]]-Data!T$188)/(Data!T$186-90*Data!T$188)*Data!C$193, "")</f>
        <v/>
      </c>
      <c r="C179" t="str">
        <f>IF(Table1[[#This Row],[Included?]], (Table1[[#This Row],[I RBI]]-Data!U$188)/(Data!U$186-90*Data!U$188)*Data!D$193, "")</f>
        <v/>
      </c>
      <c r="D179" t="str">
        <f>IF(Table1[[#This Row],[Included?]], (Table1[[#This Row],[I SB]]-Data!V$188)/(Data!V$186-90*Data!V$188)*Data!E$193, "")</f>
        <v/>
      </c>
      <c r="E179" t="str">
        <f>IF(Table1[[#This Row],[Included?]], (Table1[[#This Row],[I OBP]]-Data!W$188)/(Data!W$186-90*Data!W$188)*Data!F$193, "")</f>
        <v/>
      </c>
      <c r="F179" t="str">
        <f>IF( Table1[[#This Row],[Included?]], SUM(Table5[[#This Row],[Radj]:[OBPAdj]]), "")</f>
        <v/>
      </c>
      <c r="G179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79" t="str">
        <f>IF(Table1[[#This Row],[Included?]], Table5[[#This Row],[TotalAdj]]-Table5[[#This Row],[MinPos]], "")</f>
        <v/>
      </c>
      <c r="I179" t="str">
        <f>IF(Table1[[#This Row],[Included?]], 1+(Data!D$186-Data!B$185)*Table5[[#This Row],[Diff]]/SUM(Table5[Diff]), "")</f>
        <v/>
      </c>
    </row>
    <row r="180" spans="1:9" x14ac:dyDescent="0.25">
      <c r="A180" t="str">
        <f>IF(Table1[[#This Row],[Included?]], (Table1[[#This Row],[I R]]-Data!S$188)/(Data!S$186-90*Data!S$188)*Data!B$193, "")</f>
        <v/>
      </c>
      <c r="B180" t="str">
        <f>IF(Table1[[#This Row],[Included?]], (Table1[[#This Row],[I HR]]-Data!T$188)/(Data!T$186-90*Data!T$188)*Data!C$193, "")</f>
        <v/>
      </c>
      <c r="C180" t="str">
        <f>IF(Table1[[#This Row],[Included?]], (Table1[[#This Row],[I RBI]]-Data!U$188)/(Data!U$186-90*Data!U$188)*Data!D$193, "")</f>
        <v/>
      </c>
      <c r="D180" t="str">
        <f>IF(Table1[[#This Row],[Included?]], (Table1[[#This Row],[I SB]]-Data!V$188)/(Data!V$186-90*Data!V$188)*Data!E$193, "")</f>
        <v/>
      </c>
      <c r="E180" t="str">
        <f>IF(Table1[[#This Row],[Included?]], (Table1[[#This Row],[I OBP]]-Data!W$188)/(Data!W$186-90*Data!W$188)*Data!F$193, "")</f>
        <v/>
      </c>
      <c r="F180" t="str">
        <f>IF( Table1[[#This Row],[Included?]], SUM(Table5[[#This Row],[Radj]:[OBPAdj]]), "")</f>
        <v/>
      </c>
      <c r="G180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0" t="str">
        <f>IF(Table1[[#This Row],[Included?]], Table5[[#This Row],[TotalAdj]]-Table5[[#This Row],[MinPos]], "")</f>
        <v/>
      </c>
      <c r="I180" t="str">
        <f>IF(Table1[[#This Row],[Included?]], 1+(Data!D$186-Data!B$185)*Table5[[#This Row],[Diff]]/SUM(Table5[Diff]), "")</f>
        <v/>
      </c>
    </row>
    <row r="181" spans="1:9" x14ac:dyDescent="0.25">
      <c r="A181" t="str">
        <f>IF(Table1[[#This Row],[Included?]], (Table1[[#This Row],[I R]]-Data!S$188)/(Data!S$186-90*Data!S$188)*Data!B$193, "")</f>
        <v/>
      </c>
      <c r="B181" t="str">
        <f>IF(Table1[[#This Row],[Included?]], (Table1[[#This Row],[I HR]]-Data!T$188)/(Data!T$186-90*Data!T$188)*Data!C$193, "")</f>
        <v/>
      </c>
      <c r="C181" t="str">
        <f>IF(Table1[[#This Row],[Included?]], (Table1[[#This Row],[I RBI]]-Data!U$188)/(Data!U$186-90*Data!U$188)*Data!D$193, "")</f>
        <v/>
      </c>
      <c r="D181" t="str">
        <f>IF(Table1[[#This Row],[Included?]], (Table1[[#This Row],[I SB]]-Data!V$188)/(Data!V$186-90*Data!V$188)*Data!E$193, "")</f>
        <v/>
      </c>
      <c r="E181" t="str">
        <f>IF(Table1[[#This Row],[Included?]], (Table1[[#This Row],[I OBP]]-Data!W$188)/(Data!W$186-90*Data!W$188)*Data!F$193, "")</f>
        <v/>
      </c>
      <c r="F181" t="str">
        <f>IF( Table1[[#This Row],[Included?]], SUM(Table5[[#This Row],[Radj]:[OBPAdj]]), "")</f>
        <v/>
      </c>
      <c r="G181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1" t="str">
        <f>IF(Table1[[#This Row],[Included?]], Table5[[#This Row],[TotalAdj]]-Table5[[#This Row],[MinPos]], "")</f>
        <v/>
      </c>
      <c r="I181" t="str">
        <f>IF(Table1[[#This Row],[Included?]], 1+(Data!D$186-Data!B$185)*Table5[[#This Row],[Diff]]/SUM(Table5[Diff]), "")</f>
        <v/>
      </c>
    </row>
    <row r="182" spans="1:9" x14ac:dyDescent="0.25">
      <c r="A182" t="str">
        <f>IF(Table1[[#This Row],[Included?]], (Table1[[#This Row],[I R]]-Data!S$188)/(Data!S$186-90*Data!S$188)*Data!B$193, "")</f>
        <v/>
      </c>
      <c r="B182" t="str">
        <f>IF(Table1[[#This Row],[Included?]], (Table1[[#This Row],[I HR]]-Data!T$188)/(Data!T$186-90*Data!T$188)*Data!C$193, "")</f>
        <v/>
      </c>
      <c r="C182" t="str">
        <f>IF(Table1[[#This Row],[Included?]], (Table1[[#This Row],[I RBI]]-Data!U$188)/(Data!U$186-90*Data!U$188)*Data!D$193, "")</f>
        <v/>
      </c>
      <c r="D182" t="str">
        <f>IF(Table1[[#This Row],[Included?]], (Table1[[#This Row],[I SB]]-Data!V$188)/(Data!V$186-90*Data!V$188)*Data!E$193, "")</f>
        <v/>
      </c>
      <c r="E182" t="str">
        <f>IF(Table1[[#This Row],[Included?]], (Table1[[#This Row],[I OBP]]-Data!W$188)/(Data!W$186-90*Data!W$188)*Data!F$193, "")</f>
        <v/>
      </c>
      <c r="F182" t="str">
        <f>IF( Table1[[#This Row],[Included?]], SUM(Table5[[#This Row],[Radj]:[OBPAdj]]), "")</f>
        <v/>
      </c>
      <c r="G182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2" t="str">
        <f>IF(Table1[[#This Row],[Included?]], Table5[[#This Row],[TotalAdj]]-Table5[[#This Row],[MinPos]], "")</f>
        <v/>
      </c>
      <c r="I182" t="str">
        <f>IF(Table1[[#This Row],[Included?]], 1+(Data!D$186-Data!B$185)*Table5[[#This Row],[Diff]]/SUM(Table5[Diff]), "")</f>
        <v/>
      </c>
    </row>
    <row r="183" spans="1:9" x14ac:dyDescent="0.25">
      <c r="A183" t="str">
        <f>IF(Table1[[#This Row],[Included?]], (Table1[[#This Row],[I R]]-Data!S$188)/(Data!S$186-90*Data!S$188)*Data!B$193, "")</f>
        <v/>
      </c>
      <c r="B183" t="str">
        <f>IF(Table1[[#This Row],[Included?]], (Table1[[#This Row],[I HR]]-Data!T$188)/(Data!T$186-90*Data!T$188)*Data!C$193, "")</f>
        <v/>
      </c>
      <c r="C183" t="str">
        <f>IF(Table1[[#This Row],[Included?]], (Table1[[#This Row],[I RBI]]-Data!U$188)/(Data!U$186-90*Data!U$188)*Data!D$193, "")</f>
        <v/>
      </c>
      <c r="D183" t="str">
        <f>IF(Table1[[#This Row],[Included?]], (Table1[[#This Row],[I SB]]-Data!V$188)/(Data!V$186-90*Data!V$188)*Data!E$193, "")</f>
        <v/>
      </c>
      <c r="E183" t="str">
        <f>IF(Table1[[#This Row],[Included?]], (Table1[[#This Row],[I OBP]]-Data!W$188)/(Data!W$186-90*Data!W$188)*Data!F$193, "")</f>
        <v/>
      </c>
      <c r="F183" t="str">
        <f>IF( Table1[[#This Row],[Included?]], SUM(Table5[[#This Row],[Radj]:[OBPAdj]]), "")</f>
        <v/>
      </c>
      <c r="G183" t="str">
        <f>IF(Table1[[#This Row],[Included?]], MIN(IF(Table6[[#This Row],[C]], MS!F$186, F$193), IF(Table6[[#This Row],[1B]],MS!F$187, F$193), IF(Table6[[#This Row],[2B]],MS!F$188, F$193), IF(Table6[[#This Row],[SS]],MS!F$189, F$193), IF(Table6[[#This Row],[3B]],MS!F$190, F$193), IF(Table6[[#This Row],[OF]],MS!F$191, F$193)), "")</f>
        <v/>
      </c>
      <c r="H183" t="str">
        <f>IF(Table1[[#This Row],[Included?]], Table5[[#This Row],[TotalAdj]]-Table5[[#This Row],[MinPos]], "")</f>
        <v/>
      </c>
      <c r="I183" t="str">
        <f>IF(Table1[[#This Row],[Included?]], 1+(Data!D$186-Data!B$185)*Table5[[#This Row],[Diff]]/SUM(Table5[Diff]), "")</f>
        <v/>
      </c>
    </row>
    <row r="185" spans="1:9" x14ac:dyDescent="0.25">
      <c r="E185" s="46" t="s">
        <v>338</v>
      </c>
      <c r="F185" s="46"/>
      <c r="G185" s="20"/>
    </row>
    <row r="186" spans="1:9" x14ac:dyDescent="0.25">
      <c r="E186" t="s">
        <v>37</v>
      </c>
      <c r="F186">
        <f t="array" ref="F186">MIN(IF(Table6[C], Table5[TotalAdj]))</f>
        <v>10.455397918814409</v>
      </c>
    </row>
    <row r="187" spans="1:9" x14ac:dyDescent="0.25">
      <c r="E187" t="s">
        <v>14</v>
      </c>
      <c r="F187">
        <f t="array" ref="F187">MIN(IF(Table6[1B], Table5[TotalAdj]))</f>
        <v>14.990693357836957</v>
      </c>
    </row>
    <row r="188" spans="1:9" x14ac:dyDescent="0.25">
      <c r="E188" t="s">
        <v>46</v>
      </c>
      <c r="F188">
        <f t="array" ref="F188">MIN(IF(Table6[2B], Table5[TotalAdj]))</f>
        <v>16.226444746779304</v>
      </c>
    </row>
    <row r="189" spans="1:9" x14ac:dyDescent="0.25">
      <c r="E189" t="s">
        <v>30</v>
      </c>
      <c r="F189">
        <f t="array" ref="F189">MIN(IF(Table6[SS], Table5[TotalAdj]))</f>
        <v>12.939623642081092</v>
      </c>
    </row>
    <row r="190" spans="1:9" x14ac:dyDescent="0.25">
      <c r="E190" t="s">
        <v>16</v>
      </c>
      <c r="F190">
        <f t="array" ref="F190">MIN(IF(Table6[3B], Table5[TotalAdj]))</f>
        <v>14.83339836671604</v>
      </c>
    </row>
    <row r="191" spans="1:9" x14ac:dyDescent="0.25">
      <c r="E191" t="s">
        <v>21</v>
      </c>
      <c r="F191">
        <f t="array" ref="F191">MIN(IF(Table6[OF], Table5[TotalAdj]))</f>
        <v>14.329004017973325</v>
      </c>
    </row>
    <row r="193" spans="5:6" x14ac:dyDescent="0.25">
      <c r="E193" t="s">
        <v>349</v>
      </c>
      <c r="F193">
        <f>MAX(Table5[TotalAdj])+10</f>
        <v>48.85677790921693</v>
      </c>
    </row>
  </sheetData>
  <mergeCells count="1">
    <mergeCell ref="E185:F185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5"/>
  <sheetViews>
    <sheetView topLeftCell="M1" zoomScale="60" zoomScaleNormal="60" workbookViewId="0">
      <selection activeCell="M2" sqref="M2:R150"/>
    </sheetView>
  </sheetViews>
  <sheetFormatPr defaultRowHeight="15" x14ac:dyDescent="0.25"/>
  <cols>
    <col min="1" max="1" width="10.5703125" hidden="1" customWidth="1"/>
    <col min="2" max="2" width="12" hidden="1" customWidth="1"/>
    <col min="3" max="3" width="12.28515625" hidden="1" customWidth="1"/>
    <col min="4" max="4" width="11.5703125" hidden="1" customWidth="1"/>
    <col min="5" max="5" width="13" hidden="1" customWidth="1"/>
    <col min="6" max="6" width="12" hidden="1" customWidth="1"/>
    <col min="7" max="7" width="12.140625" hidden="1" customWidth="1"/>
    <col min="8" max="8" width="15.28515625" hidden="1" customWidth="1"/>
    <col min="9" max="9" width="18" hidden="1" customWidth="1"/>
    <col min="10" max="10" width="21.28515625" hidden="1" customWidth="1"/>
    <col min="11" max="11" width="10.5703125" hidden="1" customWidth="1"/>
    <col min="12" max="12" width="18" hidden="1" customWidth="1"/>
    <col min="13" max="13" width="13.7109375" customWidth="1"/>
    <col min="14" max="14" width="15.7109375" customWidth="1"/>
    <col min="15" max="15" width="18.42578125" customWidth="1"/>
    <col min="16" max="16" width="21.7109375" customWidth="1"/>
    <col min="17" max="18" width="13" customWidth="1"/>
    <col min="19" max="19" width="20.5703125" bestFit="1" customWidth="1"/>
    <col min="20" max="20" width="11.5703125" hidden="1" customWidth="1"/>
    <col min="21" max="21" width="13" hidden="1" customWidth="1"/>
    <col min="22" max="22" width="13.42578125" hidden="1" customWidth="1"/>
    <col min="23" max="23" width="12.7109375" hidden="1" customWidth="1"/>
    <col min="24" max="24" width="14.140625" hidden="1" customWidth="1"/>
    <col min="25" max="25" width="13" hidden="1" customWidth="1"/>
    <col min="26" max="26" width="13.140625" hidden="1" customWidth="1"/>
    <col min="27" max="27" width="16.42578125" hidden="1" customWidth="1"/>
    <col min="28" max="28" width="19.140625" hidden="1" customWidth="1"/>
    <col min="29" max="29" width="22.42578125" hidden="1" customWidth="1"/>
    <col min="30" max="30" width="11.5703125" hidden="1" customWidth="1"/>
    <col min="31" max="31" width="19.140625" hidden="1" customWidth="1"/>
    <col min="32" max="32" width="13.7109375" bestFit="1" customWidth="1"/>
    <col min="33" max="33" width="16.7109375" bestFit="1" customWidth="1"/>
    <col min="34" max="34" width="19.42578125" bestFit="1" customWidth="1"/>
    <col min="35" max="35" width="22.85546875" bestFit="1" customWidth="1"/>
    <col min="36" max="36" width="13" bestFit="1" customWidth="1"/>
    <col min="37" max="37" width="15" bestFit="1" customWidth="1"/>
    <col min="38" max="38" width="22" bestFit="1" customWidth="1"/>
  </cols>
  <sheetData>
    <row r="1" spans="1:38" x14ac:dyDescent="0.25">
      <c r="A1" t="s">
        <v>211</v>
      </c>
      <c r="B1" t="s">
        <v>212</v>
      </c>
      <c r="C1" t="s">
        <v>213</v>
      </c>
      <c r="D1" t="s">
        <v>214</v>
      </c>
      <c r="E1" t="s">
        <v>215</v>
      </c>
      <c r="F1" t="s">
        <v>223</v>
      </c>
      <c r="G1" t="s">
        <v>225</v>
      </c>
      <c r="H1" t="s">
        <v>224</v>
      </c>
      <c r="I1" t="s">
        <v>221</v>
      </c>
      <c r="J1" t="s">
        <v>226</v>
      </c>
      <c r="K1" t="s">
        <v>210</v>
      </c>
      <c r="L1" t="s">
        <v>220</v>
      </c>
      <c r="M1" t="s">
        <v>229</v>
      </c>
      <c r="N1" t="s">
        <v>230</v>
      </c>
      <c r="O1" t="s">
        <v>232</v>
      </c>
      <c r="P1" t="s">
        <v>231</v>
      </c>
      <c r="Q1" t="s">
        <v>233</v>
      </c>
      <c r="R1" t="s">
        <v>234</v>
      </c>
      <c r="S1" t="s">
        <v>327</v>
      </c>
      <c r="T1" t="s">
        <v>235</v>
      </c>
      <c r="U1" t="s">
        <v>236</v>
      </c>
      <c r="V1" t="s">
        <v>237</v>
      </c>
      <c r="W1" t="s">
        <v>238</v>
      </c>
      <c r="X1" t="s">
        <v>239</v>
      </c>
      <c r="Y1" t="s">
        <v>240</v>
      </c>
      <c r="Z1" t="s">
        <v>241</v>
      </c>
      <c r="AA1" t="s">
        <v>242</v>
      </c>
      <c r="AB1" t="s">
        <v>243</v>
      </c>
      <c r="AC1" t="s">
        <v>244</v>
      </c>
      <c r="AD1" t="s">
        <v>245</v>
      </c>
      <c r="AE1" t="s">
        <v>246</v>
      </c>
      <c r="AF1" t="s">
        <v>247</v>
      </c>
      <c r="AG1" t="s">
        <v>248</v>
      </c>
      <c r="AH1" t="s">
        <v>249</v>
      </c>
      <c r="AI1" t="s">
        <v>250</v>
      </c>
      <c r="AJ1" t="s">
        <v>251</v>
      </c>
      <c r="AK1" t="s">
        <v>252</v>
      </c>
      <c r="AL1" t="s">
        <v>328</v>
      </c>
    </row>
    <row r="2" spans="1:38" x14ac:dyDescent="0.25">
      <c r="A2" s="1">
        <f>(Table1[[#This Row],[R]]-Data!H$188)/(Data!H$187-Data!H$188)</f>
        <v>1</v>
      </c>
      <c r="B2" s="1">
        <f>(Table1[[#This Row],[HR]]-Data!I$188)/(Data!I$187-Data!I$188)</f>
        <v>1</v>
      </c>
      <c r="C2" s="1">
        <f>(Table1[[#This Row],[RBI]]-Data!J$188)/(Data!J$187-Data!J$188)</f>
        <v>0.76382917741473211</v>
      </c>
      <c r="D2" s="1">
        <f>(Table1[[#This Row],[SB]]-Data!K$188)/(Data!K$187-Data!K$188)</f>
        <v>0.2957967377666248</v>
      </c>
      <c r="E2" s="1">
        <f>(Table1[[#This Row],[OBP]]-Data!L$188)/(Data!L$187-Data!L$188)</f>
        <v>0.86142128636449533</v>
      </c>
      <c r="F2" s="1">
        <f>(Table1[[#This Row],[OB]]-Data!P$188)/(Data!P$187-Data!P$188)</f>
        <v>1</v>
      </c>
      <c r="G2" s="1">
        <f>SUM(Table3[[#This Row],[R Scale]:[OBP Scale]])</f>
        <v>3.9210472015458522</v>
      </c>
      <c r="H2" s="1">
        <f>SUM(Table3[[#This Row],[R Scale]:[SB Scale]],Table3[[#This Row],[OB Scale]])</f>
        <v>4.059625915181357</v>
      </c>
      <c r="I2" s="1">
        <f>Table3[[#This Row],[R Scale]]*Data!B$192+Table3[[#This Row],[HR Scale]]*Data!C$192+Table3[[#This Row],[RBI Scale]]*Data!D$192+Table3[[#This Row],[SB Scale]]*Data!E$192+Table3[[#This Row],[OBP Scale]]*Data!F$192</f>
        <v>4.1460972943016978</v>
      </c>
      <c r="J2" s="1">
        <f>Table3[[#This Row],[R Scale]]*Data!B$192+Table3[[#This Row],[HR Scale]]*Data!C$192+Table3[[#This Row],[RBI Scale]]*Data!D$192+Table3[[#This Row],[SB Scale]]*Data!E$192+Table3[[#This Row],[OB Scale]]*Data!F$192</f>
        <v>4.312391750664303</v>
      </c>
      <c r="K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10.733120123906623</v>
      </c>
      <c r="L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11.339937749639846</v>
      </c>
      <c r="M2" s="1">
        <f ca="1">Table3[[#This Row],[Tot Scale]]*M$185+M$186</f>
        <v>78.350860160379483</v>
      </c>
      <c r="N2" s="1">
        <f ca="1">Table3[[#This Row],[OB Tot Scale]]*N$185+N$186</f>
        <v>80.531201414747727</v>
      </c>
      <c r="O2" s="1">
        <f ca="1">Table3[[#This Row],[Weighted Scale]]*O$185+O$186</f>
        <v>76.407153442859894</v>
      </c>
      <c r="P2" s="1">
        <f ca="1">Table3[[#This Row],[OB Weighted Scale]]*P$185+P$186</f>
        <v>79.335953090103899</v>
      </c>
      <c r="Q2" s="1">
        <f ca="1">Table3[[#This Row],[Z-score]]*Q$185+Q$186</f>
        <v>80.270638300092045</v>
      </c>
      <c r="R2" s="1">
        <f ca="1">Table3[[#This Row],[OBMod Z-Score]]*R$185+R$186</f>
        <v>84.212439244750627</v>
      </c>
      <c r="S2" s="1">
        <f ca="1">AVERAGE(Table3[[#This Row],[Tot Value]:[OB Z Value]])</f>
        <v>79.851374275488936</v>
      </c>
      <c r="T2" s="1">
        <f>IF(Table1[[#This Row],[Included?]], (Table1[[#This Row],[I R]]-Data!S$188)/(Data!S$187-Data!S$188), "")</f>
        <v>1</v>
      </c>
      <c r="U2" s="1">
        <f>IF(Table1[[#This Row],[Included?]], (Table1[[#This Row],[I HR]]-Data!T$188)/(Data!T$187-Data!T$188), "")</f>
        <v>1</v>
      </c>
      <c r="V2" s="1">
        <f>IF(Table1[[#This Row],[Included?]], (Table1[[#This Row],[I RBI]]-Data!U$188)/(Data!U$187-Data!U$188), "")</f>
        <v>0.70274170274170289</v>
      </c>
      <c r="W2" s="1">
        <f>IF(Table1[[#This Row],[Included?]], (Table1[[#This Row],[I SB]]-Data!V$188)/(Data!V$187-Data!V$188), "")</f>
        <v>0.2957967377666248</v>
      </c>
      <c r="X2" s="1">
        <f>IF(Table1[[#This Row],[Included?]], (Table1[[#This Row],[I OBP]]-Data!W$188)/(Data!W$187-Data!W$188), "")</f>
        <v>0.83337837103033019</v>
      </c>
      <c r="Y2" s="1">
        <f>IF(Table1[[#This Row],[Included?]], (Table1[[#This Row],[I OB]]-Data!AA$188)/(Data!AA$187-Data!AA$188), "")</f>
        <v>1</v>
      </c>
      <c r="Z2" s="1">
        <f>IF(Table1[[#This Row],[Included?]], SUM(Table35[[#This Row],[I R Scale]:[I OBP Scale]]), "")</f>
        <v>3.8319168115386577</v>
      </c>
      <c r="AA2" s="1">
        <f>IF(Table1[[#This Row],[Included?]], SUM(Table35[[#This Row],[I R Scale]:[I SB Scale]],Table35[[#This Row],[I OB Scale]]), "")</f>
        <v>3.9985384405083275</v>
      </c>
      <c r="AB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4.0391408262930648</v>
      </c>
      <c r="AC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4.2390867810566686</v>
      </c>
      <c r="AD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9.0861063352806042</v>
      </c>
      <c r="AE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9.4828461459081606</v>
      </c>
      <c r="AF2" s="1">
        <f ca="1">IF(Table1[[#This Row],[Included?]], Table35[[#This Row],[I Tot Scale]]*AF$185+AF$186, "")</f>
        <v>59.542173576277591</v>
      </c>
      <c r="AG2" s="1">
        <f ca="1">IF(Table1[[#This Row],[Included?]], Table35[[#This Row],[I OB Tot Scale]]*AG$185+AG$186, "")</f>
        <v>53.693208970457171</v>
      </c>
      <c r="AH2" s="1">
        <f ca="1">IF(Table1[[#This Row],[Included?]], Table35[[#This Row],[I Weighted Scale]]*AH$185+AH$186, "")</f>
        <v>58.28982599339799</v>
      </c>
      <c r="AI2" s="1">
        <f ca="1">IF(Table1[[#This Row],[Included?]], Table35[[#This Row],[I OB Weighted Scale]]*AI$185+AI$186, "")</f>
        <v>53.269101307980847</v>
      </c>
      <c r="AJ2" s="1">
        <f ca="1">IF(Table1[[#This Row],[Included?]], Table35[[#This Row],[I Z-score]]*AJ$185+AJ$186, "")</f>
        <v>61.250000121612246</v>
      </c>
      <c r="AK2" s="1">
        <f ca="1">IF(Table1[[#This Row],[Included?]], Table35[[#This Row],[I OBMod Z-Score]]*AK$185+AK$186, "")</f>
        <v>62.975598057519711</v>
      </c>
      <c r="AL2" s="1">
        <f ca="1">IF(Table1[[#This Row],[Included?]], AVERAGE(Table35[[#This Row],[I Tot Value]:[I OB Z Value]]), "")</f>
        <v>58.169984671207594</v>
      </c>
    </row>
    <row r="3" spans="1:38" x14ac:dyDescent="0.25">
      <c r="A3" s="1">
        <f>(Table1[[#This Row],[R]]-Data!H$188)/(Data!H$187-Data!H$188)</f>
        <v>0.94147727272727288</v>
      </c>
      <c r="B3" s="1">
        <f>(Table1[[#This Row],[HR]]-Data!I$188)/(Data!I$187-Data!I$188)</f>
        <v>0.74540503744043562</v>
      </c>
      <c r="C3" s="1">
        <f>(Table1[[#This Row],[RBI]]-Data!J$188)/(Data!J$187-Data!J$188)</f>
        <v>0.98882201203783304</v>
      </c>
      <c r="D3" s="1">
        <f>(Table1[[#This Row],[SB]]-Data!K$188)/(Data!K$187-Data!K$188)</f>
        <v>0.18099121706398996</v>
      </c>
      <c r="E3" s="1">
        <f>(Table1[[#This Row],[OBP]]-Data!L$188)/(Data!L$187-Data!L$188)</f>
        <v>0.7703187904931742</v>
      </c>
      <c r="F3" s="1">
        <f>(Table1[[#This Row],[OB]]-Data!P$188)/(Data!P$187-Data!P$188)</f>
        <v>0.91796640844581412</v>
      </c>
      <c r="G3" s="1">
        <f>SUM(Table3[[#This Row],[R Scale]:[OBP Scale]])</f>
        <v>3.627014329762706</v>
      </c>
      <c r="H3" s="1">
        <f>SUM(Table3[[#This Row],[R Scale]:[SB Scale]],Table3[[#This Row],[OB Scale]])</f>
        <v>3.7746619477153462</v>
      </c>
      <c r="I3" s="1">
        <f>Table3[[#This Row],[R Scale]]*Data!B$192+Table3[[#This Row],[HR Scale]]*Data!C$192+Table3[[#This Row],[RBI Scale]]*Data!D$192+Table3[[#This Row],[SB Scale]]*Data!E$192+Table3[[#This Row],[OBP Scale]]*Data!F$192</f>
        <v>3.8846947629961801</v>
      </c>
      <c r="J3" s="1">
        <f>Table3[[#This Row],[R Scale]]*Data!B$192+Table3[[#This Row],[HR Scale]]*Data!C$192+Table3[[#This Row],[RBI Scale]]*Data!D$192+Table3[[#This Row],[SB Scale]]*Data!E$192+Table3[[#This Row],[OB Scale]]*Data!F$192</f>
        <v>4.0618719045393483</v>
      </c>
      <c r="K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9.0774078933099283</v>
      </c>
      <c r="L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9.4974901640443861</v>
      </c>
      <c r="M3" s="1">
        <f ca="1">Table3[[#This Row],[Tot Scale]]*M$185+M$186</f>
        <v>67.491684386145209</v>
      </c>
      <c r="N3" s="1">
        <f ca="1">Table3[[#This Row],[OB Tot Scale]]*N$185+N$186</f>
        <v>70.139139488629354</v>
      </c>
      <c r="O3" s="1">
        <f ca="1">Table3[[#This Row],[Weighted Scale]]*O$185+O$186</f>
        <v>67.416406447196735</v>
      </c>
      <c r="P3" s="1">
        <f ca="1">Table3[[#This Row],[OB Weighted Scale]]*P$185+P$186</f>
        <v>70.783048449811858</v>
      </c>
      <c r="Q3" s="1">
        <f ca="1">Table3[[#This Row],[Z-score]]*Q$185+Q$186</f>
        <v>68.104858941006441</v>
      </c>
      <c r="R3" s="1">
        <f ca="1">Table3[[#This Row],[OBMod Z-Score]]*R$185+R$186</f>
        <v>70.798478906628702</v>
      </c>
      <c r="S3" s="1">
        <f ca="1">AVERAGE(Table3[[#This Row],[Tot Value]:[OB Z Value]])</f>
        <v>69.122269436569724</v>
      </c>
      <c r="T3" s="1">
        <f>IF(Table1[[#This Row],[Included?]], (Table1[[#This Row],[I R]]-Data!S$188)/(Data!S$187-Data!S$188), "")</f>
        <v>0.92603231597845614</v>
      </c>
      <c r="U3" s="1">
        <f>IF(Table1[[#This Row],[Included?]], (Table1[[#This Row],[I HR]]-Data!T$188)/(Data!T$187-Data!T$188), "")</f>
        <v>0.74540503744043562</v>
      </c>
      <c r="V3" s="1">
        <f>IF(Table1[[#This Row],[Included?]], (Table1[[#This Row],[I RBI]]-Data!U$188)/(Data!U$187-Data!U$188), "")</f>
        <v>0.98593073593073577</v>
      </c>
      <c r="W3" s="1">
        <f>IF(Table1[[#This Row],[Included?]], (Table1[[#This Row],[I SB]]-Data!V$188)/(Data!V$187-Data!V$188), "")</f>
        <v>0.18099121706398996</v>
      </c>
      <c r="X3" s="1">
        <f>IF(Table1[[#This Row],[Included?]], (Table1[[#This Row],[I OBP]]-Data!W$188)/(Data!W$187-Data!W$188), "")</f>
        <v>0.72384029070719869</v>
      </c>
      <c r="Y3" s="1">
        <f>IF(Table1[[#This Row],[Included?]], (Table1[[#This Row],[I OB]]-Data!AA$188)/(Data!AA$187-Data!AA$188), "")</f>
        <v>0.87370733794947908</v>
      </c>
      <c r="Z3" s="1">
        <f>IF(Table1[[#This Row],[Included?]], SUM(Table35[[#This Row],[I R Scale]:[I OBP Scale]]), "")</f>
        <v>3.5621995971208165</v>
      </c>
      <c r="AA3" s="1">
        <f>IF(Table1[[#This Row],[Included?]], SUM(Table35[[#This Row],[I R Scale]:[I SB Scale]],Table35[[#This Row],[I OB Scale]]), "")</f>
        <v>3.7120666443630967</v>
      </c>
      <c r="AB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3.8115505708505575</v>
      </c>
      <c r="AC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3.9913910275412938</v>
      </c>
      <c r="AD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7.4738220171931271</v>
      </c>
      <c r="AE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7.7184278993219326</v>
      </c>
      <c r="AF3" s="1">
        <f ca="1">IF(Table1[[#This Row],[Included?]], Table35[[#This Row],[I Tot Scale]]*AF$185+AF$186, "")</f>
        <v>53.8299069279511</v>
      </c>
      <c r="AG3" s="1">
        <f ca="1">IF(Table1[[#This Row],[Included?]], Table35[[#This Row],[I OB Tot Scale]]*AG$185+AG$186, "")</f>
        <v>49.188427105429639</v>
      </c>
      <c r="AH3" s="1">
        <f ca="1">IF(Table1[[#This Row],[Included?]], Table35[[#This Row],[I Weighted Scale]]*AH$185+AH$186, "")</f>
        <v>53.800180474892834</v>
      </c>
      <c r="AI3" s="1">
        <f ca="1">IF(Table1[[#This Row],[Included?]], Table35[[#This Row],[I OB Weighted Scale]]*AI$185+AI$186, "")</f>
        <v>49.641572624882755</v>
      </c>
      <c r="AJ3" s="1">
        <f ca="1">IF(Table1[[#This Row],[Included?]], Table35[[#This Row],[I Z-score]]*AJ$185+AJ$186, "")</f>
        <v>53.930393035467787</v>
      </c>
      <c r="AK3" s="1">
        <f ca="1">IF(Table1[[#This Row],[Included?]], Table35[[#This Row],[I OBMod Z-Score]]*AK$185+AK$186, "")</f>
        <v>54.979377492097768</v>
      </c>
      <c r="AL3" s="1">
        <f ca="1">IF(Table1[[#This Row],[Included?]], AVERAGE(Table35[[#This Row],[I Tot Value]:[I OB Z Value]]), "")</f>
        <v>52.561642943453649</v>
      </c>
    </row>
    <row r="4" spans="1:38" x14ac:dyDescent="0.25">
      <c r="A4" s="1">
        <f>(Table1[[#This Row],[R]]-Data!H$188)/(Data!H$187-Data!H$188)</f>
        <v>0.79517045454545476</v>
      </c>
      <c r="B4" s="1">
        <f>(Table1[[#This Row],[HR]]-Data!I$188)/(Data!I$187-Data!I$188)</f>
        <v>0.97004765146358074</v>
      </c>
      <c r="C4" s="1">
        <f>(Table1[[#This Row],[RBI]]-Data!J$188)/(Data!J$187-Data!J$188)</f>
        <v>0.86873029521352818</v>
      </c>
      <c r="D4" s="1">
        <f>(Table1[[#This Row],[SB]]-Data!K$188)/(Data!K$187-Data!K$188)</f>
        <v>0.23243412797992466</v>
      </c>
      <c r="E4" s="1">
        <f>(Table1[[#This Row],[OBP]]-Data!L$188)/(Data!L$187-Data!L$188)</f>
        <v>0.49293153670470569</v>
      </c>
      <c r="F4" s="1">
        <f>(Table1[[#This Row],[OB]]-Data!P$188)/(Data!P$187-Data!P$188)</f>
        <v>0.69461557100259341</v>
      </c>
      <c r="G4" s="1">
        <f>SUM(Table3[[#This Row],[R Scale]:[OBP Scale]])</f>
        <v>3.3593140659071938</v>
      </c>
      <c r="H4" s="1">
        <f>SUM(Table3[[#This Row],[R Scale]:[SB Scale]],Table3[[#This Row],[OB Scale]])</f>
        <v>3.5609981002050817</v>
      </c>
      <c r="I4" s="1">
        <f>Table3[[#This Row],[R Scale]]*Data!B$192+Table3[[#This Row],[HR Scale]]*Data!C$192+Table3[[#This Row],[RBI Scale]]*Data!D$192+Table3[[#This Row],[SB Scale]]*Data!E$192+Table3[[#This Row],[OBP Scale]]*Data!F$192</f>
        <v>3.5521293868362953</v>
      </c>
      <c r="J4" s="1">
        <f>Table3[[#This Row],[R Scale]]*Data!B$192+Table3[[#This Row],[HR Scale]]*Data!C$192+Table3[[#This Row],[RBI Scale]]*Data!D$192+Table3[[#This Row],[SB Scale]]*Data!E$192+Table3[[#This Row],[OB Scale]]*Data!F$192</f>
        <v>3.7941502279937604</v>
      </c>
      <c r="K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7.5542336650182307</v>
      </c>
      <c r="L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7.5726917052650711</v>
      </c>
      <c r="M4" s="1">
        <f ca="1">Table3[[#This Row],[Tot Scale]]*M$185+M$186</f>
        <v>57.605020346214815</v>
      </c>
      <c r="N4" s="1">
        <f ca="1">Table3[[#This Row],[OB Tot Scale]]*N$185+N$186</f>
        <v>62.347249326360924</v>
      </c>
      <c r="O4" s="1">
        <f ca="1">Table3[[#This Row],[Weighted Scale]]*O$185+O$186</f>
        <v>55.978065962741141</v>
      </c>
      <c r="P4" s="1">
        <f ca="1">Table3[[#This Row],[OB Weighted Scale]]*P$185+P$186</f>
        <v>61.642862532200311</v>
      </c>
      <c r="Q4" s="1">
        <f ca="1">Table3[[#This Row],[Z-score]]*Q$185+Q$186</f>
        <v>56.912937274664628</v>
      </c>
      <c r="R4" s="1">
        <f ca="1">Table3[[#This Row],[OBMod Z-Score]]*R$185+R$186</f>
        <v>56.784962111468715</v>
      </c>
      <c r="S4" s="1">
        <f ca="1">AVERAGE(Table3[[#This Row],[Tot Value]:[OB Z Value]])</f>
        <v>58.545182925608422</v>
      </c>
      <c r="T4" s="1">
        <f>IF(Table1[[#This Row],[Included?]], (Table1[[#This Row],[I R]]-Data!S$188)/(Data!S$187-Data!S$188), "")</f>
        <v>0.74111310592459623</v>
      </c>
      <c r="U4" s="1">
        <f>IF(Table1[[#This Row],[Included?]], (Table1[[#This Row],[I HR]]-Data!T$188)/(Data!T$187-Data!T$188), "")</f>
        <v>0.97004765146358074</v>
      </c>
      <c r="V4" s="1">
        <f>IF(Table1[[#This Row],[Included?]], (Table1[[#This Row],[I RBI]]-Data!U$188)/(Data!U$187-Data!U$188), "")</f>
        <v>0.83477633477633473</v>
      </c>
      <c r="W4" s="1">
        <f>IF(Table1[[#This Row],[Included?]], (Table1[[#This Row],[I SB]]-Data!V$188)/(Data!V$187-Data!V$188), "")</f>
        <v>0.23243412797992466</v>
      </c>
      <c r="X4" s="1">
        <f>IF(Table1[[#This Row],[Included?]], (Table1[[#This Row],[I OBP]]-Data!W$188)/(Data!W$187-Data!W$188), "")</f>
        <v>0.39032069834596367</v>
      </c>
      <c r="Y4" s="1">
        <f>IF(Table1[[#This Row],[Included?]], (Table1[[#This Row],[I OB]]-Data!AA$188)/(Data!AA$187-Data!AA$188), "")</f>
        <v>0.52985342033469973</v>
      </c>
      <c r="Z4" s="1">
        <f>IF(Table1[[#This Row],[Included?]], SUM(Table35[[#This Row],[I R Scale]:[I OBP Scale]]), "")</f>
        <v>3.1686919184904001</v>
      </c>
      <c r="AA4" s="1">
        <f>IF(Table1[[#This Row],[Included?]], SUM(Table35[[#This Row],[I R Scale]:[I SB Scale]],Table35[[#This Row],[I OB Scale]]), "")</f>
        <v>3.308224640479136</v>
      </c>
      <c r="AB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3.3396000145223996</v>
      </c>
      <c r="AC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3.5070392809088831</v>
      </c>
      <c r="AD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5.3836178734828222</v>
      </c>
      <c r="AE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5.3461231700785321</v>
      </c>
      <c r="AF4" s="1">
        <f ca="1">IF(Table1[[#This Row],[Included?]], Table35[[#This Row],[I Tot Scale]]*AF$185+AF$186, "")</f>
        <v>45.495916109631949</v>
      </c>
      <c r="AG4" s="1">
        <f ca="1">IF(Table1[[#This Row],[Included?]], Table35[[#This Row],[I OB Tot Scale]]*AG$185+AG$186, "")</f>
        <v>42.837993450485932</v>
      </c>
      <c r="AH4" s="1">
        <f ca="1">IF(Table1[[#This Row],[Included?]], Table35[[#This Row],[I Weighted Scale]]*AH$185+AH$186, "")</f>
        <v>44.490068774130684</v>
      </c>
      <c r="AI4" s="1">
        <f ca="1">IF(Table1[[#This Row],[Included?]], Table35[[#This Row],[I OB Weighted Scale]]*AI$185+AI$186, "")</f>
        <v>42.548193636014972</v>
      </c>
      <c r="AJ4" s="1">
        <f ca="1">IF(Table1[[#This Row],[Included?]], Table35[[#This Row],[I Z-score]]*AJ$185+AJ$186, "")</f>
        <v>44.441078470937995</v>
      </c>
      <c r="AK4" s="1">
        <f ca="1">IF(Table1[[#This Row],[Included?]], Table35[[#This Row],[I OBMod Z-Score]]*AK$185+AK$186, "")</f>
        <v>44.228257739099469</v>
      </c>
      <c r="AL4" s="1">
        <f ca="1">IF(Table1[[#This Row],[Included?]], AVERAGE(Table35[[#This Row],[I Tot Value]:[I OB Z Value]]), "")</f>
        <v>44.006918030050173</v>
      </c>
    </row>
    <row r="5" spans="1:38" x14ac:dyDescent="0.25">
      <c r="A5" s="1">
        <f>(Table1[[#This Row],[R]]-Data!H$188)/(Data!H$187-Data!H$188)</f>
        <v>0.70170454545454541</v>
      </c>
      <c r="B5" s="1">
        <f>(Table1[[#This Row],[HR]]-Data!I$188)/(Data!I$187-Data!I$188)</f>
        <v>0.83321987746766502</v>
      </c>
      <c r="C5" s="1">
        <f>(Table1[[#This Row],[RBI]]-Data!J$188)/(Data!J$187-Data!J$188)</f>
        <v>0.80653482373172825</v>
      </c>
      <c r="D5" s="1">
        <f>(Table1[[#This Row],[SB]]-Data!K$188)/(Data!K$187-Data!K$188)</f>
        <v>0.28168130489335003</v>
      </c>
      <c r="E5" s="1">
        <f>(Table1[[#This Row],[OBP]]-Data!L$188)/(Data!L$187-Data!L$188)</f>
        <v>1</v>
      </c>
      <c r="F5" s="1">
        <f>(Table1[[#This Row],[OB]]-Data!P$188)/(Data!P$187-Data!P$188)</f>
        <v>0.76576239122468071</v>
      </c>
      <c r="G5" s="1">
        <f>SUM(Table3[[#This Row],[R Scale]:[OBP Scale]])</f>
        <v>3.6231405515472885</v>
      </c>
      <c r="H5" s="1">
        <f>SUM(Table3[[#This Row],[R Scale]:[SB Scale]],Table3[[#This Row],[OB Scale]])</f>
        <v>3.3889029427719692</v>
      </c>
      <c r="I5" s="1">
        <f>Table3[[#This Row],[R Scale]]*Data!B$192+Table3[[#This Row],[HR Scale]]*Data!C$192+Table3[[#This Row],[RBI Scale]]*Data!D$192+Table3[[#This Row],[SB Scale]]*Data!E$192+Table3[[#This Row],[OBP Scale]]*Data!F$192</f>
        <v>3.9142770617481792</v>
      </c>
      <c r="J5" s="1">
        <f>Table3[[#This Row],[R Scale]]*Data!B$192+Table3[[#This Row],[HR Scale]]*Data!C$192+Table3[[#This Row],[RBI Scale]]*Data!D$192+Table3[[#This Row],[SB Scale]]*Data!E$192+Table3[[#This Row],[OB Scale]]*Data!F$192</f>
        <v>3.6331919312177963</v>
      </c>
      <c r="K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9.3380641332423835</v>
      </c>
      <c r="L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9.3951164202155031</v>
      </c>
      <c r="M5" s="1">
        <f ca="1">Table3[[#This Row],[Tot Scale]]*M$185+M$186</f>
        <v>67.348618618374047</v>
      </c>
      <c r="N5" s="1">
        <f ca="1">Table3[[#This Row],[OB Tot Scale]]*N$185+N$186</f>
        <v>56.071285564580009</v>
      </c>
      <c r="O5" s="1">
        <f ca="1">Table3[[#This Row],[Weighted Scale]]*O$185+O$186</f>
        <v>68.433867763661553</v>
      </c>
      <c r="P5" s="1">
        <f ca="1">Table3[[#This Row],[OB Weighted Scale]]*P$185+P$186</f>
        <v>56.147645348081525</v>
      </c>
      <c r="Q5" s="1">
        <f ca="1">Table3[[#This Row],[Z-score]]*Q$185+Q$186</f>
        <v>70.02009894768581</v>
      </c>
      <c r="R5" s="1">
        <f ca="1">Table3[[#This Row],[OBMod Z-Score]]*R$185+R$186</f>
        <v>70.053145714997157</v>
      </c>
      <c r="S5" s="1">
        <f ca="1">AVERAGE(Table3[[#This Row],[Tot Value]:[OB Z Value]])</f>
        <v>64.679110326230031</v>
      </c>
      <c r="T5" s="1">
        <f>IF(Table1[[#This Row],[Included?]], (Table1[[#This Row],[I R]]-Data!S$188)/(Data!S$187-Data!S$188), "")</f>
        <v>0.62298025134649915</v>
      </c>
      <c r="U5" s="1">
        <f>IF(Table1[[#This Row],[Included?]], (Table1[[#This Row],[I HR]]-Data!T$188)/(Data!T$187-Data!T$188), "")</f>
        <v>0.83321987746766502</v>
      </c>
      <c r="V5" s="1">
        <f>IF(Table1[[#This Row],[Included?]], (Table1[[#This Row],[I RBI]]-Data!U$188)/(Data!U$187-Data!U$188), "")</f>
        <v>0.75649350649350655</v>
      </c>
      <c r="W5" s="1">
        <f>IF(Table1[[#This Row],[Included?]], (Table1[[#This Row],[I SB]]-Data!V$188)/(Data!V$187-Data!V$188), "")</f>
        <v>0.28168130489335003</v>
      </c>
      <c r="X5" s="1">
        <f>IF(Table1[[#This Row],[Included?]], (Table1[[#This Row],[I OBP]]-Data!W$188)/(Data!W$187-Data!W$188), "")</f>
        <v>1</v>
      </c>
      <c r="Y5" s="1">
        <f>IF(Table1[[#This Row],[Included?]], (Table1[[#This Row],[I OB]]-Data!AA$188)/(Data!AA$187-Data!AA$188), "")</f>
        <v>0.63938563941768523</v>
      </c>
      <c r="Z5" s="1">
        <f>IF(Table1[[#This Row],[Included?]], SUM(Table35[[#This Row],[I R Scale]:[I OBP Scale]]), "")</f>
        <v>3.4943749402010207</v>
      </c>
      <c r="AA5" s="1">
        <f>IF(Table1[[#This Row],[Included?]], SUM(Table35[[#This Row],[I R Scale]:[I SB Scale]],Table35[[#This Row],[I OB Scale]]), "")</f>
        <v>3.133760579618706</v>
      </c>
      <c r="AB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3.7833756163650722</v>
      </c>
      <c r="AC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3.3506383836662943</v>
      </c>
      <c r="AD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7.538285663157497</v>
      </c>
      <c r="AE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7.4221785940197353</v>
      </c>
      <c r="AF5" s="1">
        <f ca="1">IF(Table1[[#This Row],[Included?]], Table35[[#This Row],[I Tot Scale]]*AF$185+AF$186, "")</f>
        <v>52.393467186819365</v>
      </c>
      <c r="AG5" s="1">
        <f ca="1">IF(Table1[[#This Row],[Included?]], Table35[[#This Row],[I OB Tot Scale]]*AG$185+AG$186, "")</f>
        <v>40.094538255110635</v>
      </c>
      <c r="AH5" s="1">
        <f ca="1">IF(Table1[[#This Row],[Included?]], Table35[[#This Row],[I Weighted Scale]]*AH$185+AH$186, "")</f>
        <v>53.244376546056337</v>
      </c>
      <c r="AI5" s="1">
        <f ca="1">IF(Table1[[#This Row],[Included?]], Table35[[#This Row],[I OB Weighted Scale]]*AI$185+AI$186, "")</f>
        <v>40.257687106299471</v>
      </c>
      <c r="AJ5" s="1">
        <f ca="1">IF(Table1[[#This Row],[Included?]], Table35[[#This Row],[I Z-score]]*AJ$185+AJ$186, "")</f>
        <v>54.223051442242607</v>
      </c>
      <c r="AK5" s="1">
        <f ca="1">IF(Table1[[#This Row],[Included?]], Table35[[#This Row],[I OBMod Z-Score]]*AK$185+AK$186, "")</f>
        <v>53.636796280339922</v>
      </c>
      <c r="AL5" s="1">
        <f ca="1">IF(Table1[[#This Row],[Included?]], AVERAGE(Table35[[#This Row],[I Tot Value]:[I OB Z Value]]), "")</f>
        <v>48.974986136144729</v>
      </c>
    </row>
    <row r="6" spans="1:38" x14ac:dyDescent="0.25">
      <c r="A6" s="1">
        <f>(Table1[[#This Row],[R]]-Data!H$188)/(Data!H$187-Data!H$188)</f>
        <v>0.98920454545454539</v>
      </c>
      <c r="B6" s="1">
        <f>(Table1[[#This Row],[HR]]-Data!I$188)/(Data!I$187-Data!I$188)</f>
        <v>0.40912185159972758</v>
      </c>
      <c r="C6" s="1">
        <f>(Table1[[#This Row],[RBI]]-Data!J$188)/(Data!J$187-Data!J$188)</f>
        <v>0.43479507022069352</v>
      </c>
      <c r="D6" s="1">
        <f>(Table1[[#This Row],[SB]]-Data!K$188)/(Data!K$187-Data!K$188)</f>
        <v>0.39084065244667493</v>
      </c>
      <c r="E6" s="1">
        <f>(Table1[[#This Row],[OBP]]-Data!L$188)/(Data!L$187-Data!L$188)</f>
        <v>0.58545504533018755</v>
      </c>
      <c r="F6" s="1">
        <f>(Table1[[#This Row],[OB]]-Data!P$188)/(Data!P$187-Data!P$188)</f>
        <v>0.87534178903639071</v>
      </c>
      <c r="G6" s="1">
        <f>SUM(Table3[[#This Row],[R Scale]:[OBP Scale]])</f>
        <v>2.8094171650518289</v>
      </c>
      <c r="H6" s="1">
        <f>SUM(Table3[[#This Row],[R Scale]:[SB Scale]],Table3[[#This Row],[OB Scale]])</f>
        <v>3.0993039087580319</v>
      </c>
      <c r="I6" s="1">
        <f>Table3[[#This Row],[R Scale]]*Data!B$192+Table3[[#This Row],[HR Scale]]*Data!C$192+Table3[[#This Row],[RBI Scale]]*Data!D$192+Table3[[#This Row],[SB Scale]]*Data!E$192+Table3[[#This Row],[OBP Scale]]*Data!F$192</f>
        <v>2.9145467336165507</v>
      </c>
      <c r="J6" s="1">
        <f>Table3[[#This Row],[R Scale]]*Data!B$192+Table3[[#This Row],[HR Scale]]*Data!C$192+Table3[[#This Row],[RBI Scale]]*Data!D$192+Table3[[#This Row],[SB Scale]]*Data!E$192+Table3[[#This Row],[OB Scale]]*Data!F$192</f>
        <v>3.2624108260639941</v>
      </c>
      <c r="K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5.5289820242546615</v>
      </c>
      <c r="L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5.7369556146164182</v>
      </c>
      <c r="M6" s="1">
        <f ca="1">Table3[[#This Row],[Tot Scale]]*M$185+M$186</f>
        <v>37.296314493424674</v>
      </c>
      <c r="N6" s="1">
        <f ca="1">Table3[[#This Row],[OB Tot Scale]]*N$185+N$186</f>
        <v>45.51019209729499</v>
      </c>
      <c r="O6" s="1">
        <f ca="1">Table3[[#This Row],[Weighted Scale]]*O$185+O$186</f>
        <v>34.048881515699151</v>
      </c>
      <c r="P6" s="1">
        <f ca="1">Table3[[#This Row],[OB Weighted Scale]]*P$185+P$186</f>
        <v>43.488945912265976</v>
      </c>
      <c r="Q6" s="1">
        <f ca="1">Table3[[#This Row],[Z-score]]*Q$185+Q$186</f>
        <v>42.031870291619981</v>
      </c>
      <c r="R6" s="1">
        <f ca="1">Table3[[#This Row],[OBMod Z-Score]]*R$185+R$186</f>
        <v>43.419864887678955</v>
      </c>
      <c r="S6" s="1">
        <f ca="1">AVERAGE(Table3[[#This Row],[Tot Value]:[OB Z Value]])</f>
        <v>40.966011532997285</v>
      </c>
      <c r="T6" s="1">
        <f>IF(Table1[[#This Row],[Included?]], (Table1[[#This Row],[I R]]-Data!S$188)/(Data!S$187-Data!S$188), "")</f>
        <v>0.98635547576301608</v>
      </c>
      <c r="U6" s="1">
        <f>IF(Table1[[#This Row],[Included?]], (Table1[[#This Row],[I HR]]-Data!T$188)/(Data!T$187-Data!T$188), "")</f>
        <v>0.40912185159972758</v>
      </c>
      <c r="V6" s="1">
        <f>IF(Table1[[#This Row],[Included?]], (Table1[[#This Row],[I RBI]]-Data!U$188)/(Data!U$187-Data!U$188), "")</f>
        <v>0.28860028860028858</v>
      </c>
      <c r="W6" s="1">
        <f>IF(Table1[[#This Row],[Included?]], (Table1[[#This Row],[I SB]]-Data!V$188)/(Data!V$187-Data!V$188), "")</f>
        <v>0.39084065244667493</v>
      </c>
      <c r="X6" s="1">
        <f>IF(Table1[[#This Row],[Included?]], (Table1[[#This Row],[I OBP]]-Data!W$188)/(Data!W$187-Data!W$188), "")</f>
        <v>0.5015673488648591</v>
      </c>
      <c r="Y6" s="1">
        <f>IF(Table1[[#This Row],[Included?]], (Table1[[#This Row],[I OB]]-Data!AA$188)/(Data!AA$187-Data!AA$188), "")</f>
        <v>0.80808572426515546</v>
      </c>
      <c r="Z6" s="1">
        <f>IF(Table1[[#This Row],[Included?]], SUM(Table35[[#This Row],[I R Scale]:[I OBP Scale]]), "")</f>
        <v>2.5764856172745665</v>
      </c>
      <c r="AA6" s="1">
        <f>IF(Table1[[#This Row],[Included?]], SUM(Table35[[#This Row],[I R Scale]:[I SB Scale]],Table35[[#This Row],[I OB Scale]]), "")</f>
        <v>2.8830039926748627</v>
      </c>
      <c r="AB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2.6358835971912944</v>
      </c>
      <c r="AC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3.0037056476716502</v>
      </c>
      <c r="AD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3.3866239647807461</v>
      </c>
      <c r="AE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3.4384085540025784</v>
      </c>
      <c r="AF6" s="1">
        <f ca="1">IF(Table1[[#This Row],[Included?]], Table35[[#This Row],[I Tot Scale]]*AF$185+AF$186, "")</f>
        <v>32.953741852547395</v>
      </c>
      <c r="AG6" s="1">
        <f ca="1">IF(Table1[[#This Row],[Included?]], Table35[[#This Row],[I OB Tot Scale]]*AG$185+AG$186, "")</f>
        <v>36.151379659392695</v>
      </c>
      <c r="AH6" s="1">
        <f ca="1">IF(Table1[[#This Row],[Included?]], Table35[[#This Row],[I Weighted Scale]]*AH$185+AH$186, "")</f>
        <v>30.607939887609767</v>
      </c>
      <c r="AI6" s="1">
        <f ca="1">IF(Table1[[#This Row],[Included?]], Table35[[#This Row],[I OB Weighted Scale]]*AI$185+AI$186, "")</f>
        <v>35.17682305003234</v>
      </c>
      <c r="AJ6" s="1">
        <f ca="1">IF(Table1[[#This Row],[Included?]], Table35[[#This Row],[I Z-score]]*AJ$185+AJ$186, "")</f>
        <v>35.374928908395418</v>
      </c>
      <c r="AK6" s="1">
        <f ca="1">IF(Table1[[#This Row],[Included?]], Table35[[#This Row],[I OBMod Z-Score]]*AK$185+AK$186, "")</f>
        <v>35.582628010696482</v>
      </c>
      <c r="AL6" s="1">
        <f ca="1">IF(Table1[[#This Row],[Included?]], AVERAGE(Table35[[#This Row],[I Tot Value]:[I OB Z Value]]), "")</f>
        <v>34.307906894779016</v>
      </c>
    </row>
    <row r="7" spans="1:38" x14ac:dyDescent="0.25">
      <c r="A7" s="1">
        <f>(Table1[[#This Row],[R]]-Data!H$188)/(Data!H$187-Data!H$188)</f>
        <v>0.6082386363636364</v>
      </c>
      <c r="B7" s="1">
        <f>(Table1[[#This Row],[HR]]-Data!I$188)/(Data!I$187-Data!I$188)</f>
        <v>0.94894486044928505</v>
      </c>
      <c r="C7" s="1">
        <f>(Table1[[#This Row],[RBI]]-Data!J$188)/(Data!J$187-Data!J$188)</f>
        <v>0.83490971625107469</v>
      </c>
      <c r="D7" s="1">
        <f>(Table1[[#This Row],[SB]]-Data!K$188)/(Data!K$187-Data!K$188)</f>
        <v>0.20483061480552067</v>
      </c>
      <c r="E7" s="1">
        <f>(Table1[[#This Row],[OBP]]-Data!L$188)/(Data!L$187-Data!L$188)</f>
        <v>0.86840159408376627</v>
      </c>
      <c r="F7" s="1">
        <f>(Table1[[#This Row],[OB]]-Data!P$188)/(Data!P$187-Data!P$188)</f>
        <v>0.72902811964978032</v>
      </c>
      <c r="G7" s="1">
        <f>SUM(Table3[[#This Row],[R Scale]:[OBP Scale]])</f>
        <v>3.465325421953283</v>
      </c>
      <c r="H7" s="1">
        <f>SUM(Table3[[#This Row],[R Scale]:[SB Scale]],Table3[[#This Row],[OB Scale]])</f>
        <v>3.3259519475192971</v>
      </c>
      <c r="I7" s="1">
        <f>Table3[[#This Row],[R Scale]]*Data!B$192+Table3[[#This Row],[HR Scale]]*Data!C$192+Table3[[#This Row],[RBI Scale]]*Data!D$192+Table3[[#This Row],[SB Scale]]*Data!E$192+Table3[[#This Row],[OBP Scale]]*Data!F$192</f>
        <v>3.7451638203838877</v>
      </c>
      <c r="J7" s="1">
        <f>Table3[[#This Row],[R Scale]]*Data!B$192+Table3[[#This Row],[HR Scale]]*Data!C$192+Table3[[#This Row],[RBI Scale]]*Data!D$192+Table3[[#This Row],[SB Scale]]*Data!E$192+Table3[[#This Row],[OB Scale]]*Data!F$192</f>
        <v>3.5779156510631043</v>
      </c>
      <c r="K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8.2423031963769269</v>
      </c>
      <c r="L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8.320055916373418</v>
      </c>
      <c r="M7" s="1">
        <f ca="1">Table3[[#This Row],[Tot Scale]]*M$185+M$186</f>
        <v>61.520215073892871</v>
      </c>
      <c r="N7" s="1">
        <f ca="1">Table3[[#This Row],[OB Tot Scale]]*N$185+N$186</f>
        <v>53.775589562050897</v>
      </c>
      <c r="O7" s="1">
        <f ca="1">Table3[[#This Row],[Weighted Scale]]*O$185+O$186</f>
        <v>62.617342731829282</v>
      </c>
      <c r="P7" s="1">
        <f ca="1">Table3[[#This Row],[OB Weighted Scale]]*P$185+P$186</f>
        <v>54.260478481479922</v>
      </c>
      <c r="Q7" s="1">
        <f ca="1">Table3[[#This Row],[Z-score]]*Q$185+Q$186</f>
        <v>61.968708409001529</v>
      </c>
      <c r="R7" s="1">
        <f ca="1">Table3[[#This Row],[OBMod Z-Score]]*R$185+R$186</f>
        <v>62.226155643549106</v>
      </c>
      <c r="S7" s="1">
        <f ca="1">AVERAGE(Table3[[#This Row],[Tot Value]:[OB Z Value]])</f>
        <v>59.394748316967274</v>
      </c>
      <c r="T7" s="1">
        <f>IF(Table1[[#This Row],[Included?]], (Table1[[#This Row],[I R]]-Data!S$188)/(Data!S$187-Data!S$188), "")</f>
        <v>0.50484739676840229</v>
      </c>
      <c r="U7" s="1">
        <f>IF(Table1[[#This Row],[Included?]], (Table1[[#This Row],[I HR]]-Data!T$188)/(Data!T$187-Data!T$188), "")</f>
        <v>0.94894486044928505</v>
      </c>
      <c r="V7" s="1">
        <f>IF(Table1[[#This Row],[Included?]], (Table1[[#This Row],[I RBI]]-Data!U$188)/(Data!U$187-Data!U$188), "")</f>
        <v>0.79220779220779203</v>
      </c>
      <c r="W7" s="1">
        <f>IF(Table1[[#This Row],[Included?]], (Table1[[#This Row],[I SB]]-Data!V$188)/(Data!V$187-Data!V$188), "")</f>
        <v>0.20483061480552067</v>
      </c>
      <c r="X7" s="1">
        <f>IF(Table1[[#This Row],[Included?]], (Table1[[#This Row],[I OBP]]-Data!W$188)/(Data!W$187-Data!W$188), "")</f>
        <v>0.84177122020883854</v>
      </c>
      <c r="Y7" s="1">
        <f>IF(Table1[[#This Row],[Included?]], (Table1[[#This Row],[I OB]]-Data!AA$188)/(Data!AA$187-Data!AA$188), "")</f>
        <v>0.58283235608842177</v>
      </c>
      <c r="Z7" s="1">
        <f>IF(Table1[[#This Row],[Included?]], SUM(Table35[[#This Row],[I R Scale]:[I OBP Scale]]), "")</f>
        <v>3.2926018844398381</v>
      </c>
      <c r="AA7" s="1">
        <f>IF(Table1[[#This Row],[Included?]], SUM(Table35[[#This Row],[I R Scale]:[I SB Scale]],Table35[[#This Row],[I OB Scale]]), "")</f>
        <v>3.0336630203194215</v>
      </c>
      <c r="AB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3.5689129472463241</v>
      </c>
      <c r="AC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3.2581863103018245</v>
      </c>
      <c r="AD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6.2982952029826027</v>
      </c>
      <c r="AE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6.2512871651257189</v>
      </c>
      <c r="AF7" s="1">
        <f ca="1">IF(Table1[[#This Row],[Included?]], Table35[[#This Row],[I Tot Scale]]*AF$185+AF$186, "")</f>
        <v>48.120171174018466</v>
      </c>
      <c r="AG7" s="1">
        <f ca="1">IF(Table1[[#This Row],[Included?]], Table35[[#This Row],[I OB Tot Scale]]*AG$185+AG$186, "")</f>
        <v>38.520499637932645</v>
      </c>
      <c r="AH7" s="1">
        <f ca="1">IF(Table1[[#This Row],[Included?]], Table35[[#This Row],[I Weighted Scale]]*AH$185+AH$186, "")</f>
        <v>49.013697339587075</v>
      </c>
      <c r="AI7" s="1">
        <f ca="1">IF(Table1[[#This Row],[Included?]], Table35[[#This Row],[I OB Weighted Scale]]*AI$185+AI$186, "")</f>
        <v>38.903717394740866</v>
      </c>
      <c r="AJ7" s="1">
        <f ca="1">IF(Table1[[#This Row],[Included?]], Table35[[#This Row],[I Z-score]]*AJ$185+AJ$186, "")</f>
        <v>48.593620666773603</v>
      </c>
      <c r="AK7" s="1">
        <f ca="1">IF(Table1[[#This Row],[Included?]], Table35[[#This Row],[I OBMod Z-Score]]*AK$185+AK$186, "")</f>
        <v>48.330397901319834</v>
      </c>
      <c r="AL7" s="1">
        <f ca="1">IF(Table1[[#This Row],[Included?]], AVERAGE(Table35[[#This Row],[I Tot Value]:[I OB Z Value]]), "")</f>
        <v>45.247017352395424</v>
      </c>
    </row>
    <row r="8" spans="1:38" x14ac:dyDescent="0.25">
      <c r="A8" s="1">
        <f>(Table1[[#This Row],[R]]-Data!H$188)/(Data!H$187-Data!H$188)</f>
        <v>0.77897727272727291</v>
      </c>
      <c r="B8" s="1">
        <f>(Table1[[#This Row],[HR]]-Data!I$188)/(Data!I$187-Data!I$188)</f>
        <v>0.60789652825051055</v>
      </c>
      <c r="C8" s="1">
        <f>(Table1[[#This Row],[RBI]]-Data!J$188)/(Data!J$187-Data!J$188)</f>
        <v>0.53367727142447685</v>
      </c>
      <c r="D8" s="1">
        <f>(Table1[[#This Row],[SB]]-Data!K$188)/(Data!K$187-Data!K$188)</f>
        <v>0.11355081555834376</v>
      </c>
      <c r="E8" s="1">
        <f>(Table1[[#This Row],[OBP]]-Data!L$188)/(Data!L$187-Data!L$188)</f>
        <v>0.89857387828560153</v>
      </c>
      <c r="F8" s="1">
        <f>(Table1[[#This Row],[OB]]-Data!P$188)/(Data!P$187-Data!P$188)</f>
        <v>0.93373188434889509</v>
      </c>
      <c r="G8" s="1">
        <f>SUM(Table3[[#This Row],[R Scale]:[OBP Scale]])</f>
        <v>2.9326757662462053</v>
      </c>
      <c r="H8" s="1">
        <f>SUM(Table3[[#This Row],[R Scale]:[SB Scale]],Table3[[#This Row],[OB Scale]])</f>
        <v>2.9678337723094987</v>
      </c>
      <c r="I8" s="1">
        <f>Table3[[#This Row],[R Scale]]*Data!B$192+Table3[[#This Row],[HR Scale]]*Data!C$192+Table3[[#This Row],[RBI Scale]]*Data!D$192+Table3[[#This Row],[SB Scale]]*Data!E$192+Table3[[#This Row],[OBP Scale]]*Data!F$192</f>
        <v>3.1412282689154938</v>
      </c>
      <c r="J8" s="1">
        <f>Table3[[#This Row],[R Scale]]*Data!B$192+Table3[[#This Row],[HR Scale]]*Data!C$192+Table3[[#This Row],[RBI Scale]]*Data!D$192+Table3[[#This Row],[SB Scale]]*Data!E$192+Table3[[#This Row],[OB Scale]]*Data!F$192</f>
        <v>3.183417876191446</v>
      </c>
      <c r="K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5.6383851738514021</v>
      </c>
      <c r="L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6.1247891575139697</v>
      </c>
      <c r="M8" s="1">
        <f ca="1">Table3[[#This Row],[Tot Scale]]*M$185+M$186</f>
        <v>41.848481766215613</v>
      </c>
      <c r="N8" s="1">
        <f ca="1">Table3[[#This Row],[OB Tot Scale]]*N$185+N$186</f>
        <v>40.715741024910372</v>
      </c>
      <c r="O8" s="1">
        <f ca="1">Table3[[#This Row],[Weighted Scale]]*O$185+O$186</f>
        <v>41.845425498202914</v>
      </c>
      <c r="P8" s="1">
        <f ca="1">Table3[[#This Row],[OB Weighted Scale]]*P$185+P$186</f>
        <v>40.79207706947463</v>
      </c>
      <c r="Q8" s="1">
        <f ca="1">Table3[[#This Row],[Z-score]]*Q$185+Q$186</f>
        <v>42.835738593482631</v>
      </c>
      <c r="R8" s="1">
        <f ca="1">Table3[[#This Row],[OBMod Z-Score]]*R$185+R$186</f>
        <v>46.243491352222151</v>
      </c>
      <c r="S8" s="1">
        <f ca="1">AVERAGE(Table3[[#This Row],[Tot Value]:[OB Z Value]])</f>
        <v>42.380159217418047</v>
      </c>
      <c r="T8" s="1">
        <f>IF(Table1[[#This Row],[Included?]], (Table1[[#This Row],[I R]]-Data!S$188)/(Data!S$187-Data!S$188), "")</f>
        <v>0.72064631956912073</v>
      </c>
      <c r="U8" s="1">
        <f>IF(Table1[[#This Row],[Included?]], (Table1[[#This Row],[I HR]]-Data!T$188)/(Data!T$187-Data!T$188), "")</f>
        <v>0.60789652825051055</v>
      </c>
      <c r="V8" s="1">
        <f>IF(Table1[[#This Row],[Included?]], (Table1[[#This Row],[I RBI]]-Data!U$188)/(Data!U$187-Data!U$188), "")</f>
        <v>0.41305916305916313</v>
      </c>
      <c r="W8" s="1">
        <f>IF(Table1[[#This Row],[Included?]], (Table1[[#This Row],[I SB]]-Data!V$188)/(Data!V$187-Data!V$188), "")</f>
        <v>0.11355081555834376</v>
      </c>
      <c r="X8" s="1">
        <f>IF(Table1[[#This Row],[Included?]], (Table1[[#This Row],[I OBP]]-Data!W$188)/(Data!W$187-Data!W$188), "")</f>
        <v>0.87804919545883808</v>
      </c>
      <c r="Y8" s="1">
        <f>IF(Table1[[#This Row],[Included?]], (Table1[[#This Row],[I OB]]-Data!AA$188)/(Data!AA$187-Data!AA$188), "")</f>
        <v>0.89797866244681357</v>
      </c>
      <c r="Z8" s="1">
        <f>IF(Table1[[#This Row],[Included?]], SUM(Table35[[#This Row],[I R Scale]:[I OBP Scale]]), "")</f>
        <v>2.7332020218959761</v>
      </c>
      <c r="AA8" s="1">
        <f>IF(Table1[[#This Row],[Included?]], SUM(Table35[[#This Row],[I R Scale]:[I SB Scale]],Table35[[#This Row],[I OB Scale]]), "")</f>
        <v>2.7531314888839518</v>
      </c>
      <c r="AB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2.9193590616426643</v>
      </c>
      <c r="AC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2.9432744220282352</v>
      </c>
      <c r="AD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3.9802221730022254</v>
      </c>
      <c r="AE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4.272320967777361</v>
      </c>
      <c r="AF8" s="1">
        <f ca="1">IF(Table1[[#This Row],[Included?]], Table35[[#This Row],[I Tot Scale]]*AF$185+AF$186, "")</f>
        <v>36.272795452061743</v>
      </c>
      <c r="AG8" s="1">
        <f ca="1">IF(Table1[[#This Row],[Included?]], Table35[[#This Row],[I OB Tot Scale]]*AG$185+AG$186, "")</f>
        <v>34.109128702351121</v>
      </c>
      <c r="AH8" s="1">
        <f ca="1">IF(Table1[[#This Row],[Included?]], Table35[[#This Row],[I Weighted Scale]]*AH$185+AH$186, "")</f>
        <v>36.200026183684805</v>
      </c>
      <c r="AI8" s="1">
        <f ca="1">IF(Table1[[#This Row],[Included?]], Table35[[#This Row],[I OB Weighted Scale]]*AI$185+AI$186, "")</f>
        <v>34.291801804148704</v>
      </c>
      <c r="AJ8" s="1">
        <f ca="1">IF(Table1[[#This Row],[Included?]], Table35[[#This Row],[I Z-score]]*AJ$185+AJ$186, "")</f>
        <v>38.069804497320462</v>
      </c>
      <c r="AK8" s="1">
        <f ca="1">IF(Table1[[#This Row],[Included?]], Table35[[#This Row],[I OBMod Z-Score]]*AK$185+AK$186, "")</f>
        <v>39.361860970731897</v>
      </c>
      <c r="AL8" s="1">
        <f ca="1">IF(Table1[[#This Row],[Included?]], AVERAGE(Table35[[#This Row],[I Tot Value]:[I OB Z Value]]), "")</f>
        <v>36.38423626838312</v>
      </c>
    </row>
    <row r="9" spans="1:38" hidden="1" x14ac:dyDescent="0.25">
      <c r="A9" s="1">
        <f>(Table1[[#This Row],[R]]-Data!H$188)/(Data!H$187-Data!H$188)</f>
        <v>0.68607954545454553</v>
      </c>
      <c r="B9" s="1">
        <f>(Table1[[#This Row],[HR]]-Data!I$188)/(Data!I$187-Data!I$188)</f>
        <v>0.62355343771272964</v>
      </c>
      <c r="C9" s="1">
        <f>(Table1[[#This Row],[RBI]]-Data!J$188)/(Data!J$187-Data!J$188)</f>
        <v>0.80338205789624528</v>
      </c>
      <c r="D9" s="1">
        <f>(Table1[[#This Row],[SB]]-Data!K$188)/(Data!K$187-Data!K$188)</f>
        <v>0.12641154328732745</v>
      </c>
      <c r="E9" s="1">
        <f>(Table1[[#This Row],[OBP]]-Data!L$188)/(Data!L$187-Data!L$188)</f>
        <v>0.91284244411879634</v>
      </c>
      <c r="F9" s="1">
        <f>(Table1[[#This Row],[OB]]-Data!P$188)/(Data!P$187-Data!P$188)</f>
        <v>0.78339567330851978</v>
      </c>
      <c r="G9" s="1">
        <f>SUM(Table3[[#This Row],[R Scale]:[OBP Scale]])</f>
        <v>3.1522690284696444</v>
      </c>
      <c r="H9" s="1">
        <f>SUM(Table3[[#This Row],[R Scale]:[SB Scale]],Table3[[#This Row],[OB Scale]])</f>
        <v>3.0228222576593677</v>
      </c>
      <c r="I9" s="1">
        <f>Table3[[#This Row],[R Scale]]*Data!B$192+Table3[[#This Row],[HR Scale]]*Data!C$192+Table3[[#This Row],[RBI Scale]]*Data!D$192+Table3[[#This Row],[SB Scale]]*Data!E$192+Table3[[#This Row],[OBP Scale]]*Data!F$192</f>
        <v>3.4269059743271981</v>
      </c>
      <c r="J9" s="1">
        <f>Table3[[#This Row],[R Scale]]*Data!B$192+Table3[[#This Row],[HR Scale]]*Data!C$192+Table3[[#This Row],[RBI Scale]]*Data!D$192+Table3[[#This Row],[SB Scale]]*Data!E$192+Table3[[#This Row],[OB Scale]]*Data!F$192</f>
        <v>3.2715698493548659</v>
      </c>
      <c r="K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6.7243547935109209</v>
      </c>
      <c r="L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6.8892062533681955</v>
      </c>
      <c r="M9" s="1">
        <f ca="1">Table3[[#This Row],[Tot Scale]]*M$185+M$186</f>
        <v>49.958465588298338</v>
      </c>
      <c r="N9" s="1">
        <f ca="1">Table3[[#This Row],[OB Tot Scale]]*N$185+N$186</f>
        <v>42.72106032917452</v>
      </c>
      <c r="O9" s="1">
        <f ca="1">Table3[[#This Row],[Weighted Scale]]*O$185+O$186</f>
        <v>51.671099177913035</v>
      </c>
      <c r="P9" s="1">
        <f ca="1">Table3[[#This Row],[OB Weighted Scale]]*P$185+P$186</f>
        <v>43.801640710768964</v>
      </c>
      <c r="Q9" s="1">
        <f ca="1">Table3[[#This Row],[Z-score]]*Q$185+Q$186</f>
        <v>50.81518486397767</v>
      </c>
      <c r="R9" s="1">
        <f ca="1">Table3[[#This Row],[OBMod Z-Score]]*R$185+R$186</f>
        <v>51.808838603203512</v>
      </c>
      <c r="S9" s="1">
        <f ca="1">AVERAGE(Table3[[#This Row],[Tot Value]:[OB Z Value]])</f>
        <v>48.462714878889336</v>
      </c>
      <c r="T9" s="1">
        <f>IF(Table1[[#This Row],[Included?]], (Table1[[#This Row],[I R]]-Data!S$188)/(Data!S$187-Data!S$188), "")</f>
        <v>0.60323159784560154</v>
      </c>
      <c r="U9" s="1">
        <f>IF(Table1[[#This Row],[Included?]], (Table1[[#This Row],[I HR]]-Data!T$188)/(Data!T$187-Data!T$188), "")</f>
        <v>0.62355343771272964</v>
      </c>
      <c r="V9" s="1">
        <f>IF(Table1[[#This Row],[Included?]], (Table1[[#This Row],[I RBI]]-Data!U$188)/(Data!U$187-Data!U$188), "")</f>
        <v>0.7525252525252526</v>
      </c>
      <c r="W9" s="1">
        <f>IF(Table1[[#This Row],[Included?]], (Table1[[#This Row],[I SB]]-Data!V$188)/(Data!V$187-Data!V$188), "")</f>
        <v>0.12641154328732745</v>
      </c>
      <c r="X9" s="1">
        <f>IF(Table1[[#This Row],[Included?]], (Table1[[#This Row],[I OBP]]-Data!W$188)/(Data!W$187-Data!W$188), "")</f>
        <v>0.89520516133424055</v>
      </c>
      <c r="Y9" s="1">
        <f>IF(Table1[[#This Row],[Included?]], (Table1[[#This Row],[I OB]]-Data!AA$188)/(Data!AA$187-Data!AA$188), "")</f>
        <v>0.66653249588056263</v>
      </c>
      <c r="Z9" s="1">
        <f>IF(Table1[[#This Row],[Included?]], SUM(Table35[[#This Row],[I R Scale]:[I OBP Scale]]), "")</f>
        <v>3.0009269927051516</v>
      </c>
      <c r="AA9" s="1">
        <f>IF(Table1[[#This Row],[Included?]], SUM(Table35[[#This Row],[I R Scale]:[I SB Scale]],Table35[[#This Row],[I OB Scale]]), "")</f>
        <v>2.7722543272514737</v>
      </c>
      <c r="AB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3.2701499156924903</v>
      </c>
      <c r="AC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2.9957427171480768</v>
      </c>
      <c r="AD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5.0208217318864676</v>
      </c>
      <c r="AE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5.0325669498962773</v>
      </c>
      <c r="AF9" s="1">
        <f ca="1">IF(Table1[[#This Row],[Included?]], Table35[[#This Row],[I Tot Scale]]*AF$185+AF$186, "")</f>
        <v>41.942868921337038</v>
      </c>
      <c r="AG9" s="1">
        <f ca="1">IF(Table1[[#This Row],[Included?]], Table35[[#This Row],[I OB Tot Scale]]*AG$185+AG$186, "")</f>
        <v>34.409836194833886</v>
      </c>
      <c r="AH9" s="1">
        <f ca="1">IF(Table1[[#This Row],[Included?]], Table35[[#This Row],[I Weighted Scale]]*AH$185+AH$186, "")</f>
        <v>43.12003505117891</v>
      </c>
      <c r="AI9" s="1">
        <f ca="1">IF(Table1[[#This Row],[Included?]], Table35[[#This Row],[I OB Weighted Scale]]*AI$185+AI$186, "")</f>
        <v>35.060205148975001</v>
      </c>
      <c r="AJ9" s="1">
        <f ca="1">IF(Table1[[#This Row],[Included?]], Table35[[#This Row],[I Z-score]]*AJ$185+AJ$186, "")</f>
        <v>42.794020827901079</v>
      </c>
      <c r="AK9" s="1">
        <f ca="1">IF(Table1[[#This Row],[Included?]], Table35[[#This Row],[I OBMod Z-Score]]*AK$185+AK$186, "")</f>
        <v>42.80724279488863</v>
      </c>
      <c r="AL9" s="1">
        <f ca="1">IF(Table1[[#This Row],[Included?]], AVERAGE(Table35[[#This Row],[I Tot Value]:[I OB Z Value]]), "")</f>
        <v>40.022368156519086</v>
      </c>
    </row>
    <row r="10" spans="1:38" hidden="1" x14ac:dyDescent="0.25">
      <c r="A10" s="1">
        <f>(Table1[[#This Row],[R]]-Data!H$188)/(Data!H$187-Data!H$188)</f>
        <v>0.73068181818181843</v>
      </c>
      <c r="B10" s="1">
        <f>(Table1[[#This Row],[HR]]-Data!I$188)/(Data!I$187-Data!I$188)</f>
        <v>0.53982300884955747</v>
      </c>
      <c r="C10" s="1">
        <f>(Table1[[#This Row],[RBI]]-Data!J$188)/(Data!J$187-Data!J$188)</f>
        <v>1</v>
      </c>
      <c r="D10" s="1">
        <f>(Table1[[#This Row],[SB]]-Data!K$188)/(Data!K$187-Data!K$188)</f>
        <v>2.9171894604767875E-2</v>
      </c>
      <c r="E10" s="1">
        <f>(Table1[[#This Row],[OBP]]-Data!L$188)/(Data!L$187-Data!L$188)</f>
        <v>0.44484863436739358</v>
      </c>
      <c r="F10" s="1">
        <f>(Table1[[#This Row],[OB]]-Data!P$188)/(Data!P$187-Data!P$188)</f>
        <v>0.71420376046664324</v>
      </c>
      <c r="G10" s="1">
        <f>SUM(Table3[[#This Row],[R Scale]:[OBP Scale]])</f>
        <v>2.7445253560035372</v>
      </c>
      <c r="H10" s="1">
        <f>SUM(Table3[[#This Row],[R Scale]:[SB Scale]],Table3[[#This Row],[OB Scale]])</f>
        <v>3.0138804821027869</v>
      </c>
      <c r="I10" s="1">
        <f>Table3[[#This Row],[R Scale]]*Data!B$192+Table3[[#This Row],[HR Scale]]*Data!C$192+Table3[[#This Row],[RBI Scale]]*Data!D$192+Table3[[#This Row],[SB Scale]]*Data!E$192+Table3[[#This Row],[OBP Scale]]*Data!F$192</f>
        <v>2.9604269010588338</v>
      </c>
      <c r="J10" s="1">
        <f>Table3[[#This Row],[R Scale]]*Data!B$192+Table3[[#This Row],[HR Scale]]*Data!C$192+Table3[[#This Row],[RBI Scale]]*Data!D$192+Table3[[#This Row],[SB Scale]]*Data!E$192+Table3[[#This Row],[OB Scale]]*Data!F$192</f>
        <v>3.2836530523779337</v>
      </c>
      <c r="K1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4.2400542944506894</v>
      </c>
      <c r="L1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4.2120474106577976</v>
      </c>
      <c r="M10" s="1">
        <f ca="1">Table3[[#This Row],[Tot Scale]]*M$185+M$186</f>
        <v>34.899740408051144</v>
      </c>
      <c r="N10" s="1">
        <f ca="1">Table3[[#This Row],[OB Tot Scale]]*N$185+N$186</f>
        <v>42.394971784928927</v>
      </c>
      <c r="O10" s="1">
        <f ca="1">Table3[[#This Row],[Weighted Scale]]*O$185+O$186</f>
        <v>35.626895988367437</v>
      </c>
      <c r="P10" s="1">
        <f ca="1">Table3[[#This Row],[OB Weighted Scale]]*P$185+P$186</f>
        <v>44.214168838995732</v>
      </c>
      <c r="Q10" s="1">
        <f ca="1">Table3[[#This Row],[Z-score]]*Q$185+Q$186</f>
        <v>32.561136138166823</v>
      </c>
      <c r="R10" s="1">
        <f ca="1">Table3[[#This Row],[OBMod Z-Score]]*R$185+R$186</f>
        <v>32.31775358361881</v>
      </c>
      <c r="S10" s="1">
        <f ca="1">AVERAGE(Table3[[#This Row],[Tot Value]:[OB Z Value]])</f>
        <v>37.002444457021483</v>
      </c>
      <c r="T10" s="1">
        <f>IF(Table1[[#This Row],[Included?]], (Table1[[#This Row],[I R]]-Data!S$188)/(Data!S$187-Data!S$188), "")</f>
        <v>0.65960502692998235</v>
      </c>
      <c r="U10" s="1">
        <f>IF(Table1[[#This Row],[Included?]], (Table1[[#This Row],[I HR]]-Data!T$188)/(Data!T$187-Data!T$188), "")</f>
        <v>0.53982300884955747</v>
      </c>
      <c r="V10" s="1">
        <f>IF(Table1[[#This Row],[Included?]], (Table1[[#This Row],[I RBI]]-Data!U$188)/(Data!U$187-Data!U$188), "")</f>
        <v>1</v>
      </c>
      <c r="W10" s="1">
        <f>IF(Table1[[#This Row],[Included?]], (Table1[[#This Row],[I SB]]-Data!V$188)/(Data!V$187-Data!V$188), "")</f>
        <v>2.9171894604767875E-2</v>
      </c>
      <c r="X10" s="1">
        <f>IF(Table1[[#This Row],[Included?]], (Table1[[#This Row],[I OBP]]-Data!W$188)/(Data!W$187-Data!W$188), "")</f>
        <v>0.33250769588077222</v>
      </c>
      <c r="Y10" s="1">
        <f>IF(Table1[[#This Row],[Included?]], (Table1[[#This Row],[I OB]]-Data!AA$188)/(Data!AA$187-Data!AA$188), "")</f>
        <v>0.56000990312785859</v>
      </c>
      <c r="Z10" s="1">
        <f>IF(Table1[[#This Row],[Included?]], SUM(Table35[[#This Row],[I R Scale]:[I OBP Scale]]), "")</f>
        <v>2.56110762626508</v>
      </c>
      <c r="AA10" s="1">
        <f>IF(Table1[[#This Row],[Included?]], SUM(Table35[[#This Row],[I R Scale]:[I SB Scale]],Table35[[#This Row],[I OB Scale]]), "")</f>
        <v>2.7886098335121665</v>
      </c>
      <c r="AB1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2.7616486627482364</v>
      </c>
      <c r="AC1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3.03465131144474</v>
      </c>
      <c r="AD1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2.2524273240459705</v>
      </c>
      <c r="AE1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2.1542524304052337</v>
      </c>
      <c r="AF10" s="1">
        <f ca="1">IF(Table1[[#This Row],[Included?]], Table35[[#This Row],[I Tot Scale]]*AF$185+AF$186, "")</f>
        <v>32.62805561353089</v>
      </c>
      <c r="AG10" s="1">
        <f ca="1">IF(Table1[[#This Row],[Included?]], Table35[[#This Row],[I OB Tot Scale]]*AG$185+AG$186, "")</f>
        <v>34.667027265605689</v>
      </c>
      <c r="AH10" s="1">
        <f ca="1">IF(Table1[[#This Row],[Included?]], Table35[[#This Row],[I Weighted Scale]]*AH$185+AH$186, "")</f>
        <v>33.088892166802886</v>
      </c>
      <c r="AI10" s="1">
        <f ca="1">IF(Table1[[#This Row],[Included?]], Table35[[#This Row],[I OB Weighted Scale]]*AI$185+AI$186, "")</f>
        <v>35.630025340992987</v>
      </c>
      <c r="AJ10" s="1">
        <f ca="1">IF(Table1[[#This Row],[Included?]], Table35[[#This Row],[I Z-score]]*AJ$185+AJ$186, "")</f>
        <v>30.225791330445546</v>
      </c>
      <c r="AK10" s="1">
        <f ca="1">IF(Table1[[#This Row],[Included?]], Table35[[#This Row],[I OBMod Z-Score]]*AK$185+AK$186, "")</f>
        <v>29.76292192650201</v>
      </c>
      <c r="AL10" s="1">
        <f ca="1">IF(Table1[[#This Row],[Included?]], AVERAGE(Table35[[#This Row],[I Tot Value]:[I OB Z Value]]), "")</f>
        <v>32.66711894064666</v>
      </c>
    </row>
    <row r="11" spans="1:38" hidden="1" x14ac:dyDescent="0.25">
      <c r="A11" s="1">
        <f>(Table1[[#This Row],[R]]-Data!H$188)/(Data!H$187-Data!H$188)</f>
        <v>0.85198863636363664</v>
      </c>
      <c r="B11" s="1">
        <f>(Table1[[#This Row],[HR]]-Data!I$188)/(Data!I$187-Data!I$188)</f>
        <v>0.74336283185840712</v>
      </c>
      <c r="C11" s="1">
        <f>(Table1[[#This Row],[RBI]]-Data!J$188)/(Data!J$187-Data!J$188)</f>
        <v>0.49154485525938657</v>
      </c>
      <c r="D11" s="1">
        <f>(Table1[[#This Row],[SB]]-Data!K$188)/(Data!K$187-Data!K$188)</f>
        <v>9.8180677540777903E-2</v>
      </c>
      <c r="E11" s="1">
        <f>(Table1[[#This Row],[OBP]]-Data!L$188)/(Data!L$187-Data!L$188)</f>
        <v>0.70580798583586046</v>
      </c>
      <c r="F11" s="1">
        <f>(Table1[[#This Row],[OB]]-Data!P$188)/(Data!P$187-Data!P$188)</f>
        <v>0.72661188966758028</v>
      </c>
      <c r="G11" s="1">
        <f>SUM(Table3[[#This Row],[R Scale]:[OBP Scale]])</f>
        <v>2.8908849868580688</v>
      </c>
      <c r="H11" s="1">
        <f>SUM(Table3[[#This Row],[R Scale]:[SB Scale]],Table3[[#This Row],[OB Scale]])</f>
        <v>2.9116888906897884</v>
      </c>
      <c r="I11" s="1">
        <f>Table3[[#This Row],[R Scale]]*Data!B$192+Table3[[#This Row],[HR Scale]]*Data!C$192+Table3[[#This Row],[RBI Scale]]*Data!D$192+Table3[[#This Row],[SB Scale]]*Data!E$192+Table3[[#This Row],[OBP Scale]]*Data!F$192</f>
        <v>3.0451566914407544</v>
      </c>
      <c r="J11" s="1">
        <f>Table3[[#This Row],[R Scale]]*Data!B$192+Table3[[#This Row],[HR Scale]]*Data!C$192+Table3[[#This Row],[RBI Scale]]*Data!D$192+Table3[[#This Row],[SB Scale]]*Data!E$192+Table3[[#This Row],[OB Scale]]*Data!F$192</f>
        <v>3.0701213760388182</v>
      </c>
      <c r="K1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5.228699959111875</v>
      </c>
      <c r="L1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5.3573592973476352</v>
      </c>
      <c r="M11" s="1">
        <f ca="1">Table3[[#This Row],[Tot Scale]]*M$185+M$186</f>
        <v>40.305071274844721</v>
      </c>
      <c r="N11" s="1">
        <f ca="1">Table3[[#This Row],[OB Tot Scale]]*N$185+N$186</f>
        <v>38.668250277869831</v>
      </c>
      <c r="O11" s="1">
        <f ca="1">Table3[[#This Row],[Weighted Scale]]*O$185+O$186</f>
        <v>38.54111454820638</v>
      </c>
      <c r="P11" s="1">
        <f ca="1">Table3[[#This Row],[OB Weighted Scale]]*P$185+P$186</f>
        <v>36.92406350937955</v>
      </c>
      <c r="Q11" s="1">
        <f ca="1">Table3[[#This Row],[Z-score]]*Q$185+Q$186</f>
        <v>39.82546915348189</v>
      </c>
      <c r="R11" s="1">
        <f ca="1">Table3[[#This Row],[OBMod Z-Score]]*R$185+R$186</f>
        <v>40.656209636832315</v>
      </c>
      <c r="S11" s="1">
        <f ca="1">AVERAGE(Table3[[#This Row],[Tot Value]:[OB Z Value]])</f>
        <v>39.153363066769117</v>
      </c>
      <c r="T11" s="1">
        <f>IF(Table1[[#This Row],[Included?]], (Table1[[#This Row],[I R]]-Data!S$188)/(Data!S$187-Data!S$188), "")</f>
        <v>0.81292639138240608</v>
      </c>
      <c r="U11" s="1">
        <f>IF(Table1[[#This Row],[Included?]], (Table1[[#This Row],[I HR]]-Data!T$188)/(Data!T$187-Data!T$188), "")</f>
        <v>0.74336283185840712</v>
      </c>
      <c r="V11" s="1">
        <f>IF(Table1[[#This Row],[Included?]], (Table1[[#This Row],[I RBI]]-Data!U$188)/(Data!U$187-Data!U$188), "")</f>
        <v>0.36002886002885998</v>
      </c>
      <c r="W11" s="1">
        <f>IF(Table1[[#This Row],[Included?]], (Table1[[#This Row],[I SB]]-Data!V$188)/(Data!V$187-Data!V$188), "")</f>
        <v>9.8180677540777903E-2</v>
      </c>
      <c r="X11" s="1">
        <f>IF(Table1[[#This Row],[Included?]], (Table1[[#This Row],[I OBP]]-Data!W$188)/(Data!W$187-Data!W$188), "")</f>
        <v>0.64627502057185926</v>
      </c>
      <c r="Y11" s="1">
        <f>IF(Table1[[#This Row],[Included?]], (Table1[[#This Row],[I OB]]-Data!AA$188)/(Data!AA$187-Data!AA$188), "")</f>
        <v>0.57911251265846819</v>
      </c>
      <c r="Z11" s="1">
        <f>IF(Table1[[#This Row],[Included?]], SUM(Table35[[#This Row],[I R Scale]:[I OBP Scale]]), "")</f>
        <v>2.6607737813823107</v>
      </c>
      <c r="AA11" s="1">
        <f>IF(Table1[[#This Row],[Included?]], SUM(Table35[[#This Row],[I R Scale]:[I SB Scale]],Table35[[#This Row],[I OB Scale]]), "")</f>
        <v>2.5936112734689196</v>
      </c>
      <c r="AB1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2.7807419183642135</v>
      </c>
      <c r="AC1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2.700146908868144</v>
      </c>
      <c r="AD1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3.4502471410112348</v>
      </c>
      <c r="AE1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3.4890144148791808</v>
      </c>
      <c r="AF11" s="1">
        <f ca="1">IF(Table1[[#This Row],[Included?]], Table35[[#This Row],[I Tot Scale]]*AF$185+AF$186, "")</f>
        <v>34.738857681066378</v>
      </c>
      <c r="AG11" s="1">
        <f ca="1">IF(Table1[[#This Row],[Included?]], Table35[[#This Row],[I OB Tot Scale]]*AG$185+AG$186, "")</f>
        <v>31.600666148003825</v>
      </c>
      <c r="AH11" s="1">
        <f ca="1">IF(Table1[[#This Row],[Included?]], Table35[[#This Row],[I Weighted Scale]]*AH$185+AH$186, "")</f>
        <v>33.465542517422136</v>
      </c>
      <c r="AI11" s="1">
        <f ca="1">IF(Table1[[#This Row],[Included?]], Table35[[#This Row],[I OB Weighted Scale]]*AI$185+AI$186, "")</f>
        <v>30.731175450561278</v>
      </c>
      <c r="AJ11" s="1">
        <f ca="1">IF(Table1[[#This Row],[Included?]], Table35[[#This Row],[I Z-score]]*AJ$185+AJ$186, "")</f>
        <v>35.663771667923164</v>
      </c>
      <c r="AK11" s="1">
        <f ca="1">IF(Table1[[#This Row],[Included?]], Table35[[#This Row],[I OBMod Z-Score]]*AK$185+AK$186, "")</f>
        <v>35.811970246447721</v>
      </c>
      <c r="AL11" s="1">
        <f ca="1">IF(Table1[[#This Row],[Included?]], AVERAGE(Table35[[#This Row],[I Tot Value]:[I OB Z Value]]), "")</f>
        <v>33.66866395190408</v>
      </c>
    </row>
    <row r="12" spans="1:38" hidden="1" x14ac:dyDescent="0.25">
      <c r="A12" s="1">
        <f>(Table1[[#This Row],[R]]-Data!H$188)/(Data!H$187-Data!H$188)</f>
        <v>0.56676136363636365</v>
      </c>
      <c r="B12" s="1">
        <f>(Table1[[#This Row],[HR]]-Data!I$188)/(Data!I$187-Data!I$188)</f>
        <v>0.35874744724302238</v>
      </c>
      <c r="C12" s="1">
        <f>(Table1[[#This Row],[RBI]]-Data!J$188)/(Data!J$187-Data!J$188)</f>
        <v>0.74777873316136412</v>
      </c>
      <c r="D12" s="1">
        <f>(Table1[[#This Row],[SB]]-Data!K$188)/(Data!K$187-Data!K$188)</f>
        <v>0.48996235884567119</v>
      </c>
      <c r="E12" s="1">
        <f>(Table1[[#This Row],[OBP]]-Data!L$188)/(Data!L$187-Data!L$188)</f>
        <v>0.51399798887642989</v>
      </c>
      <c r="F12" s="1">
        <f>(Table1[[#This Row],[OB]]-Data!P$188)/(Data!P$187-Data!P$188)</f>
        <v>0.70560651846346778</v>
      </c>
      <c r="G12" s="1">
        <f>SUM(Table3[[#This Row],[R Scale]:[OBP Scale]])</f>
        <v>2.6772478917628511</v>
      </c>
      <c r="H12" s="1">
        <f>SUM(Table3[[#This Row],[R Scale]:[SB Scale]],Table3[[#This Row],[OB Scale]])</f>
        <v>2.8688564213498888</v>
      </c>
      <c r="I12" s="1">
        <f>Table3[[#This Row],[R Scale]]*Data!B$192+Table3[[#This Row],[HR Scale]]*Data!C$192+Table3[[#This Row],[RBI Scale]]*Data!D$192+Table3[[#This Row],[SB Scale]]*Data!E$192+Table3[[#This Row],[OBP Scale]]*Data!F$192</f>
        <v>2.8729270998067733</v>
      </c>
      <c r="J12" s="1">
        <f>Table3[[#This Row],[R Scale]]*Data!B$192+Table3[[#This Row],[HR Scale]]*Data!C$192+Table3[[#This Row],[RBI Scale]]*Data!D$192+Table3[[#This Row],[SB Scale]]*Data!E$192+Table3[[#This Row],[OB Scale]]*Data!F$192</f>
        <v>3.102857335311219</v>
      </c>
      <c r="K1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4.9624247473001004</v>
      </c>
      <c r="L1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5.0017637174548693</v>
      </c>
      <c r="M12" s="1">
        <f ca="1">Table3[[#This Row],[Tot Scale]]*M$185+M$186</f>
        <v>32.41505968033583</v>
      </c>
      <c r="N12" s="1">
        <f ca="1">Table3[[#This Row],[OB Tot Scale]]*N$185+N$186</f>
        <v>37.106236393142822</v>
      </c>
      <c r="O12" s="1">
        <f ca="1">Table3[[#This Row],[Weighted Scale]]*O$185+O$186</f>
        <v>32.617404950544881</v>
      </c>
      <c r="P12" s="1">
        <f ca="1">Table3[[#This Row],[OB Weighted Scale]]*P$185+P$186</f>
        <v>38.041689686691171</v>
      </c>
      <c r="Q12" s="1">
        <f ca="1">Table3[[#This Row],[Z-score]]*Q$185+Q$186</f>
        <v>37.868942278924472</v>
      </c>
      <c r="R12" s="1">
        <f ca="1">Table3[[#This Row],[OBMod Z-Score]]*R$185+R$186</f>
        <v>38.067292023986667</v>
      </c>
      <c r="S12" s="1">
        <f ca="1">AVERAGE(Table3[[#This Row],[Tot Value]:[OB Z Value]])</f>
        <v>36.019437502270968</v>
      </c>
      <c r="T12" s="1">
        <f>IF(Table1[[#This Row],[Included?]], (Table1[[#This Row],[I R]]-Data!S$188)/(Data!S$187-Data!S$188), "")</f>
        <v>0.45242369838420105</v>
      </c>
      <c r="U12" s="1">
        <f>IF(Table1[[#This Row],[Included?]], (Table1[[#This Row],[I HR]]-Data!T$188)/(Data!T$187-Data!T$188), "")</f>
        <v>0.35874744724302238</v>
      </c>
      <c r="V12" s="1">
        <f>IF(Table1[[#This Row],[Included?]], (Table1[[#This Row],[I RBI]]-Data!U$188)/(Data!U$187-Data!U$188), "")</f>
        <v>0.68253968253968234</v>
      </c>
      <c r="W12" s="1">
        <f>IF(Table1[[#This Row],[Included?]], (Table1[[#This Row],[I SB]]-Data!V$188)/(Data!V$187-Data!V$188), "")</f>
        <v>0.48996235884567119</v>
      </c>
      <c r="X12" s="1">
        <f>IF(Table1[[#This Row],[Included?]], (Table1[[#This Row],[I OBP]]-Data!W$188)/(Data!W$187-Data!W$188), "")</f>
        <v>0.41565017706155349</v>
      </c>
      <c r="Y12" s="1">
        <f>IF(Table1[[#This Row],[Included?]], (Table1[[#This Row],[I OB]]-Data!AA$188)/(Data!AA$187-Data!AA$188), "")</f>
        <v>0.54677424492610349</v>
      </c>
      <c r="Z12" s="1">
        <f>IF(Table1[[#This Row],[Included?]], SUM(Table35[[#This Row],[I R Scale]:[I OBP Scale]]), "")</f>
        <v>2.3993233640741307</v>
      </c>
      <c r="AA12" s="1">
        <f>IF(Table1[[#This Row],[Included?]], SUM(Table35[[#This Row],[I R Scale]:[I SB Scale]],Table35[[#This Row],[I OB Scale]]), "")</f>
        <v>2.5304474319386805</v>
      </c>
      <c r="AB1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2.5737189661559574</v>
      </c>
      <c r="AC1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2.7310678475934171</v>
      </c>
      <c r="AD1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2.2087008803096393</v>
      </c>
      <c r="AE1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2.1852304259990656</v>
      </c>
      <c r="AF12" s="1">
        <f ca="1">IF(Table1[[#This Row],[Included?]], Table35[[#This Row],[I Tot Scale]]*AF$185+AF$186, "")</f>
        <v>29.201671253407017</v>
      </c>
      <c r="AG12" s="1">
        <f ca="1">IF(Table1[[#This Row],[Included?]], Table35[[#This Row],[I OB Tot Scale]]*AG$185+AG$186, "")</f>
        <v>30.607411902107167</v>
      </c>
      <c r="AH12" s="1">
        <f ca="1">IF(Table1[[#This Row],[Included?]], Table35[[#This Row],[I Weighted Scale]]*AH$185+AH$186, "")</f>
        <v>29.381625709110892</v>
      </c>
      <c r="AI12" s="1">
        <f ca="1">IF(Table1[[#This Row],[Included?]], Table35[[#This Row],[I OB Weighted Scale]]*AI$185+AI$186, "")</f>
        <v>31.184015640763743</v>
      </c>
      <c r="AJ12" s="1">
        <f ca="1">IF(Table1[[#This Row],[Included?]], Table35[[#This Row],[I Z-score]]*AJ$185+AJ$186, "")</f>
        <v>30.027277716045322</v>
      </c>
      <c r="AK12" s="1">
        <f ca="1">IF(Table1[[#This Row],[Included?]], Table35[[#This Row],[I OBMod Z-Score]]*AK$185+AK$186, "")</f>
        <v>29.903312044277207</v>
      </c>
      <c r="AL12" s="1">
        <f ca="1">IF(Table1[[#This Row],[Included?]], AVERAGE(Table35[[#This Row],[I Tot Value]:[I OB Z Value]]), "")</f>
        <v>30.050885710951892</v>
      </c>
    </row>
    <row r="13" spans="1:38" hidden="1" x14ac:dyDescent="0.25">
      <c r="A13" s="1">
        <f>(Table1[[#This Row],[R]]-Data!H$188)/(Data!H$187-Data!H$188)</f>
        <v>0.66619318181818199</v>
      </c>
      <c r="B13" s="1">
        <f>(Table1[[#This Row],[HR]]-Data!I$188)/(Data!I$187-Data!I$188)</f>
        <v>0.68754254594962561</v>
      </c>
      <c r="C13" s="1">
        <f>(Table1[[#This Row],[RBI]]-Data!J$188)/(Data!J$187-Data!J$188)</f>
        <v>0.8999713384924044</v>
      </c>
      <c r="D13" s="1">
        <f>(Table1[[#This Row],[SB]]-Data!K$188)/(Data!K$187-Data!K$188)</f>
        <v>1.6624843161856962E-2</v>
      </c>
      <c r="E13" s="1">
        <f>(Table1[[#This Row],[OBP]]-Data!L$188)/(Data!L$187-Data!L$188)</f>
        <v>0.68309377651233771</v>
      </c>
      <c r="F13" s="1">
        <f>(Table1[[#This Row],[OB]]-Data!P$188)/(Data!P$187-Data!P$188)</f>
        <v>0.65508584452877394</v>
      </c>
      <c r="G13" s="1">
        <f>SUM(Table3[[#This Row],[R Scale]:[OBP Scale]])</f>
        <v>2.9534256859344064</v>
      </c>
      <c r="H13" s="1">
        <f>SUM(Table3[[#This Row],[R Scale]:[SB Scale]],Table3[[#This Row],[OB Scale]])</f>
        <v>2.9254177539508426</v>
      </c>
      <c r="I13" s="1">
        <f>Table3[[#This Row],[R Scale]]*Data!B$192+Table3[[#This Row],[HR Scale]]*Data!C$192+Table3[[#This Row],[RBI Scale]]*Data!D$192+Table3[[#This Row],[SB Scale]]*Data!E$192+Table3[[#This Row],[OBP Scale]]*Data!F$192</f>
        <v>3.2034193907535369</v>
      </c>
      <c r="J13" s="1">
        <f>Table3[[#This Row],[R Scale]]*Data!B$192+Table3[[#This Row],[HR Scale]]*Data!C$192+Table3[[#This Row],[RBI Scale]]*Data!D$192+Table3[[#This Row],[SB Scale]]*Data!E$192+Table3[[#This Row],[OB Scale]]*Data!F$192</f>
        <v>3.1698098723732606</v>
      </c>
      <c r="K1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5.3282247780212586</v>
      </c>
      <c r="L1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5.3684829279800717</v>
      </c>
      <c r="M13" s="1">
        <f ca="1">Table3[[#This Row],[Tot Scale]]*M$185+M$186</f>
        <v>42.614814536524378</v>
      </c>
      <c r="N13" s="1">
        <f ca="1">Table3[[#This Row],[OB Tot Scale]]*N$185+N$186</f>
        <v>39.168914268664054</v>
      </c>
      <c r="O13" s="1">
        <f ca="1">Table3[[#This Row],[Weighted Scale]]*O$185+O$186</f>
        <v>43.984443200249572</v>
      </c>
      <c r="P13" s="1">
        <f ca="1">Table3[[#This Row],[OB Weighted Scale]]*P$185+P$186</f>
        <v>40.327491285945058</v>
      </c>
      <c r="Q13" s="1">
        <f ca="1">Table3[[#This Row],[Z-score]]*Q$185+Q$186</f>
        <v>40.556753832805754</v>
      </c>
      <c r="R13" s="1">
        <f ca="1">Table3[[#This Row],[OBMod Z-Score]]*R$185+R$186</f>
        <v>40.737195354573203</v>
      </c>
      <c r="S13" s="1">
        <f ca="1">AVERAGE(Table3[[#This Row],[Tot Value]:[OB Z Value]])</f>
        <v>41.231602079793667</v>
      </c>
      <c r="T13" s="1">
        <f>IF(Table1[[#This Row],[Included?]], (Table1[[#This Row],[I R]]-Data!S$188)/(Data!S$187-Data!S$188), "")</f>
        <v>0.57809694793536825</v>
      </c>
      <c r="U13" s="1">
        <f>IF(Table1[[#This Row],[Included?]], (Table1[[#This Row],[I HR]]-Data!T$188)/(Data!T$187-Data!T$188), "")</f>
        <v>0.68754254594962561</v>
      </c>
      <c r="V13" s="1">
        <f>IF(Table1[[#This Row],[Included?]], (Table1[[#This Row],[I RBI]]-Data!U$188)/(Data!U$187-Data!U$188), "")</f>
        <v>0.87409812409812371</v>
      </c>
      <c r="W13" s="1">
        <f>IF(Table1[[#This Row],[Included?]], (Table1[[#This Row],[I SB]]-Data!V$188)/(Data!V$187-Data!V$188), "")</f>
        <v>1.6624843161856962E-2</v>
      </c>
      <c r="X13" s="1">
        <f>IF(Table1[[#This Row],[Included?]], (Table1[[#This Row],[I OBP]]-Data!W$188)/(Data!W$187-Data!W$188), "")</f>
        <v>0.61896434305901959</v>
      </c>
      <c r="Y13" s="1">
        <f>IF(Table1[[#This Row],[Included?]], (Table1[[#This Row],[I OB]]-Data!AA$188)/(Data!AA$187-Data!AA$188), "")</f>
        <v>0.46899646781165905</v>
      </c>
      <c r="Z13" s="1">
        <f>IF(Table1[[#This Row],[Included?]], SUM(Table35[[#This Row],[I R Scale]:[I OBP Scale]]), "")</f>
        <v>2.7753268042039942</v>
      </c>
      <c r="AA13" s="1">
        <f>IF(Table1[[#This Row],[Included?]], SUM(Table35[[#This Row],[I R Scale]:[I SB Scale]],Table35[[#This Row],[I OB Scale]]), "")</f>
        <v>2.6253589289566337</v>
      </c>
      <c r="AB1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3.016129602841886</v>
      </c>
      <c r="AC1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2.8361681525450533</v>
      </c>
      <c r="AD1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3.5167159482779504</v>
      </c>
      <c r="AE1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3.5037414939827287</v>
      </c>
      <c r="AF13" s="1">
        <f ca="1">IF(Table1[[#This Row],[Included?]], Table35[[#This Row],[I Tot Scale]]*AF$185+AF$186, "")</f>
        <v>37.164944622315772</v>
      </c>
      <c r="AG13" s="1">
        <f ca="1">IF(Table1[[#This Row],[Included?]], Table35[[#This Row],[I OB Tot Scale]]*AG$185+AG$186, "")</f>
        <v>32.09989945691111</v>
      </c>
      <c r="AH13" s="1">
        <f ca="1">IF(Table1[[#This Row],[Included?]], Table35[[#This Row],[I Weighted Scale]]*AH$185+AH$186, "")</f>
        <v>38.109006978023594</v>
      </c>
      <c r="AI13" s="1">
        <f ca="1">IF(Table1[[#This Row],[Included?]], Table35[[#This Row],[I OB Weighted Scale]]*AI$185+AI$186, "")</f>
        <v>32.723219948482139</v>
      </c>
      <c r="AJ13" s="1">
        <f ca="1">IF(Table1[[#This Row],[Included?]], Table35[[#This Row],[I Z-score]]*AJ$185+AJ$186, "")</f>
        <v>35.965533303398324</v>
      </c>
      <c r="AK13" s="1">
        <f ca="1">IF(Table1[[#This Row],[Included?]], Table35[[#This Row],[I OBMod Z-Score]]*AK$185+AK$186, "")</f>
        <v>35.878712342900322</v>
      </c>
      <c r="AL13" s="1">
        <f ca="1">IF(Table1[[#This Row],[Included?]], AVERAGE(Table35[[#This Row],[I Tot Value]:[I OB Z Value]]), "")</f>
        <v>35.323552775338548</v>
      </c>
    </row>
    <row r="14" spans="1:38" hidden="1" x14ac:dyDescent="0.25">
      <c r="A14" s="1">
        <f>(Table1[[#This Row],[R]]-Data!H$188)/(Data!H$187-Data!H$188)</f>
        <v>0.5892045454545457</v>
      </c>
      <c r="B14" s="1">
        <f>(Table1[[#This Row],[HR]]-Data!I$188)/(Data!I$187-Data!I$188)</f>
        <v>0.8134785568413887</v>
      </c>
      <c r="C14" s="1">
        <f>(Table1[[#This Row],[RBI]]-Data!J$188)/(Data!J$187-Data!J$188)</f>
        <v>0.74405273717397535</v>
      </c>
      <c r="D14" s="1">
        <f>(Table1[[#This Row],[SB]]-Data!K$188)/(Data!K$187-Data!K$188)</f>
        <v>7.0890840652446677E-2</v>
      </c>
      <c r="E14" s="1">
        <f>(Table1[[#This Row],[OBP]]-Data!L$188)/(Data!L$187-Data!L$188)</f>
        <v>0.84334179075063809</v>
      </c>
      <c r="F14" s="1">
        <f>(Table1[[#This Row],[OB]]-Data!P$188)/(Data!P$187-Data!P$188)</f>
        <v>0.67472191993780162</v>
      </c>
      <c r="G14" s="1">
        <f>SUM(Table3[[#This Row],[R Scale]:[OBP Scale]])</f>
        <v>3.0609684708729947</v>
      </c>
      <c r="H14" s="1">
        <f>SUM(Table3[[#This Row],[R Scale]:[SB Scale]],Table3[[#This Row],[OB Scale]])</f>
        <v>2.8923486000601581</v>
      </c>
      <c r="I14" s="1">
        <f>Table3[[#This Row],[R Scale]]*Data!B$192+Table3[[#This Row],[HR Scale]]*Data!C$192+Table3[[#This Row],[RBI Scale]]*Data!D$192+Table3[[#This Row],[SB Scale]]*Data!E$192+Table3[[#This Row],[OBP Scale]]*Data!F$192</f>
        <v>3.3195269219124626</v>
      </c>
      <c r="J14" s="1">
        <f>Table3[[#This Row],[R Scale]]*Data!B$192+Table3[[#This Row],[HR Scale]]*Data!C$192+Table3[[#This Row],[RBI Scale]]*Data!D$192+Table3[[#This Row],[SB Scale]]*Data!E$192+Table3[[#This Row],[OB Scale]]*Data!F$192</f>
        <v>3.1171830769370588</v>
      </c>
      <c r="K1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6.0115535926326595</v>
      </c>
      <c r="L1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5.9994326902946113</v>
      </c>
      <c r="M14" s="1">
        <f ca="1">Table3[[#This Row],[Tot Scale]]*M$185+M$186</f>
        <v>46.586567755192021</v>
      </c>
      <c r="N14" s="1">
        <f ca="1">Table3[[#This Row],[OB Tot Scale]]*N$185+N$186</f>
        <v>37.962948833341699</v>
      </c>
      <c r="O14" s="1">
        <f ca="1">Table3[[#This Row],[Weighted Scale]]*O$185+O$186</f>
        <v>47.977875978912735</v>
      </c>
      <c r="P14" s="1">
        <f ca="1">Table3[[#This Row],[OB Weighted Scale]]*P$185+P$186</f>
        <v>38.530779489046211</v>
      </c>
      <c r="Q14" s="1">
        <f ca="1">Table3[[#This Row],[Z-score]]*Q$185+Q$186</f>
        <v>45.57769130892251</v>
      </c>
      <c r="R14" s="1">
        <f ca="1">Table3[[#This Row],[OBMod Z-Score]]*R$185+R$186</f>
        <v>45.330832184843942</v>
      </c>
      <c r="S14" s="1">
        <f ca="1">AVERAGE(Table3[[#This Row],[Tot Value]:[OB Z Value]])</f>
        <v>43.661115925043184</v>
      </c>
      <c r="T14" s="1">
        <f>IF(Table1[[#This Row],[Included?]], (Table1[[#This Row],[I R]]-Data!S$188)/(Data!S$187-Data!S$188), "")</f>
        <v>0.48078994614003628</v>
      </c>
      <c r="U14" s="1">
        <f>IF(Table1[[#This Row],[Included?]], (Table1[[#This Row],[I HR]]-Data!T$188)/(Data!T$187-Data!T$188), "")</f>
        <v>0.8134785568413887</v>
      </c>
      <c r="V14" s="1">
        <f>IF(Table1[[#This Row],[Included?]], (Table1[[#This Row],[I RBI]]-Data!U$188)/(Data!U$187-Data!U$188), "")</f>
        <v>0.67784992784992792</v>
      </c>
      <c r="W14" s="1">
        <f>IF(Table1[[#This Row],[Included?]], (Table1[[#This Row],[I SB]]-Data!V$188)/(Data!V$187-Data!V$188), "")</f>
        <v>7.0890840652446677E-2</v>
      </c>
      <c r="X14" s="1">
        <f>IF(Table1[[#This Row],[Included?]], (Table1[[#This Row],[I OBP]]-Data!W$188)/(Data!W$187-Data!W$188), "")</f>
        <v>0.81164029213565725</v>
      </c>
      <c r="Y14" s="1">
        <f>IF(Table1[[#This Row],[Included?]], (Table1[[#This Row],[I OB]]-Data!AA$188)/(Data!AA$187-Data!AA$188), "")</f>
        <v>0.49922667215414251</v>
      </c>
      <c r="Z14" s="1">
        <f>IF(Table1[[#This Row],[Included?]], SUM(Table35[[#This Row],[I R Scale]:[I OBP Scale]]), "")</f>
        <v>2.8546495636194567</v>
      </c>
      <c r="AA14" s="1">
        <f>IF(Table1[[#This Row],[Included?]], SUM(Table35[[#This Row],[I R Scale]:[I SB Scale]],Table35[[#This Row],[I OB Scale]]), "")</f>
        <v>2.5422359436379418</v>
      </c>
      <c r="AB1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3.1044686130025703</v>
      </c>
      <c r="AC1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2.7295722690247524</v>
      </c>
      <c r="AD1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4.1776099861093581</v>
      </c>
      <c r="AE1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4.065986408592063</v>
      </c>
      <c r="AF14" s="1">
        <f ca="1">IF(Table1[[#This Row],[Included?]], Table35[[#This Row],[I Tot Scale]]*AF$185+AF$186, "")</f>
        <v>38.844899511513972</v>
      </c>
      <c r="AG14" s="1">
        <f ca="1">IF(Table1[[#This Row],[Included?]], Table35[[#This Row],[I OB Tot Scale]]*AG$185+AG$186, "")</f>
        <v>30.792786778213902</v>
      </c>
      <c r="AH14" s="1">
        <f ca="1">IF(Table1[[#This Row],[Included?]], Table35[[#This Row],[I Weighted Scale]]*AH$185+AH$186, "")</f>
        <v>39.851659976527245</v>
      </c>
      <c r="AI14" s="1">
        <f ca="1">IF(Table1[[#This Row],[Included?]], Table35[[#This Row],[I OB Weighted Scale]]*AI$185+AI$186, "")</f>
        <v>31.162112745463116</v>
      </c>
      <c r="AJ14" s="1">
        <f ca="1">IF(Table1[[#This Row],[Included?]], Table35[[#This Row],[I Z-score]]*AJ$185+AJ$186, "")</f>
        <v>38.965925125257456</v>
      </c>
      <c r="AK14" s="1">
        <f ca="1">IF(Table1[[#This Row],[Included?]], Table35[[#This Row],[I OBMod Z-Score]]*AK$185+AK$186, "")</f>
        <v>38.426767123960047</v>
      </c>
      <c r="AL14" s="1">
        <f ca="1">IF(Table1[[#This Row],[Included?]], AVERAGE(Table35[[#This Row],[I Tot Value]:[I OB Z Value]]), "")</f>
        <v>36.340691876822625</v>
      </c>
    </row>
    <row r="15" spans="1:38" hidden="1" x14ac:dyDescent="0.25">
      <c r="A15" s="1">
        <f>(Table1[[#This Row],[R]]-Data!H$188)/(Data!H$187-Data!H$188)</f>
        <v>0.77329545454545467</v>
      </c>
      <c r="B15" s="1">
        <f>(Table1[[#This Row],[HR]]-Data!I$188)/(Data!I$187-Data!I$188)</f>
        <v>0.29135466303607899</v>
      </c>
      <c r="C15" s="1">
        <f>(Table1[[#This Row],[RBI]]-Data!J$188)/(Data!J$187-Data!J$188)</f>
        <v>0.84408139868157062</v>
      </c>
      <c r="D15" s="1">
        <f>(Table1[[#This Row],[SB]]-Data!K$188)/(Data!K$187-Data!K$188)</f>
        <v>7.8105395232120442E-2</v>
      </c>
      <c r="E15" s="1">
        <f>(Table1[[#This Row],[OBP]]-Data!L$188)/(Data!L$187-Data!L$188)</f>
        <v>0.70302456787040646</v>
      </c>
      <c r="F15" s="1">
        <f>(Table1[[#This Row],[OB]]-Data!P$188)/(Data!P$187-Data!P$188)</f>
        <v>0.71659846425679097</v>
      </c>
      <c r="G15" s="1">
        <f>SUM(Table3[[#This Row],[R Scale]:[OBP Scale]])</f>
        <v>2.6898614793656312</v>
      </c>
      <c r="H15" s="1">
        <f>SUM(Table3[[#This Row],[R Scale]:[SB Scale]],Table3[[#This Row],[OB Scale]])</f>
        <v>2.7034353757520155</v>
      </c>
      <c r="I15" s="1">
        <f>Table3[[#This Row],[R Scale]]*Data!B$192+Table3[[#This Row],[HR Scale]]*Data!C$192+Table3[[#This Row],[RBI Scale]]*Data!D$192+Table3[[#This Row],[SB Scale]]*Data!E$192+Table3[[#This Row],[OBP Scale]]*Data!F$192</f>
        <v>2.9219531272214812</v>
      </c>
      <c r="J15" s="1">
        <f>Table3[[#This Row],[R Scale]]*Data!B$192+Table3[[#This Row],[HR Scale]]*Data!C$192+Table3[[#This Row],[RBI Scale]]*Data!D$192+Table3[[#This Row],[SB Scale]]*Data!E$192+Table3[[#This Row],[OB Scale]]*Data!F$192</f>
        <v>2.9382418028851425</v>
      </c>
      <c r="K1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4.365626652827463</v>
      </c>
      <c r="L1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4.4812118898973621</v>
      </c>
      <c r="M15" s="1">
        <f ca="1">Table3[[#This Row],[Tot Scale]]*M$185+M$186</f>
        <v>32.880902713775001</v>
      </c>
      <c r="N15" s="1">
        <f ca="1">Table3[[#This Row],[OB Tot Scale]]*N$185+N$186</f>
        <v>31.073664047162282</v>
      </c>
      <c r="O15" s="1">
        <f ca="1">Table3[[#This Row],[Weighted Scale]]*O$185+O$186</f>
        <v>34.30361895347248</v>
      </c>
      <c r="P15" s="1">
        <f ca="1">Table3[[#This Row],[OB Weighted Scale]]*P$185+P$186</f>
        <v>32.421612184133238</v>
      </c>
      <c r="Q15" s="1">
        <f ca="1">Table3[[#This Row],[Z-score]]*Q$185+Q$186</f>
        <v>33.483811937367328</v>
      </c>
      <c r="R15" s="1">
        <f ca="1">Table3[[#This Row],[OBMod Z-Score]]*R$185+R$186</f>
        <v>34.277408597513741</v>
      </c>
      <c r="S15" s="1">
        <f ca="1">AVERAGE(Table3[[#This Row],[Tot Value]:[OB Z Value]])</f>
        <v>33.073503072237344</v>
      </c>
      <c r="T15" s="1">
        <f>IF(Table1[[#This Row],[Included?]], (Table1[[#This Row],[I R]]-Data!S$188)/(Data!S$187-Data!S$188), "")</f>
        <v>0.71346499102333949</v>
      </c>
      <c r="U15" s="1">
        <f>IF(Table1[[#This Row],[Included?]], (Table1[[#This Row],[I HR]]-Data!T$188)/(Data!T$187-Data!T$188), "")</f>
        <v>0.29135466303607899</v>
      </c>
      <c r="V15" s="1">
        <f>IF(Table1[[#This Row],[Included?]], (Table1[[#This Row],[I RBI]]-Data!U$188)/(Data!U$187-Data!U$188), "")</f>
        <v>0.80375180375180388</v>
      </c>
      <c r="W15" s="1">
        <f>IF(Table1[[#This Row],[Included?]], (Table1[[#This Row],[I SB]]-Data!V$188)/(Data!V$187-Data!V$188), "")</f>
        <v>7.8105395232120442E-2</v>
      </c>
      <c r="X15" s="1">
        <f>IF(Table1[[#This Row],[Included?]], (Table1[[#This Row],[I OBP]]-Data!W$188)/(Data!W$187-Data!W$188), "")</f>
        <v>0.64292834759921758</v>
      </c>
      <c r="Y15" s="1">
        <f>IF(Table1[[#This Row],[Included?]], (Table1[[#This Row],[I OB]]-Data!AA$188)/(Data!AA$187-Data!AA$188), "")</f>
        <v>0.56369660647401709</v>
      </c>
      <c r="Z15" s="1">
        <f>IF(Table1[[#This Row],[Included?]], SUM(Table35[[#This Row],[I R Scale]:[I OBP Scale]]), "")</f>
        <v>2.5296052006425604</v>
      </c>
      <c r="AA15" s="1">
        <f>IF(Table1[[#This Row],[Included?]], SUM(Table35[[#This Row],[I R Scale]:[I SB Scale]],Table35[[#This Row],[I OB Scale]]), "")</f>
        <v>2.4503734595173601</v>
      </c>
      <c r="AB1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2.7475947318104303</v>
      </c>
      <c r="AC1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2.6525166424601898</v>
      </c>
      <c r="AD1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2.6138248030232036</v>
      </c>
      <c r="AE1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2.6444251149757871</v>
      </c>
      <c r="AF15" s="1">
        <f ca="1">IF(Table1[[#This Row],[Included?]], Table35[[#This Row],[I Tot Scale]]*AF$185+AF$186, "")</f>
        <v>31.960874411866367</v>
      </c>
      <c r="AG15" s="1">
        <f ca="1">IF(Table1[[#This Row],[Included?]], Table35[[#This Row],[I OB Tot Scale]]*AG$185+AG$186, "")</f>
        <v>29.348245088207584</v>
      </c>
      <c r="AH15" s="1">
        <f ca="1">IF(Table1[[#This Row],[Included?]], Table35[[#This Row],[I Weighted Scale]]*AH$185+AH$186, "")</f>
        <v>32.811651966295962</v>
      </c>
      <c r="AI15" s="1">
        <f ca="1">IF(Table1[[#This Row],[Included?]], Table35[[#This Row],[I OB Weighted Scale]]*AI$185+AI$186, "")</f>
        <v>30.033625512274856</v>
      </c>
      <c r="AJ15" s="1">
        <f ca="1">IF(Table1[[#This Row],[Included?]], Table35[[#This Row],[I Z-score]]*AJ$185+AJ$186, "")</f>
        <v>31.866499187217606</v>
      </c>
      <c r="AK15" s="1">
        <f ca="1">IF(Table1[[#This Row],[Included?]], Table35[[#This Row],[I OBMod Z-Score]]*AK$185+AK$186, "")</f>
        <v>31.984350382342676</v>
      </c>
      <c r="AL15" s="1">
        <f ca="1">IF(Table1[[#This Row],[Included?]], AVERAGE(Table35[[#This Row],[I Tot Value]:[I OB Z Value]]), "")</f>
        <v>31.334207758034179</v>
      </c>
    </row>
    <row r="16" spans="1:38" hidden="1" x14ac:dyDescent="0.25">
      <c r="A16" s="1">
        <f>(Table1[[#This Row],[R]]-Data!H$188)/(Data!H$187-Data!H$188)</f>
        <v>0.68068181818181828</v>
      </c>
      <c r="B16" s="1">
        <f>(Table1[[#This Row],[HR]]-Data!I$188)/(Data!I$187-Data!I$188)</f>
        <v>0.63104152484683462</v>
      </c>
      <c r="C16" s="1">
        <f>(Table1[[#This Row],[RBI]]-Data!J$188)/(Data!J$187-Data!J$188)</f>
        <v>0.91716824304958455</v>
      </c>
      <c r="D16" s="1">
        <f>(Table1[[#This Row],[SB]]-Data!K$188)/(Data!K$187-Data!K$188)</f>
        <v>1.0664993726474278E-2</v>
      </c>
      <c r="E16" s="1">
        <f>(Table1[[#This Row],[OBP]]-Data!L$188)/(Data!L$187-Data!L$188)</f>
        <v>0.56969796010271234</v>
      </c>
      <c r="F16" s="1">
        <f>(Table1[[#This Row],[OB]]-Data!P$188)/(Data!P$187-Data!P$188)</f>
        <v>0.62922823118353843</v>
      </c>
      <c r="G16" s="1">
        <f>SUM(Table3[[#This Row],[R Scale]:[OBP Scale]])</f>
        <v>2.8092545399074238</v>
      </c>
      <c r="H16" s="1">
        <f>SUM(Table3[[#This Row],[R Scale]:[SB Scale]],Table3[[#This Row],[OB Scale]])</f>
        <v>2.8687848109882501</v>
      </c>
      <c r="I16" s="1">
        <f>Table3[[#This Row],[R Scale]]*Data!B$192+Table3[[#This Row],[HR Scale]]*Data!C$192+Table3[[#This Row],[RBI Scale]]*Data!D$192+Table3[[#This Row],[SB Scale]]*Data!E$192+Table3[[#This Row],[OBP Scale]]*Data!F$192</f>
        <v>3.0385595987197016</v>
      </c>
      <c r="J16" s="1">
        <f>Table3[[#This Row],[R Scale]]*Data!B$192+Table3[[#This Row],[HR Scale]]*Data!C$192+Table3[[#This Row],[RBI Scale]]*Data!D$192+Table3[[#This Row],[SB Scale]]*Data!E$192+Table3[[#This Row],[OB Scale]]*Data!F$192</f>
        <v>3.109995924016693</v>
      </c>
      <c r="K1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4.5564073113997328</v>
      </c>
      <c r="L1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4.5796795242617927</v>
      </c>
      <c r="M16" s="1">
        <f ca="1">Table3[[#This Row],[Tot Scale]]*M$185+M$186</f>
        <v>37.290308447169721</v>
      </c>
      <c r="N16" s="1">
        <f ca="1">Table3[[#This Row],[OB Tot Scale]]*N$185+N$186</f>
        <v>37.103624907489674</v>
      </c>
      <c r="O16" s="1">
        <f ca="1">Table3[[#This Row],[Weighted Scale]]*O$185+O$186</f>
        <v>38.314212416594685</v>
      </c>
      <c r="P16" s="1">
        <f ca="1">Table3[[#This Row],[OB Weighted Scale]]*P$185+P$186</f>
        <v>38.28540558149389</v>
      </c>
      <c r="Q16" s="1">
        <f ca="1">Table3[[#This Row],[Z-score]]*Q$185+Q$186</f>
        <v>34.885622804787701</v>
      </c>
      <c r="R16" s="1">
        <f ca="1">Table3[[#This Row],[OBMod Z-Score]]*R$185+R$186</f>
        <v>34.994303315322654</v>
      </c>
      <c r="S16" s="1">
        <f ca="1">AVERAGE(Table3[[#This Row],[Tot Value]:[OB Z Value]])</f>
        <v>36.812246245476388</v>
      </c>
      <c r="T16" s="1">
        <f>IF(Table1[[#This Row],[Included?]], (Table1[[#This Row],[I R]]-Data!S$188)/(Data!S$187-Data!S$188), "")</f>
        <v>0.59640933572710964</v>
      </c>
      <c r="U16" s="1">
        <f>IF(Table1[[#This Row],[Included?]], (Table1[[#This Row],[I HR]]-Data!T$188)/(Data!T$187-Data!T$188), "")</f>
        <v>0.63104152484683462</v>
      </c>
      <c r="V16" s="1">
        <f>IF(Table1[[#This Row],[Included?]], (Table1[[#This Row],[I RBI]]-Data!U$188)/(Data!U$187-Data!U$188), "")</f>
        <v>0.89574314574314584</v>
      </c>
      <c r="W16" s="1">
        <f>IF(Table1[[#This Row],[Included?]], (Table1[[#This Row],[I SB]]-Data!V$188)/(Data!V$187-Data!V$188), "")</f>
        <v>1.0664993726474278E-2</v>
      </c>
      <c r="X16" s="1">
        <f>IF(Table1[[#This Row],[Included?]], (Table1[[#This Row],[I OBP]]-Data!W$188)/(Data!W$187-Data!W$188), "")</f>
        <v>0.48262164544808878</v>
      </c>
      <c r="Y16" s="1">
        <f>IF(Table1[[#This Row],[Included?]], (Table1[[#This Row],[I OB]]-Data!AA$188)/(Data!AA$187-Data!AA$188), "")</f>
        <v>0.42918805808860289</v>
      </c>
      <c r="Z16" s="1">
        <f>IF(Table1[[#This Row],[Included?]], SUM(Table35[[#This Row],[I R Scale]:[I OBP Scale]]), "")</f>
        <v>2.6164806454916532</v>
      </c>
      <c r="AA16" s="1">
        <f>IF(Table1[[#This Row],[Included?]], SUM(Table35[[#This Row],[I R Scale]:[I SB Scale]],Table35[[#This Row],[I OB Scale]]), "")</f>
        <v>2.5630470581321672</v>
      </c>
      <c r="AB1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2.8325126701571888</v>
      </c>
      <c r="AC1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2.7683923653258056</v>
      </c>
      <c r="AD1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2.6512063420243095</v>
      </c>
      <c r="AE1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2.6526395089476535</v>
      </c>
      <c r="AF16" s="1">
        <f ca="1">IF(Table1[[#This Row],[Included?]], Table35[[#This Row],[I Tot Scale]]*AF$185+AF$186, "")</f>
        <v>33.800785547094122</v>
      </c>
      <c r="AG16" s="1">
        <f ca="1">IF(Table1[[#This Row],[Included?]], Table35[[#This Row],[I OB Tot Scale]]*AG$185+AG$186, "")</f>
        <v>31.120042488640173</v>
      </c>
      <c r="AH16" s="1">
        <f ca="1">IF(Table1[[#This Row],[Included?]], Table35[[#This Row],[I Weighted Scale]]*AH$185+AH$186, "")</f>
        <v>34.486817893756033</v>
      </c>
      <c r="AI16" s="1">
        <f ca="1">IF(Table1[[#This Row],[Included?]], Table35[[#This Row],[I OB Weighted Scale]]*AI$185+AI$186, "")</f>
        <v>31.730636875627336</v>
      </c>
      <c r="AJ16" s="1">
        <f ca="1">IF(Table1[[#This Row],[Included?]], Table35[[#This Row],[I Z-score]]*AJ$185+AJ$186, "")</f>
        <v>32.036207578407598</v>
      </c>
      <c r="AK16" s="1">
        <f ca="1">IF(Table1[[#This Row],[Included?]], Table35[[#This Row],[I OBMod Z-Score]]*AK$185+AK$186, "")</f>
        <v>32.021577443521281</v>
      </c>
      <c r="AL16" s="1">
        <f ca="1">IF(Table1[[#This Row],[Included?]], AVERAGE(Table35[[#This Row],[I Tot Value]:[I OB Z Value]]), "")</f>
        <v>32.532677971174422</v>
      </c>
    </row>
    <row r="17" spans="1:38" hidden="1" x14ac:dyDescent="0.25">
      <c r="A17" s="1">
        <f>(Table1[[#This Row],[R]]-Data!H$188)/(Data!H$187-Data!H$188)</f>
        <v>0.60142045454545456</v>
      </c>
      <c r="B17" s="1">
        <f>(Table1[[#This Row],[HR]]-Data!I$188)/(Data!I$187-Data!I$188)</f>
        <v>0.66916269571136811</v>
      </c>
      <c r="C17" s="1">
        <f>(Table1[[#This Row],[RBI]]-Data!J$188)/(Data!J$187-Data!J$188)</f>
        <v>0.78217254227572341</v>
      </c>
      <c r="D17" s="1">
        <f>(Table1[[#This Row],[SB]]-Data!K$188)/(Data!K$187-Data!K$188)</f>
        <v>0</v>
      </c>
      <c r="E17" s="1">
        <f>(Table1[[#This Row],[OBP]]-Data!L$188)/(Data!L$187-Data!L$188)</f>
        <v>0.74167624971378199</v>
      </c>
      <c r="F17" s="1">
        <f>(Table1[[#This Row],[OB]]-Data!P$188)/(Data!P$187-Data!P$188)</f>
        <v>0.71303101275029435</v>
      </c>
      <c r="G17" s="1">
        <f>SUM(Table3[[#This Row],[R Scale]:[OBP Scale]])</f>
        <v>2.7944319422463284</v>
      </c>
      <c r="H17" s="1">
        <f>SUM(Table3[[#This Row],[R Scale]:[SB Scale]],Table3[[#This Row],[OB Scale]])</f>
        <v>2.7657867052828404</v>
      </c>
      <c r="I17" s="1">
        <f>Table3[[#This Row],[R Scale]]*Data!B$192+Table3[[#This Row],[HR Scale]]*Data!C$192+Table3[[#This Row],[RBI Scale]]*Data!D$192+Table3[[#This Row],[SB Scale]]*Data!E$192+Table3[[#This Row],[OBP Scale]]*Data!F$192</f>
        <v>3.0390596551896834</v>
      </c>
      <c r="J17" s="1">
        <f>Table3[[#This Row],[R Scale]]*Data!B$192+Table3[[#This Row],[HR Scale]]*Data!C$192+Table3[[#This Row],[RBI Scale]]*Data!D$192+Table3[[#This Row],[SB Scale]]*Data!E$192+Table3[[#This Row],[OB Scale]]*Data!F$192</f>
        <v>3.0046853708334984</v>
      </c>
      <c r="K1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4.5468034160998716</v>
      </c>
      <c r="L1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4.6519902192144649</v>
      </c>
      <c r="M17" s="1">
        <f ca="1">Table3[[#This Row],[Tot Scale]]*M$185+M$186</f>
        <v>36.742882601697247</v>
      </c>
      <c r="N17" s="1">
        <f ca="1">Table3[[#This Row],[OB Tot Scale]]*N$185+N$186</f>
        <v>33.347491448647474</v>
      </c>
      <c r="O17" s="1">
        <f ca="1">Table3[[#This Row],[Weighted Scale]]*O$185+O$186</f>
        <v>38.331411489544351</v>
      </c>
      <c r="P17" s="1">
        <f ca="1">Table3[[#This Row],[OB Weighted Scale]]*P$185+P$186</f>
        <v>34.690037258686417</v>
      </c>
      <c r="Q17" s="1">
        <f ca="1">Table3[[#This Row],[Z-score]]*Q$185+Q$186</f>
        <v>34.815055668152027</v>
      </c>
      <c r="R17" s="1">
        <f ca="1">Table3[[#This Row],[OBMod Z-Score]]*R$185+R$186</f>
        <v>35.520762141994616</v>
      </c>
      <c r="S17" s="1">
        <f ca="1">AVERAGE(Table3[[#This Row],[Tot Value]:[OB Z Value]])</f>
        <v>35.574606768120354</v>
      </c>
      <c r="T17" s="1">
        <f>IF(Table1[[#This Row],[Included?]], (Table1[[#This Row],[I R]]-Data!S$188)/(Data!S$187-Data!S$188), "")</f>
        <v>0.4962298025134651</v>
      </c>
      <c r="U17" s="1">
        <f>IF(Table1[[#This Row],[Included?]], (Table1[[#This Row],[I HR]]-Data!T$188)/(Data!T$187-Data!T$188), "")</f>
        <v>0.66916269571136811</v>
      </c>
      <c r="V17" s="1">
        <f>IF(Table1[[#This Row],[Included?]], (Table1[[#This Row],[I RBI]]-Data!U$188)/(Data!U$187-Data!U$188), "")</f>
        <v>0.7258297258297256</v>
      </c>
      <c r="W17" s="1">
        <f>IF(Table1[[#This Row],[Included?]], (Table1[[#This Row],[I SB]]-Data!V$188)/(Data!V$187-Data!V$188), "")</f>
        <v>0</v>
      </c>
      <c r="X17" s="1">
        <f>IF(Table1[[#This Row],[Included?]], (Table1[[#This Row],[I OBP]]-Data!W$188)/(Data!W$187-Data!W$188), "")</f>
        <v>0.6894016191588016</v>
      </c>
      <c r="Y17" s="1">
        <f>IF(Table1[[#This Row],[Included?]], (Table1[[#This Row],[I OB]]-Data!AA$188)/(Data!AA$187-Data!AA$188), "")</f>
        <v>0.55820443017214216</v>
      </c>
      <c r="Z17" s="1">
        <f>IF(Table1[[#This Row],[Included?]], SUM(Table35[[#This Row],[I R Scale]:[I OBP Scale]]), "")</f>
        <v>2.5806238432133606</v>
      </c>
      <c r="AA17" s="1">
        <f>IF(Table1[[#This Row],[Included?]], SUM(Table35[[#This Row],[I R Scale]:[I SB Scale]],Table35[[#This Row],[I OB Scale]]), "")</f>
        <v>2.4494266542267011</v>
      </c>
      <c r="AB1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2.8140471319597191</v>
      </c>
      <c r="AC1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2.6566105051757281</v>
      </c>
      <c r="AD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2.7216200777368957</v>
      </c>
      <c r="AE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2.7366594393155399</v>
      </c>
      <c r="AF17" s="1">
        <f ca="1">IF(Table1[[#This Row],[Included?]], Table35[[#This Row],[I Tot Scale]]*AF$185+AF$186, "")</f>
        <v>33.04138420071726</v>
      </c>
      <c r="AG17" s="1">
        <f ca="1">IF(Table1[[#This Row],[Included?]], Table35[[#This Row],[I OB Tot Scale]]*AG$185+AG$186, "")</f>
        <v>29.333356532473779</v>
      </c>
      <c r="AH17" s="1">
        <f ca="1">IF(Table1[[#This Row],[Included?]], Table35[[#This Row],[I Weighted Scale]]*AH$185+AH$186, "")</f>
        <v>34.122550448940068</v>
      </c>
      <c r="AI17" s="1">
        <f ca="1">IF(Table1[[#This Row],[Included?]], Table35[[#This Row],[I OB Weighted Scale]]*AI$185+AI$186, "")</f>
        <v>30.093580534573444</v>
      </c>
      <c r="AJ17" s="1">
        <f ca="1">IF(Table1[[#This Row],[Included?]], Table35[[#This Row],[I Z-score]]*AJ$185+AJ$186, "")</f>
        <v>32.355878788442766</v>
      </c>
      <c r="AK17" s="1">
        <f ca="1">IF(Table1[[#This Row],[Included?]], Table35[[#This Row],[I OBMod Z-Score]]*AK$185+AK$186, "")</f>
        <v>32.402349914228203</v>
      </c>
      <c r="AL17" s="1">
        <f ca="1">IF(Table1[[#This Row],[Included?]], AVERAGE(Table35[[#This Row],[I Tot Value]:[I OB Z Value]]), "")</f>
        <v>31.89151673656259</v>
      </c>
    </row>
    <row r="18" spans="1:38" hidden="1" x14ac:dyDescent="0.25">
      <c r="A18" s="1">
        <f>(Table1[[#This Row],[R]]-Data!H$188)/(Data!H$187-Data!H$188)</f>
        <v>0.63806818181818192</v>
      </c>
      <c r="B18" s="1">
        <f>(Table1[[#This Row],[HR]]-Data!I$188)/(Data!I$187-Data!I$188)</f>
        <v>0.69979577944179716</v>
      </c>
      <c r="C18" s="1">
        <f>(Table1[[#This Row],[RBI]]-Data!J$188)/(Data!J$187-Data!J$188)</f>
        <v>0.80596159357982222</v>
      </c>
      <c r="D18" s="1">
        <f>(Table1[[#This Row],[SB]]-Data!K$188)/(Data!K$187-Data!K$188)</f>
        <v>0.1571518193224592</v>
      </c>
      <c r="E18" s="1">
        <f>(Table1[[#This Row],[OBP]]-Data!L$188)/(Data!L$187-Data!L$188)</f>
        <v>0.32576241603751505</v>
      </c>
      <c r="F18" s="1">
        <f>(Table1[[#This Row],[OB]]-Data!P$188)/(Data!P$187-Data!P$188)</f>
        <v>0.5842647815008275</v>
      </c>
      <c r="G18" s="1">
        <f>SUM(Table3[[#This Row],[R Scale]:[OBP Scale]])</f>
        <v>2.6267397901997755</v>
      </c>
      <c r="H18" s="1">
        <f>SUM(Table3[[#This Row],[R Scale]:[SB Scale]],Table3[[#This Row],[OB Scale]])</f>
        <v>2.8852421556630876</v>
      </c>
      <c r="I18" s="1">
        <f>Table3[[#This Row],[R Scale]]*Data!B$192+Table3[[#This Row],[HR Scale]]*Data!C$192+Table3[[#This Row],[RBI Scale]]*Data!D$192+Table3[[#This Row],[SB Scale]]*Data!E$192+Table3[[#This Row],[OBP Scale]]*Data!F$192</f>
        <v>2.7892777739414245</v>
      </c>
      <c r="J18" s="1">
        <f>Table3[[#This Row],[R Scale]]*Data!B$192+Table3[[#This Row],[HR Scale]]*Data!C$192+Table3[[#This Row],[RBI Scale]]*Data!D$192+Table3[[#This Row],[SB Scale]]*Data!E$192+Table3[[#This Row],[OB Scale]]*Data!F$192</f>
        <v>3.0994806124973993</v>
      </c>
      <c r="K1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3.7616837527105678</v>
      </c>
      <c r="L1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3.6325825804890135</v>
      </c>
      <c r="M18" s="1">
        <f ca="1">Table3[[#This Row],[Tot Scale]]*M$185+M$186</f>
        <v>30.5497024174893</v>
      </c>
      <c r="N18" s="1">
        <f ca="1">Table3[[#This Row],[OB Tot Scale]]*N$185+N$186</f>
        <v>37.703791119804876</v>
      </c>
      <c r="O18" s="1">
        <f ca="1">Table3[[#This Row],[Weighted Scale]]*O$185+O$186</f>
        <v>29.740348169736038</v>
      </c>
      <c r="P18" s="1">
        <f ca="1">Table3[[#This Row],[OB Weighted Scale]]*P$185+P$186</f>
        <v>37.926406252384353</v>
      </c>
      <c r="Q18" s="1">
        <f ca="1">Table3[[#This Row],[Z-score]]*Q$185+Q$186</f>
        <v>29.046183264623568</v>
      </c>
      <c r="R18" s="1">
        <f ca="1">Table3[[#This Row],[OBMod Z-Score]]*R$185+R$186</f>
        <v>28.098953380025229</v>
      </c>
      <c r="S18" s="1">
        <f ca="1">AVERAGE(Table3[[#This Row],[Tot Value]:[OB Z Value]])</f>
        <v>32.177564100677223</v>
      </c>
      <c r="T18" s="1">
        <f>IF(Table1[[#This Row],[Included?]], (Table1[[#This Row],[I R]]-Data!S$188)/(Data!S$187-Data!S$188), "")</f>
        <v>0.54254937163375239</v>
      </c>
      <c r="U18" s="1">
        <f>IF(Table1[[#This Row],[Included?]], (Table1[[#This Row],[I HR]]-Data!T$188)/(Data!T$187-Data!T$188), "")</f>
        <v>0.69979577944179716</v>
      </c>
      <c r="V18" s="1">
        <f>IF(Table1[[#This Row],[Included?]], (Table1[[#This Row],[I RBI]]-Data!U$188)/(Data!U$187-Data!U$188), "")</f>
        <v>0.75577200577200565</v>
      </c>
      <c r="W18" s="1">
        <f>IF(Table1[[#This Row],[Included?]], (Table1[[#This Row],[I SB]]-Data!V$188)/(Data!V$187-Data!V$188), "")</f>
        <v>0.1571518193224592</v>
      </c>
      <c r="X18" s="1">
        <f>IF(Table1[[#This Row],[Included?]], (Table1[[#This Row],[I OBP]]-Data!W$188)/(Data!W$187-Data!W$188), "")</f>
        <v>0.18932308140850751</v>
      </c>
      <c r="Y18" s="1">
        <f>IF(Table1[[#This Row],[Included?]], (Table1[[#This Row],[I OB]]-Data!AA$188)/(Data!AA$187-Data!AA$188), "")</f>
        <v>0.35996575966401989</v>
      </c>
      <c r="Z18" s="1">
        <f>IF(Table1[[#This Row],[Included?]], SUM(Table35[[#This Row],[I R Scale]:[I OBP Scale]]), "")</f>
        <v>2.344592057578522</v>
      </c>
      <c r="AA18" s="1">
        <f>IF(Table1[[#This Row],[Included?]], SUM(Table35[[#This Row],[I R Scale]:[I SB Scale]],Table35[[#This Row],[I OB Scale]]), "")</f>
        <v>2.5152347358340346</v>
      </c>
      <c r="AB1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2.4793561378512488</v>
      </c>
      <c r="AC1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2.6841273517578639</v>
      </c>
      <c r="AD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1.3241882008656896</v>
      </c>
      <c r="AE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1.2126180158949529</v>
      </c>
      <c r="AF18" s="1">
        <f ca="1">IF(Table1[[#This Row],[Included?]], Table35[[#This Row],[I Tot Scale]]*AF$185+AF$186, "")</f>
        <v>28.042531977150571</v>
      </c>
      <c r="AG18" s="1">
        <f ca="1">IF(Table1[[#This Row],[Included?]], Table35[[#This Row],[I OB Tot Scale]]*AG$185+AG$186, "")</f>
        <v>30.36819157238353</v>
      </c>
      <c r="AH18" s="1">
        <f ca="1">IF(Table1[[#This Row],[Included?]], Table35[[#This Row],[I Weighted Scale]]*AH$185+AH$186, "")</f>
        <v>27.520141576637876</v>
      </c>
      <c r="AI18" s="1">
        <f ca="1">IF(Table1[[#This Row],[Included?]], Table35[[#This Row],[I OB Weighted Scale]]*AI$185+AI$186, "")</f>
        <v>30.496567460382462</v>
      </c>
      <c r="AJ18" s="1">
        <f ca="1">IF(Table1[[#This Row],[Included?]], Table35[[#This Row],[I Z-score]]*AJ$185+AJ$186, "")</f>
        <v>26.011679968420708</v>
      </c>
      <c r="AK18" s="1">
        <f ca="1">IF(Table1[[#This Row],[Included?]], Table35[[#This Row],[I OBMod Z-Score]]*AK$185+AK$186, "")</f>
        <v>25.495500364191507</v>
      </c>
      <c r="AL18" s="1">
        <f ca="1">IF(Table1[[#This Row],[Included?]], AVERAGE(Table35[[#This Row],[I Tot Value]:[I OB Z Value]]), "")</f>
        <v>27.989102153194441</v>
      </c>
    </row>
    <row r="19" spans="1:38" hidden="1" x14ac:dyDescent="0.25">
      <c r="A19" s="1">
        <f>(Table1[[#This Row],[R]]-Data!H$188)/(Data!H$187-Data!H$188)</f>
        <v>0.53181818181818197</v>
      </c>
      <c r="B19" s="1">
        <f>(Table1[[#This Row],[HR]]-Data!I$188)/(Data!I$187-Data!I$188)</f>
        <v>0.48468345813478553</v>
      </c>
      <c r="C19" s="1">
        <f>(Table1[[#This Row],[RBI]]-Data!J$188)/(Data!J$187-Data!J$188)</f>
        <v>0.7758670106047576</v>
      </c>
      <c r="D19" s="1">
        <f>(Table1[[#This Row],[SB]]-Data!K$188)/(Data!K$187-Data!K$188)</f>
        <v>0.36731493099121698</v>
      </c>
      <c r="E19" s="1">
        <f>(Table1[[#This Row],[OBP]]-Data!L$188)/(Data!L$187-Data!L$188)</f>
        <v>0.5657523113124977</v>
      </c>
      <c r="F19" s="1">
        <f>(Table1[[#This Row],[OB]]-Data!P$188)/(Data!P$187-Data!P$188)</f>
        <v>0.5998090402027384</v>
      </c>
      <c r="G19" s="1">
        <f>SUM(Table3[[#This Row],[R Scale]:[OBP Scale]])</f>
        <v>2.7254358928614399</v>
      </c>
      <c r="H19" s="1">
        <f>SUM(Table3[[#This Row],[R Scale]:[SB Scale]],Table3[[#This Row],[OB Scale]])</f>
        <v>2.7594926217516806</v>
      </c>
      <c r="I19" s="1">
        <f>Table3[[#This Row],[R Scale]]*Data!B$192+Table3[[#This Row],[HR Scale]]*Data!C$192+Table3[[#This Row],[RBI Scale]]*Data!D$192+Table3[[#This Row],[SB Scale]]*Data!E$192+Table3[[#This Row],[OBP Scale]]*Data!F$192</f>
        <v>2.9405779390630729</v>
      </c>
      <c r="J19" s="1">
        <f>Table3[[#This Row],[R Scale]]*Data!B$192+Table3[[#This Row],[HR Scale]]*Data!C$192+Table3[[#This Row],[RBI Scale]]*Data!D$192+Table3[[#This Row],[SB Scale]]*Data!E$192+Table3[[#This Row],[OB Scale]]*Data!F$192</f>
        <v>2.9814460137313619</v>
      </c>
      <c r="K1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4.9173863307665169</v>
      </c>
      <c r="L1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4.9204470721251816</v>
      </c>
      <c r="M19" s="1">
        <f ca="1">Table3[[#This Row],[Tot Scale]]*M$185+M$186</f>
        <v>34.194731357740991</v>
      </c>
      <c r="N19" s="1">
        <f ca="1">Table3[[#This Row],[OB Tot Scale]]*N$185+N$186</f>
        <v>33.117958899653274</v>
      </c>
      <c r="O19" s="1">
        <f ca="1">Table3[[#This Row],[Weighted Scale]]*O$185+O$186</f>
        <v>34.944205600714511</v>
      </c>
      <c r="P19" s="1">
        <f ca="1">Table3[[#This Row],[OB Weighted Scale]]*P$185+P$186</f>
        <v>33.896631034505972</v>
      </c>
      <c r="Q19" s="1">
        <f ca="1">Table3[[#This Row],[Z-score]]*Q$185+Q$186</f>
        <v>37.538010714788655</v>
      </c>
      <c r="R19" s="1">
        <f ca="1">Table3[[#This Row],[OBMod Z-Score]]*R$185+R$186</f>
        <v>37.475265274455538</v>
      </c>
      <c r="S19" s="1">
        <f ca="1">AVERAGE(Table3[[#This Row],[Tot Value]:[OB Z Value]])</f>
        <v>35.194467146976486</v>
      </c>
      <c r="T19" s="1">
        <f>IF(Table1[[#This Row],[Included?]], (Table1[[#This Row],[I R]]-Data!S$188)/(Data!S$187-Data!S$188), "")</f>
        <v>0.40825852782764832</v>
      </c>
      <c r="U19" s="1">
        <f>IF(Table1[[#This Row],[Included?]], (Table1[[#This Row],[I HR]]-Data!T$188)/(Data!T$187-Data!T$188), "")</f>
        <v>0.48468345813478553</v>
      </c>
      <c r="V19" s="1">
        <f>IF(Table1[[#This Row],[Included?]], (Table1[[#This Row],[I RBI]]-Data!U$188)/(Data!U$187-Data!U$188), "")</f>
        <v>0.71789321789321769</v>
      </c>
      <c r="W19" s="1">
        <f>IF(Table1[[#This Row],[Included?]], (Table1[[#This Row],[I SB]]-Data!V$188)/(Data!V$187-Data!V$188), "")</f>
        <v>0.36731493099121698</v>
      </c>
      <c r="X19" s="1">
        <f>IF(Table1[[#This Row],[Included?]], (Table1[[#This Row],[I OBP]]-Data!W$188)/(Data!W$187-Data!W$188), "")</f>
        <v>0.47787755155718298</v>
      </c>
      <c r="Y19" s="1">
        <f>IF(Table1[[#This Row],[Included?]], (Table1[[#This Row],[I OB]]-Data!AA$188)/(Data!AA$187-Data!AA$188), "")</f>
        <v>0.38389651502744421</v>
      </c>
      <c r="Z19" s="1">
        <f>IF(Table1[[#This Row],[Included?]], SUM(Table35[[#This Row],[I R Scale]:[I OBP Scale]]), "")</f>
        <v>2.4560276864040516</v>
      </c>
      <c r="AA19" s="1">
        <f>IF(Table1[[#This Row],[Included?]], SUM(Table35[[#This Row],[I R Scale]:[I SB Scale]],Table35[[#This Row],[I OB Scale]]), "")</f>
        <v>2.3620466498743129</v>
      </c>
      <c r="AB1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2.6543559875113667</v>
      </c>
      <c r="AC1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2.54157874367568</v>
      </c>
      <c r="AD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2.3443716755265966</v>
      </c>
      <c r="AE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2.3429294988772962</v>
      </c>
      <c r="AF19" s="1">
        <f ca="1">IF(Table1[[#This Row],[Included?]], Table35[[#This Row],[I Tot Scale]]*AF$185+AF$186, "")</f>
        <v>30.402596488973803</v>
      </c>
      <c r="AG19" s="1">
        <f ca="1">IF(Table1[[#This Row],[Included?]], Table35[[#This Row],[I OB Tot Scale]]*AG$185+AG$186, "")</f>
        <v>27.959302038211767</v>
      </c>
      <c r="AH19" s="1">
        <f ca="1">IF(Table1[[#This Row],[Included?]], Table35[[#This Row],[I Weighted Scale]]*AH$185+AH$186, "")</f>
        <v>30.972342503421856</v>
      </c>
      <c r="AI19" s="1">
        <f ca="1">IF(Table1[[#This Row],[Included?]], Table35[[#This Row],[I OB Weighted Scale]]*AI$185+AI$186, "")</f>
        <v>28.40892906846415</v>
      </c>
      <c r="AJ19" s="1">
        <f ca="1">IF(Table1[[#This Row],[Included?]], Table35[[#This Row],[I Z-score]]*AJ$185+AJ$186, "")</f>
        <v>30.643209349760447</v>
      </c>
      <c r="AK19" s="1">
        <f ca="1">IF(Table1[[#This Row],[Included?]], Table35[[#This Row],[I OBMod Z-Score]]*AK$185+AK$186, "")</f>
        <v>30.617993255569733</v>
      </c>
      <c r="AL19" s="1">
        <f ca="1">IF(Table1[[#This Row],[Included?]], AVERAGE(Table35[[#This Row],[I Tot Value]:[I OB Z Value]]), "")</f>
        <v>29.834062117400293</v>
      </c>
    </row>
    <row r="20" spans="1:38" hidden="1" x14ac:dyDescent="0.25">
      <c r="A20" s="1">
        <f>(Table1[[#This Row],[R]]-Data!H$188)/(Data!H$187-Data!H$188)</f>
        <v>0.5289772727272728</v>
      </c>
      <c r="B20" s="1">
        <f>(Table1[[#This Row],[HR]]-Data!I$188)/(Data!I$187-Data!I$188)</f>
        <v>0.97004765146358052</v>
      </c>
      <c r="C20" s="1">
        <f>(Table1[[#This Row],[RBI]]-Data!J$188)/(Data!J$187-Data!J$188)</f>
        <v>0.72284322155345371</v>
      </c>
      <c r="D20" s="1">
        <f>(Table1[[#This Row],[SB]]-Data!K$188)/(Data!K$187-Data!K$188)</f>
        <v>5.3011292346298616E-2</v>
      </c>
      <c r="E20" s="1">
        <f>(Table1[[#This Row],[OBP]]-Data!L$188)/(Data!L$187-Data!L$188)</f>
        <v>0.55429496983063276</v>
      </c>
      <c r="F20" s="1">
        <f>(Table1[[#This Row],[OB]]-Data!P$188)/(Data!P$187-Data!P$188)</f>
        <v>0.57535762622866526</v>
      </c>
      <c r="G20" s="1">
        <f>SUM(Table3[[#This Row],[R Scale]:[OBP Scale]])</f>
        <v>2.8291744079212382</v>
      </c>
      <c r="H20" s="1">
        <f>SUM(Table3[[#This Row],[R Scale]:[SB Scale]],Table3[[#This Row],[OB Scale]])</f>
        <v>2.8502370643192707</v>
      </c>
      <c r="I20" s="1">
        <f>Table3[[#This Row],[R Scale]]*Data!B$192+Table3[[#This Row],[HR Scale]]*Data!C$192+Table3[[#This Row],[RBI Scale]]*Data!D$192+Table3[[#This Row],[SB Scale]]*Data!E$192+Table3[[#This Row],[OBP Scale]]*Data!F$192</f>
        <v>3.0317043189253283</v>
      </c>
      <c r="J20" s="1">
        <f>Table3[[#This Row],[R Scale]]*Data!B$192+Table3[[#This Row],[HR Scale]]*Data!C$192+Table3[[#This Row],[RBI Scale]]*Data!D$192+Table3[[#This Row],[SB Scale]]*Data!E$192+Table3[[#This Row],[OB Scale]]*Data!F$192</f>
        <v>3.0569795066029672</v>
      </c>
      <c r="K2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4.5585036079710974</v>
      </c>
      <c r="L2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4.5463817900546832</v>
      </c>
      <c r="M20" s="1">
        <f ca="1">Table3[[#This Row],[Tot Scale]]*M$185+M$186</f>
        <v>38.025985879593293</v>
      </c>
      <c r="N20" s="1">
        <f ca="1">Table3[[#This Row],[OB Tot Scale]]*N$185+N$186</f>
        <v>36.427225944884071</v>
      </c>
      <c r="O20" s="1">
        <f ca="1">Table3[[#This Row],[Weighted Scale]]*O$185+O$186</f>
        <v>38.078430131289821</v>
      </c>
      <c r="P20" s="1">
        <f ca="1">Table3[[#This Row],[OB Weighted Scale]]*P$185+P$186</f>
        <v>36.475391845961965</v>
      </c>
      <c r="Q20" s="1">
        <f ca="1">Table3[[#This Row],[Z-score]]*Q$185+Q$186</f>
        <v>34.901025893009887</v>
      </c>
      <c r="R20" s="1">
        <f ca="1">Table3[[#This Row],[OBMod Z-Score]]*R$185+R$186</f>
        <v>34.751878787485062</v>
      </c>
      <c r="S20" s="1">
        <f ca="1">AVERAGE(Table3[[#This Row],[Tot Value]:[OB Z Value]])</f>
        <v>36.443323080370682</v>
      </c>
      <c r="T20" s="1">
        <f>IF(Table1[[#This Row],[Included?]], (Table1[[#This Row],[I R]]-Data!S$188)/(Data!S$187-Data!S$188), "")</f>
        <v>0.40466786355475776</v>
      </c>
      <c r="U20" s="1">
        <f>IF(Table1[[#This Row],[Included?]], (Table1[[#This Row],[I HR]]-Data!T$188)/(Data!T$187-Data!T$188), "")</f>
        <v>0.97004765146358052</v>
      </c>
      <c r="V20" s="1">
        <f>IF(Table1[[#This Row],[Included?]], (Table1[[#This Row],[I RBI]]-Data!U$188)/(Data!U$187-Data!U$188), "")</f>
        <v>0.65115440115440126</v>
      </c>
      <c r="W20" s="1">
        <f>IF(Table1[[#This Row],[Included?]], (Table1[[#This Row],[I SB]]-Data!V$188)/(Data!V$187-Data!V$188), "")</f>
        <v>5.3011292346298616E-2</v>
      </c>
      <c r="X20" s="1">
        <f>IF(Table1[[#This Row],[Included?]], (Table1[[#This Row],[I OBP]]-Data!W$188)/(Data!W$187-Data!W$188), "")</f>
        <v>0.46410169196599538</v>
      </c>
      <c r="Y20" s="1">
        <f>IF(Table1[[#This Row],[Included?]], (Table1[[#This Row],[I OB]]-Data!AA$188)/(Data!AA$187-Data!AA$188), "")</f>
        <v>0.34625298262590054</v>
      </c>
      <c r="Z20" s="1">
        <f>IF(Table1[[#This Row],[Included?]], SUM(Table35[[#This Row],[I R Scale]:[I OBP Scale]]), "")</f>
        <v>2.5429829004850335</v>
      </c>
      <c r="AA20" s="1">
        <f>IF(Table1[[#This Row],[Included?]], SUM(Table35[[#This Row],[I R Scale]:[I SB Scale]],Table35[[#This Row],[I OB Scale]]), "")</f>
        <v>2.4251341911449384</v>
      </c>
      <c r="AB2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2.7255673327536369</v>
      </c>
      <c r="AC2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2.5841488815455231</v>
      </c>
      <c r="AD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2.3569782103593826</v>
      </c>
      <c r="AE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2.3563276246663225</v>
      </c>
      <c r="AF20" s="1">
        <f ca="1">IF(Table1[[#This Row],[Included?]], Table35[[#This Row],[I Tot Scale]]*AF$185+AF$186, "")</f>
        <v>32.244197034808394</v>
      </c>
      <c r="AG20" s="1">
        <f ca="1">IF(Table1[[#This Row],[Included?]], Table35[[#This Row],[I OB Tot Scale]]*AG$185+AG$186, "")</f>
        <v>28.95135645909798</v>
      </c>
      <c r="AH20" s="1">
        <f ca="1">IF(Table1[[#This Row],[Included?]], Table35[[#This Row],[I Weighted Scale]]*AH$185+AH$186, "")</f>
        <v>32.377120121918999</v>
      </c>
      <c r="AI20" s="1">
        <f ca="1">IF(Table1[[#This Row],[Included?]], Table35[[#This Row],[I OB Weighted Scale]]*AI$185+AI$186, "")</f>
        <v>29.03237292640139</v>
      </c>
      <c r="AJ20" s="1">
        <f ca="1">IF(Table1[[#This Row],[Included?]], Table35[[#This Row],[I Z-score]]*AJ$185+AJ$186, "")</f>
        <v>30.700441737781965</v>
      </c>
      <c r="AK20" s="1">
        <f ca="1">IF(Table1[[#This Row],[Included?]], Table35[[#This Row],[I OBMod Z-Score]]*AK$185+AK$186, "")</f>
        <v>30.678712628189921</v>
      </c>
      <c r="AL20" s="1">
        <f ca="1">IF(Table1[[#This Row],[Included?]], AVERAGE(Table35[[#This Row],[I Tot Value]:[I OB Z Value]]), "")</f>
        <v>30.664033484699775</v>
      </c>
    </row>
    <row r="21" spans="1:38" hidden="1" x14ac:dyDescent="0.25">
      <c r="A21" s="1">
        <f>(Table1[[#This Row],[R]]-Data!H$188)/(Data!H$187-Data!H$188)</f>
        <v>0.66278409090909107</v>
      </c>
      <c r="B21" s="1">
        <f>(Table1[[#This Row],[HR]]-Data!I$188)/(Data!I$187-Data!I$188)</f>
        <v>0.10074880871341049</v>
      </c>
      <c r="C21" s="1">
        <f>(Table1[[#This Row],[RBI]]-Data!J$188)/(Data!J$187-Data!J$188)</f>
        <v>0.37259959873889359</v>
      </c>
      <c r="D21" s="1">
        <f>(Table1[[#This Row],[SB]]-Data!K$188)/(Data!K$187-Data!K$188)</f>
        <v>0.67001254705144286</v>
      </c>
      <c r="E21" s="1">
        <f>(Table1[[#This Row],[OBP]]-Data!L$188)/(Data!L$187-Data!L$188)</f>
        <v>0.56680137489420357</v>
      </c>
      <c r="F21" s="1">
        <f>(Table1[[#This Row],[OB]]-Data!P$188)/(Data!P$187-Data!P$188)</f>
        <v>0.68136627448593967</v>
      </c>
      <c r="G21" s="1">
        <f>SUM(Table3[[#This Row],[R Scale]:[OBP Scale]])</f>
        <v>2.3729464203070414</v>
      </c>
      <c r="H21" s="1">
        <f>SUM(Table3[[#This Row],[R Scale]:[SB Scale]],Table3[[#This Row],[OB Scale]])</f>
        <v>2.4875113198987777</v>
      </c>
      <c r="I21" s="1">
        <f>Table3[[#This Row],[R Scale]]*Data!B$192+Table3[[#This Row],[HR Scale]]*Data!C$192+Table3[[#This Row],[RBI Scale]]*Data!D$192+Table3[[#This Row],[SB Scale]]*Data!E$192+Table3[[#This Row],[OBP Scale]]*Data!F$192</f>
        <v>2.4945482059427517</v>
      </c>
      <c r="J21" s="1">
        <f>Table3[[#This Row],[R Scale]]*Data!B$192+Table3[[#This Row],[HR Scale]]*Data!C$192+Table3[[#This Row],[RBI Scale]]*Data!D$192+Table3[[#This Row],[SB Scale]]*Data!E$192+Table3[[#This Row],[OB Scale]]*Data!F$192</f>
        <v>2.6320260854528352</v>
      </c>
      <c r="K2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4.0128220312604368</v>
      </c>
      <c r="L2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4.0705821188159899</v>
      </c>
      <c r="M21" s="1">
        <f ca="1">Table3[[#This Row],[Tot Scale]]*M$185+M$186</f>
        <v>21.176645598070024</v>
      </c>
      <c r="N21" s="1">
        <f ca="1">Table3[[#This Row],[OB Tot Scale]]*N$185+N$186</f>
        <v>23.199348639081308</v>
      </c>
      <c r="O21" s="1">
        <f ca="1">Table3[[#This Row],[Weighted Scale]]*O$185+O$186</f>
        <v>19.603342361937905</v>
      </c>
      <c r="P21" s="1">
        <f ca="1">Table3[[#This Row],[OB Weighted Scale]]*P$185+P$186</f>
        <v>21.967215572174553</v>
      </c>
      <c r="Q21" s="1">
        <f ca="1">Table3[[#This Row],[Z-score]]*Q$185+Q$186</f>
        <v>30.891487556636442</v>
      </c>
      <c r="R21" s="1">
        <f ca="1">Table3[[#This Row],[OBMod Z-Score]]*R$185+R$186</f>
        <v>31.287813937670311</v>
      </c>
      <c r="S21" s="1">
        <f ca="1">AVERAGE(Table3[[#This Row],[Tot Value]:[OB Z Value]])</f>
        <v>24.687642277595089</v>
      </c>
      <c r="T21" s="1">
        <f>IF(Table1[[#This Row],[Included?]], (Table1[[#This Row],[I R]]-Data!S$188)/(Data!S$187-Data!S$188), "")</f>
        <v>0.57378815080789969</v>
      </c>
      <c r="U21" s="1">
        <f>IF(Table1[[#This Row],[Included?]], (Table1[[#This Row],[I HR]]-Data!T$188)/(Data!T$187-Data!T$188), "")</f>
        <v>0.10074880871341049</v>
      </c>
      <c r="V21" s="1">
        <f>IF(Table1[[#This Row],[Included?]], (Table1[[#This Row],[I RBI]]-Data!U$188)/(Data!U$187-Data!U$188), "")</f>
        <v>0.21031746031746029</v>
      </c>
      <c r="W21" s="1">
        <f>IF(Table1[[#This Row],[Included?]], (Table1[[#This Row],[I SB]]-Data!V$188)/(Data!V$187-Data!V$188), "")</f>
        <v>0.67001254705144286</v>
      </c>
      <c r="X21" s="1">
        <f>IF(Table1[[#This Row],[Included?]], (Table1[[#This Row],[I OBP]]-Data!W$188)/(Data!W$187-Data!W$188), "")</f>
        <v>0.47913890460550429</v>
      </c>
      <c r="Y21" s="1">
        <f>IF(Table1[[#This Row],[Included?]], (Table1[[#This Row],[I OB]]-Data!AA$188)/(Data!AA$187-Data!AA$188), "")</f>
        <v>0.50945581374838289</v>
      </c>
      <c r="Z21" s="1">
        <f>IF(Table1[[#This Row],[Included?]], SUM(Table35[[#This Row],[I R Scale]:[I OBP Scale]]), "")</f>
        <v>2.0340058714957174</v>
      </c>
      <c r="AA21" s="1">
        <f>IF(Table1[[#This Row],[Included?]], SUM(Table35[[#This Row],[I R Scale]:[I SB Scale]],Table35[[#This Row],[I OB Scale]]), "")</f>
        <v>2.0643227806385962</v>
      </c>
      <c r="AB2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2.1145183293995204</v>
      </c>
      <c r="AC2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2.1508986203709748</v>
      </c>
      <c r="AD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1.1105220657445125</v>
      </c>
      <c r="AE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1.1172842123174993</v>
      </c>
      <c r="AF21" s="1">
        <f ca="1">IF(Table1[[#This Row],[Included?]], Table35[[#This Row],[I Tot Scale]]*AF$185+AF$186, "")</f>
        <v>21.464712626535277</v>
      </c>
      <c r="AG21" s="1">
        <f ca="1">IF(Table1[[#This Row],[Included?]], Table35[[#This Row],[I OB Tot Scale]]*AG$185+AG$186, "")</f>
        <v>23.277580818301672</v>
      </c>
      <c r="AH21" s="1">
        <f ca="1">IF(Table1[[#This Row],[Included?]], Table35[[#This Row],[I Weighted Scale]]*AH$185+AH$186, "")</f>
        <v>20.323030133919147</v>
      </c>
      <c r="AI21" s="1">
        <f ca="1">IF(Table1[[#This Row],[Included?]], Table35[[#This Row],[I OB Weighted Scale]]*AI$185+AI$186, "")</f>
        <v>22.687380220368325</v>
      </c>
      <c r="AJ21" s="1">
        <f ca="1">IF(Table1[[#This Row],[Included?]], Table35[[#This Row],[I Z-score]]*AJ$185+AJ$186, "")</f>
        <v>25.041657411507632</v>
      </c>
      <c r="AK21" s="1">
        <f ca="1">IF(Table1[[#This Row],[Included?]], Table35[[#This Row],[I OBMod Z-Score]]*AK$185+AK$186, "")</f>
        <v>25.063454208343344</v>
      </c>
      <c r="AL21" s="1">
        <f ca="1">IF(Table1[[#This Row],[Included?]], AVERAGE(Table35[[#This Row],[I Tot Value]:[I OB Z Value]]), "")</f>
        <v>22.976302569829233</v>
      </c>
    </row>
    <row r="22" spans="1:38" hidden="1" x14ac:dyDescent="0.25">
      <c r="A22" s="1">
        <f>(Table1[[#This Row],[R]]-Data!H$188)/(Data!H$187-Data!H$188)</f>
        <v>0.66278409090909107</v>
      </c>
      <c r="B22" s="1">
        <f>(Table1[[#This Row],[HR]]-Data!I$188)/(Data!I$187-Data!I$188)</f>
        <v>0.6358066712049012</v>
      </c>
      <c r="C22" s="1">
        <f>(Table1[[#This Row],[RBI]]-Data!J$188)/(Data!J$187-Data!J$188)</f>
        <v>0.71051877328747504</v>
      </c>
      <c r="D22" s="1">
        <f>(Table1[[#This Row],[SB]]-Data!K$188)/(Data!K$187-Data!K$188)</f>
        <v>7.5282308657465486E-3</v>
      </c>
      <c r="E22" s="1">
        <f>(Table1[[#This Row],[OBP]]-Data!L$188)/(Data!L$187-Data!L$188)</f>
        <v>0.66235149928884463</v>
      </c>
      <c r="F22" s="1">
        <f>(Table1[[#This Row],[OB]]-Data!P$188)/(Data!P$187-Data!P$188)</f>
        <v>0.62210032907838919</v>
      </c>
      <c r="G22" s="1">
        <f>SUM(Table3[[#This Row],[R Scale]:[OBP Scale]])</f>
        <v>2.6789892655560585</v>
      </c>
      <c r="H22" s="1">
        <f>SUM(Table3[[#This Row],[R Scale]:[SB Scale]],Table3[[#This Row],[OB Scale]])</f>
        <v>2.638738095345603</v>
      </c>
      <c r="I22" s="1">
        <f>Table3[[#This Row],[R Scale]]*Data!B$192+Table3[[#This Row],[HR Scale]]*Data!C$192+Table3[[#This Row],[RBI Scale]]*Data!D$192+Table3[[#This Row],[SB Scale]]*Data!E$192+Table3[[#This Row],[OBP Scale]]*Data!F$192</f>
        <v>2.8872849109804135</v>
      </c>
      <c r="J22" s="1">
        <f>Table3[[#This Row],[R Scale]]*Data!B$192+Table3[[#This Row],[HR Scale]]*Data!C$192+Table3[[#This Row],[RBI Scale]]*Data!D$192+Table3[[#This Row],[SB Scale]]*Data!E$192+Table3[[#This Row],[OB Scale]]*Data!F$192</f>
        <v>2.838983506727867</v>
      </c>
      <c r="K2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3.9692248806602097</v>
      </c>
      <c r="L2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3.9761295933343779</v>
      </c>
      <c r="M22" s="1">
        <f ca="1">Table3[[#This Row],[Tot Scale]]*M$185+M$186</f>
        <v>32.479371823377548</v>
      </c>
      <c r="N22" s="1">
        <f ca="1">Table3[[#This Row],[OB Tot Scale]]*N$185+N$186</f>
        <v>28.714284542400591</v>
      </c>
      <c r="O22" s="1">
        <f ca="1">Table3[[#This Row],[Weighted Scale]]*O$185+O$186</f>
        <v>33.111231261365219</v>
      </c>
      <c r="P22" s="1">
        <f ca="1">Table3[[#This Row],[OB Weighted Scale]]*P$185+P$186</f>
        <v>29.032871711382015</v>
      </c>
      <c r="Q22" s="1">
        <f ca="1">Table3[[#This Row],[Z-score]]*Q$185+Q$186</f>
        <v>30.571146071512519</v>
      </c>
      <c r="R22" s="1">
        <f ca="1">Table3[[#This Row],[OBMod Z-Score]]*R$185+R$186</f>
        <v>30.600151265173544</v>
      </c>
      <c r="S22" s="1">
        <f ca="1">AVERAGE(Table3[[#This Row],[Tot Value]:[OB Z Value]])</f>
        <v>30.751509445868574</v>
      </c>
      <c r="T22" s="1">
        <f>IF(Table1[[#This Row],[Included?]], (Table1[[#This Row],[I R]]-Data!S$188)/(Data!S$187-Data!S$188), "")</f>
        <v>0.57378815080789969</v>
      </c>
      <c r="U22" s="1">
        <f>IF(Table1[[#This Row],[Included?]], (Table1[[#This Row],[I HR]]-Data!T$188)/(Data!T$187-Data!T$188), "")</f>
        <v>0.6358066712049012</v>
      </c>
      <c r="V22" s="1">
        <f>IF(Table1[[#This Row],[Included?]], (Table1[[#This Row],[I RBI]]-Data!U$188)/(Data!U$187-Data!U$188), "")</f>
        <v>0.63564213564213579</v>
      </c>
      <c r="W22" s="1">
        <f>IF(Table1[[#This Row],[Included?]], (Table1[[#This Row],[I SB]]-Data!V$188)/(Data!V$187-Data!V$188), "")</f>
        <v>7.5282308657465486E-3</v>
      </c>
      <c r="X22" s="1">
        <f>IF(Table1[[#This Row],[Included?]], (Table1[[#This Row],[I OBP]]-Data!W$188)/(Data!W$187-Data!W$188), "")</f>
        <v>0.59402463963090646</v>
      </c>
      <c r="Y22" s="1">
        <f>IF(Table1[[#This Row],[Included?]], (Table1[[#This Row],[I OB]]-Data!AA$188)/(Data!AA$187-Data!AA$188), "")</f>
        <v>0.41821448354871216</v>
      </c>
      <c r="Z22" s="1">
        <f>IF(Table1[[#This Row],[Included?]], SUM(Table35[[#This Row],[I R Scale]:[I OBP Scale]]), "")</f>
        <v>2.4467898281515899</v>
      </c>
      <c r="AA22" s="1">
        <f>IF(Table1[[#This Row],[Included?]], SUM(Table35[[#This Row],[I R Scale]:[I SB Scale]],Table35[[#This Row],[I OB Scale]]), "")</f>
        <v>2.2709796720693953</v>
      </c>
      <c r="AB2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2.6353443681254083</v>
      </c>
      <c r="AC2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2.4243721808267749</v>
      </c>
      <c r="AD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2.1017575662188679</v>
      </c>
      <c r="AE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2.0753768063362372</v>
      </c>
      <c r="AF22" s="1">
        <f ca="1">IF(Table1[[#This Row],[Included?]], Table35[[#This Row],[I Tot Scale]]*AF$185+AF$186, "")</f>
        <v>30.206950431634073</v>
      </c>
      <c r="AG22" s="1">
        <f ca="1">IF(Table1[[#This Row],[Included?]], Table35[[#This Row],[I OB Tot Scale]]*AG$185+AG$186, "")</f>
        <v>26.527269720759882</v>
      </c>
      <c r="AH22" s="1">
        <f ca="1">IF(Table1[[#This Row],[Included?]], Table35[[#This Row],[I Weighted Scale]]*AH$185+AH$186, "")</f>
        <v>30.597302580865694</v>
      </c>
      <c r="AI22" s="1">
        <f ca="1">IF(Table1[[#This Row],[Included?]], Table35[[#This Row],[I OB Weighted Scale]]*AI$185+AI$186, "")</f>
        <v>26.692427422603867</v>
      </c>
      <c r="AJ22" s="1">
        <f ca="1">IF(Table1[[#This Row],[Included?]], Table35[[#This Row],[I Z-score]]*AJ$185+AJ$186, "")</f>
        <v>29.541765929536638</v>
      </c>
      <c r="AK22" s="1">
        <f ca="1">IF(Table1[[#This Row],[Included?]], Table35[[#This Row],[I OBMod Z-Score]]*AK$185+AK$186, "")</f>
        <v>29.405463093534664</v>
      </c>
      <c r="AL22" s="1">
        <f ca="1">IF(Table1[[#This Row],[Included?]], AVERAGE(Table35[[#This Row],[I Tot Value]:[I OB Z Value]]), "")</f>
        <v>28.828529863155797</v>
      </c>
    </row>
    <row r="23" spans="1:38" hidden="1" x14ac:dyDescent="0.25">
      <c r="A23" s="1">
        <f>(Table1[[#This Row],[R]]-Data!H$188)/(Data!H$187-Data!H$188)</f>
        <v>0.79147727272727286</v>
      </c>
      <c r="B23" s="1">
        <f>(Table1[[#This Row],[HR]]-Data!I$188)/(Data!I$187-Data!I$188)</f>
        <v>0.50714771953710003</v>
      </c>
      <c r="C23" s="1">
        <f>(Table1[[#This Row],[RBI]]-Data!J$188)/(Data!J$187-Data!J$188)</f>
        <v>0.79048437947836059</v>
      </c>
      <c r="D23" s="1">
        <f>(Table1[[#This Row],[SB]]-Data!K$188)/(Data!K$187-Data!K$188)</f>
        <v>6.2421580928481796E-2</v>
      </c>
      <c r="E23" s="1">
        <f>(Table1[[#This Row],[OBP]]-Data!L$188)/(Data!L$187-Data!L$188)</f>
        <v>0.36467247255639657</v>
      </c>
      <c r="F23" s="1">
        <f>(Table1[[#This Row],[OB]]-Data!P$188)/(Data!P$187-Data!P$188)</f>
        <v>0.53463615364152273</v>
      </c>
      <c r="G23" s="1">
        <f>SUM(Table3[[#This Row],[R Scale]:[OBP Scale]])</f>
        <v>2.5162034252276122</v>
      </c>
      <c r="H23" s="1">
        <f>SUM(Table3[[#This Row],[R Scale]:[SB Scale]],Table3[[#This Row],[OB Scale]])</f>
        <v>2.6861671063127384</v>
      </c>
      <c r="I23" s="1">
        <f>Table3[[#This Row],[R Scale]]*Data!B$192+Table3[[#This Row],[HR Scale]]*Data!C$192+Table3[[#This Row],[RBI Scale]]*Data!D$192+Table3[[#This Row],[SB Scale]]*Data!E$192+Table3[[#This Row],[OBP Scale]]*Data!F$192</f>
        <v>2.6680870683618361</v>
      </c>
      <c r="J23" s="1">
        <f>Table3[[#This Row],[R Scale]]*Data!B$192+Table3[[#This Row],[HR Scale]]*Data!C$192+Table3[[#This Row],[RBI Scale]]*Data!D$192+Table3[[#This Row],[SB Scale]]*Data!E$192+Table3[[#This Row],[OB Scale]]*Data!F$192</f>
        <v>2.8720434856639874</v>
      </c>
      <c r="K2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3.1619319061584155</v>
      </c>
      <c r="L2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3.0960962497823381</v>
      </c>
      <c r="M23" s="1">
        <f ca="1">Table3[[#This Row],[Tot Scale]]*M$185+M$186</f>
        <v>26.467390771861815</v>
      </c>
      <c r="N23" s="1">
        <f ca="1">Table3[[#This Row],[OB Tot Scale]]*N$185+N$186</f>
        <v>30.443925042032561</v>
      </c>
      <c r="O23" s="1">
        <f ca="1">Table3[[#This Row],[Weighted Scale]]*O$185+O$186</f>
        <v>25.572083361242264</v>
      </c>
      <c r="P23" s="1">
        <f ca="1">Table3[[#This Row],[OB Weighted Scale]]*P$185+P$186</f>
        <v>30.161560123196168</v>
      </c>
      <c r="Q23" s="1">
        <f ca="1">Table3[[#This Row],[Z-score]]*Q$185+Q$186</f>
        <v>24.639349455871599</v>
      </c>
      <c r="R23" s="1">
        <f ca="1">Table3[[#This Row],[OBMod Z-Score]]*R$185+R$186</f>
        <v>24.193058624425923</v>
      </c>
      <c r="S23" s="1">
        <f ca="1">AVERAGE(Table3[[#This Row],[Tot Value]:[OB Z Value]])</f>
        <v>26.912894563105056</v>
      </c>
      <c r="T23" s="1">
        <f>IF(Table1[[#This Row],[Included?]], (Table1[[#This Row],[I R]]-Data!S$188)/(Data!S$187-Data!S$188), "")</f>
        <v>0.73644524236983866</v>
      </c>
      <c r="U23" s="1">
        <f>IF(Table1[[#This Row],[Included?]], (Table1[[#This Row],[I HR]]-Data!T$188)/(Data!T$187-Data!T$188), "")</f>
        <v>0.50714771953710003</v>
      </c>
      <c r="V23" s="1">
        <f>IF(Table1[[#This Row],[Included?]], (Table1[[#This Row],[I RBI]]-Data!U$188)/(Data!U$187-Data!U$188), "")</f>
        <v>0.73629148629148633</v>
      </c>
      <c r="W23" s="1">
        <f>IF(Table1[[#This Row],[Included?]], (Table1[[#This Row],[I SB]]-Data!V$188)/(Data!V$187-Data!V$188), "")</f>
        <v>6.2421580928481796E-2</v>
      </c>
      <c r="X23" s="1">
        <f>IF(Table1[[#This Row],[Included?]], (Table1[[#This Row],[I OBP]]-Data!W$188)/(Data!W$187-Data!W$188), "")</f>
        <v>0.23610701257942665</v>
      </c>
      <c r="Y23" s="1">
        <f>IF(Table1[[#This Row],[Included?]], (Table1[[#This Row],[I OB]]-Data!AA$188)/(Data!AA$187-Data!AA$188), "")</f>
        <v>0.28356130866389273</v>
      </c>
      <c r="Z23" s="1">
        <f>IF(Table1[[#This Row],[Included?]], SUM(Table35[[#This Row],[I R Scale]:[I OBP Scale]]), "")</f>
        <v>2.2784130417063331</v>
      </c>
      <c r="AA23" s="1">
        <f>IF(Table1[[#This Row],[Included?]], SUM(Table35[[#This Row],[I R Scale]:[I SB Scale]],Table35[[#This Row],[I OB Scale]]), "")</f>
        <v>2.3258673377907995</v>
      </c>
      <c r="AB2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2.3992482172435321</v>
      </c>
      <c r="AC2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2.4561933725448917</v>
      </c>
      <c r="AD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1.0654860574471499</v>
      </c>
      <c r="AE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1.057132418301298</v>
      </c>
      <c r="AF23" s="1">
        <f ca="1">IF(Table1[[#This Row],[Included?]], Table35[[#This Row],[I Tot Scale]]*AF$185+AF$186, "")</f>
        <v>26.640944814826799</v>
      </c>
      <c r="AG23" s="1">
        <f ca="1">IF(Table1[[#This Row],[Included?]], Table35[[#This Row],[I OB Tot Scale]]*AG$185+AG$186, "")</f>
        <v>27.390380730229467</v>
      </c>
      <c r="AH23" s="1">
        <f ca="1">IF(Table1[[#This Row],[Included?]], Table35[[#This Row],[I Weighted Scale]]*AH$185+AH$186, "")</f>
        <v>25.939862288959596</v>
      </c>
      <c r="AI23" s="1">
        <f ca="1">IF(Table1[[#This Row],[Included?]], Table35[[#This Row],[I OB Weighted Scale]]*AI$185+AI$186, "")</f>
        <v>27.158451906469988</v>
      </c>
      <c r="AJ23" s="1">
        <f ca="1">IF(Table1[[#This Row],[Included?]], Table35[[#This Row],[I Z-score]]*AJ$185+AJ$186, "")</f>
        <v>24.83719850697889</v>
      </c>
      <c r="AK23" s="1">
        <f ca="1">IF(Table1[[#This Row],[Included?]], Table35[[#This Row],[I OBMod Z-Score]]*AK$185+AK$186, "")</f>
        <v>24.790850468674488</v>
      </c>
      <c r="AL23" s="1">
        <f ca="1">IF(Table1[[#This Row],[Included?]], AVERAGE(Table35[[#This Row],[I Tot Value]:[I OB Z Value]]), "")</f>
        <v>26.12628145268987</v>
      </c>
    </row>
    <row r="24" spans="1:38" hidden="1" x14ac:dyDescent="0.25">
      <c r="A24" s="1">
        <f>(Table1[[#This Row],[R]]-Data!H$188)/(Data!H$187-Data!H$188)</f>
        <v>0.72215909090909092</v>
      </c>
      <c r="B24" s="1">
        <f>(Table1[[#This Row],[HR]]-Data!I$188)/(Data!I$187-Data!I$188)</f>
        <v>0.40980258679373721</v>
      </c>
      <c r="C24" s="1">
        <f>(Table1[[#This Row],[RBI]]-Data!J$188)/(Data!J$187-Data!J$188)</f>
        <v>0.35654915448552599</v>
      </c>
      <c r="D24" s="1">
        <f>(Table1[[#This Row],[SB]]-Data!K$188)/(Data!K$187-Data!K$188)</f>
        <v>0.45357590966122951</v>
      </c>
      <c r="E24" s="1">
        <f>(Table1[[#This Row],[OBP]]-Data!L$188)/(Data!L$187-Data!L$188)</f>
        <v>0.50545991464949924</v>
      </c>
      <c r="F24" s="1">
        <f>(Table1[[#This Row],[OB]]-Data!P$188)/(Data!P$187-Data!P$188)</f>
        <v>0.5978350333969692</v>
      </c>
      <c r="G24" s="1">
        <f>SUM(Table3[[#This Row],[R Scale]:[OBP Scale]])</f>
        <v>2.4475466564990827</v>
      </c>
      <c r="H24" s="1">
        <f>SUM(Table3[[#This Row],[R Scale]:[SB Scale]],Table3[[#This Row],[OB Scale]])</f>
        <v>2.5399217752465528</v>
      </c>
      <c r="I24" s="1">
        <f>Table3[[#This Row],[R Scale]]*Data!B$192+Table3[[#This Row],[HR Scale]]*Data!C$192+Table3[[#This Row],[RBI Scale]]*Data!D$192+Table3[[#This Row],[SB Scale]]*Data!E$192+Table3[[#This Row],[OBP Scale]]*Data!F$192</f>
        <v>2.5477325612351791</v>
      </c>
      <c r="J24" s="1">
        <f>Table3[[#This Row],[R Scale]]*Data!B$192+Table3[[#This Row],[HR Scale]]*Data!C$192+Table3[[#This Row],[RBI Scale]]*Data!D$192+Table3[[#This Row],[SB Scale]]*Data!E$192+Table3[[#This Row],[OB Scale]]*Data!F$192</f>
        <v>2.6585827037321428</v>
      </c>
      <c r="K2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3.7685680752138997</v>
      </c>
      <c r="L2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3.76321356275895</v>
      </c>
      <c r="M24" s="1">
        <f ca="1">Table3[[#This Row],[Tot Scale]]*M$185+M$186</f>
        <v>23.931769787743036</v>
      </c>
      <c r="N24" s="1">
        <f ca="1">Table3[[#This Row],[OB Tot Scale]]*N$185+N$186</f>
        <v>25.110652381773292</v>
      </c>
      <c r="O24" s="1">
        <f ca="1">Table3[[#This Row],[Weighted Scale]]*O$185+O$186</f>
        <v>21.432578980931495</v>
      </c>
      <c r="P24" s="1">
        <f ca="1">Table3[[#This Row],[OB Weighted Scale]]*P$185+P$186</f>
        <v>22.873875173100004</v>
      </c>
      <c r="Q24" s="1">
        <f ca="1">Table3[[#This Row],[Z-score]]*Q$185+Q$186</f>
        <v>29.096767627693801</v>
      </c>
      <c r="R24" s="1">
        <f ca="1">Table3[[#This Row],[OBMod Z-Score]]*R$185+R$186</f>
        <v>29.050013713463436</v>
      </c>
      <c r="S24" s="1">
        <f ca="1">AVERAGE(Table3[[#This Row],[Tot Value]:[OB Z Value]])</f>
        <v>25.249276277450846</v>
      </c>
      <c r="T24" s="1">
        <f>IF(Table1[[#This Row],[Included?]], (Table1[[#This Row],[I R]]-Data!S$188)/(Data!S$187-Data!S$188), "")</f>
        <v>0.64883303411131066</v>
      </c>
      <c r="U24" s="1">
        <f>IF(Table1[[#This Row],[Included?]], (Table1[[#This Row],[I HR]]-Data!T$188)/(Data!T$187-Data!T$188), "")</f>
        <v>0.40980258679373721</v>
      </c>
      <c r="V24" s="1">
        <f>IF(Table1[[#This Row],[Included?]], (Table1[[#This Row],[I RBI]]-Data!U$188)/(Data!U$187-Data!U$188), "")</f>
        <v>0.19011544011544024</v>
      </c>
      <c r="W24" s="1">
        <f>IF(Table1[[#This Row],[Included?]], (Table1[[#This Row],[I SB]]-Data!V$188)/(Data!V$187-Data!V$188), "")</f>
        <v>0.45357590966122951</v>
      </c>
      <c r="X24" s="1">
        <f>IF(Table1[[#This Row],[Included?]], (Table1[[#This Row],[I OBP]]-Data!W$188)/(Data!W$187-Data!W$188), "")</f>
        <v>0.40538433031905158</v>
      </c>
      <c r="Y24" s="1">
        <f>IF(Table1[[#This Row],[Included?]], (Table1[[#This Row],[I OB]]-Data!AA$188)/(Data!AA$187-Data!AA$188), "")</f>
        <v>0.38085748467800778</v>
      </c>
      <c r="Z24" s="1">
        <f>IF(Table1[[#This Row],[Included?]], SUM(Table35[[#This Row],[I R Scale]:[I OBP Scale]]), "")</f>
        <v>2.1077113010007693</v>
      </c>
      <c r="AA24" s="1">
        <f>IF(Table1[[#This Row],[Included?]], SUM(Table35[[#This Row],[I R Scale]:[I SB Scale]],Table35[[#This Row],[I OB Scale]]), "")</f>
        <v>2.0831844553597256</v>
      </c>
      <c r="AB2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2.1619279516765366</v>
      </c>
      <c r="AC2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2.1324957369072841</v>
      </c>
      <c r="AD2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1.1383960021229327</v>
      </c>
      <c r="AE2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1.1371432370925463</v>
      </c>
      <c r="AF24" s="1">
        <f ca="1">IF(Table1[[#This Row],[Included?]], Table35[[#This Row],[I Tot Scale]]*AF$185+AF$186, "")</f>
        <v>23.025699631651097</v>
      </c>
      <c r="AG24" s="1">
        <f ca="1">IF(Table1[[#This Row],[Included?]], Table35[[#This Row],[I OB Tot Scale]]*AG$185+AG$186, "")</f>
        <v>23.574181500711312</v>
      </c>
      <c r="AH24" s="1">
        <f ca="1">IF(Table1[[#This Row],[Included?]], Table35[[#This Row],[I Weighted Scale]]*AH$185+AH$186, "")</f>
        <v>21.258274034305728</v>
      </c>
      <c r="AI24" s="1">
        <f ca="1">IF(Table1[[#This Row],[Included?]], Table35[[#This Row],[I OB Weighted Scale]]*AI$185+AI$186, "")</f>
        <v>22.417868181228318</v>
      </c>
      <c r="AJ24" s="1">
        <f ca="1">IF(Table1[[#This Row],[Included?]], Table35[[#This Row],[I Z-score]]*AJ$185+AJ$186, "")</f>
        <v>25.168202252231659</v>
      </c>
      <c r="AK24" s="1">
        <f ca="1">IF(Table1[[#This Row],[Included?]], Table35[[#This Row],[I OBMod Z-Score]]*AK$185+AK$186, "")</f>
        <v>25.153453925033361</v>
      </c>
      <c r="AL24" s="1">
        <f ca="1">IF(Table1[[#This Row],[Included?]], AVERAGE(Table35[[#This Row],[I Tot Value]:[I OB Z Value]]), "")</f>
        <v>23.432946587526914</v>
      </c>
    </row>
    <row r="25" spans="1:38" hidden="1" x14ac:dyDescent="0.25">
      <c r="A25" s="1">
        <f>(Table1[[#This Row],[R]]-Data!H$188)/(Data!H$187-Data!H$188)</f>
        <v>0.64801136363636358</v>
      </c>
      <c r="B25" s="1">
        <f>(Table1[[#This Row],[HR]]-Data!I$188)/(Data!I$187-Data!I$188)</f>
        <v>0.55207624234172903</v>
      </c>
      <c r="C25" s="1">
        <f>(Table1[[#This Row],[RBI]]-Data!J$188)/(Data!J$187-Data!J$188)</f>
        <v>0.53740326741186584</v>
      </c>
      <c r="D25" s="1">
        <f>(Table1[[#This Row],[SB]]-Data!K$188)/(Data!K$187-Data!K$188)</f>
        <v>4.7992471769134244E-2</v>
      </c>
      <c r="E25" s="1">
        <f>(Table1[[#This Row],[OBP]]-Data!L$188)/(Data!L$187-Data!L$188)</f>
        <v>0.40549123850902025</v>
      </c>
      <c r="F25" s="1">
        <f>(Table1[[#This Row],[OB]]-Data!P$188)/(Data!P$187-Data!P$188)</f>
        <v>0.67693345562193963</v>
      </c>
      <c r="G25" s="1">
        <f>SUM(Table3[[#This Row],[R Scale]:[OBP Scale]])</f>
        <v>2.1909745836681127</v>
      </c>
      <c r="H25" s="1">
        <f>SUM(Table3[[#This Row],[R Scale]:[SB Scale]],Table3[[#This Row],[OB Scale]])</f>
        <v>2.4624168007810323</v>
      </c>
      <c r="I25" s="1">
        <f>Table3[[#This Row],[R Scale]]*Data!B$192+Table3[[#This Row],[HR Scale]]*Data!C$192+Table3[[#This Row],[RBI Scale]]*Data!D$192+Table3[[#This Row],[SB Scale]]*Data!E$192+Table3[[#This Row],[OBP Scale]]*Data!F$192</f>
        <v>2.3147523484886539</v>
      </c>
      <c r="J25" s="1">
        <f>Table3[[#This Row],[R Scale]]*Data!B$192+Table3[[#This Row],[HR Scale]]*Data!C$192+Table3[[#This Row],[RBI Scale]]*Data!D$192+Table3[[#This Row],[SB Scale]]*Data!E$192+Table3[[#This Row],[OB Scale]]*Data!F$192</f>
        <v>2.6404830090241571</v>
      </c>
      <c r="K2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1.5134381949244458</v>
      </c>
      <c r="L2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1.4403626724870076</v>
      </c>
      <c r="M25" s="1">
        <f ca="1">Table3[[#This Row],[Tot Scale]]*M$185+M$186</f>
        <v>14.456090348452406</v>
      </c>
      <c r="N25" s="1">
        <f ca="1">Table3[[#This Row],[OB Tot Scale]]*N$185+N$186</f>
        <v>22.28420207161615</v>
      </c>
      <c r="O25" s="1">
        <f ca="1">Table3[[#This Row],[Weighted Scale]]*O$185+O$186</f>
        <v>13.419396639741322</v>
      </c>
      <c r="P25" s="1">
        <f ca="1">Table3[[#This Row],[OB Weighted Scale]]*P$185+P$186</f>
        <v>22.255940245986139</v>
      </c>
      <c r="Q25" s="1">
        <f ca="1">Table3[[#This Row],[Z-score]]*Q$185+Q$186</f>
        <v>12.526610058829736</v>
      </c>
      <c r="R25" s="1">
        <f ca="1">Table3[[#This Row],[OBMod Z-Score]]*R$185+R$186</f>
        <v>12.138471720582862</v>
      </c>
      <c r="S25" s="1">
        <f ca="1">AVERAGE(Table3[[#This Row],[Tot Value]:[OB Z Value]])</f>
        <v>16.180118514201435</v>
      </c>
      <c r="T25" s="1">
        <f>IF(Table1[[#This Row],[Included?]], (Table1[[#This Row],[I R]]-Data!S$188)/(Data!S$187-Data!S$188), "")</f>
        <v>0.55511669658886897</v>
      </c>
      <c r="U25" s="1">
        <f>IF(Table1[[#This Row],[Included?]], (Table1[[#This Row],[I HR]]-Data!T$188)/(Data!T$187-Data!T$188), "")</f>
        <v>0.55207624234172903</v>
      </c>
      <c r="V25" s="1">
        <f>IF(Table1[[#This Row],[Included?]], (Table1[[#This Row],[I RBI]]-Data!U$188)/(Data!U$187-Data!U$188), "")</f>
        <v>0.41774891774891776</v>
      </c>
      <c r="W25" s="1">
        <f>IF(Table1[[#This Row],[Included?]], (Table1[[#This Row],[I SB]]-Data!V$188)/(Data!V$187-Data!V$188), "")</f>
        <v>4.7992471769134244E-2</v>
      </c>
      <c r="X25" s="1">
        <f>IF(Table1[[#This Row],[Included?]], (Table1[[#This Row],[I OBP]]-Data!W$188)/(Data!W$187-Data!W$188), "")</f>
        <v>0.28518590137216637</v>
      </c>
      <c r="Y25" s="1">
        <f>IF(Table1[[#This Row],[Included?]], (Table1[[#This Row],[I OB]]-Data!AA$188)/(Data!AA$187-Data!AA$188), "")</f>
        <v>0.50263138385185036</v>
      </c>
      <c r="Z25" s="1">
        <f>IF(Table1[[#This Row],[Included?]], SUM(Table35[[#This Row],[I R Scale]:[I OBP Scale]]), "")</f>
        <v>1.8581202298208166</v>
      </c>
      <c r="AA25" s="1">
        <f>IF(Table1[[#This Row],[Included?]], SUM(Table35[[#This Row],[I R Scale]:[I SB Scale]],Table35[[#This Row],[I OB Scale]]), "")</f>
        <v>2.0755657123005005</v>
      </c>
      <c r="AB2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1.943195523986146</v>
      </c>
      <c r="AC2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2.2041301029617668</v>
      </c>
      <c r="AD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-0.73986216965164064</v>
      </c>
      <c r="AE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-0.86018653431471737</v>
      </c>
      <c r="AF25" s="1">
        <f ca="1">IF(Table1[[#This Row],[Included?]], Table35[[#This Row],[I Tot Scale]]*AF$185+AF$186, "")</f>
        <v>17.739679031525032</v>
      </c>
      <c r="AG25" s="1">
        <f ca="1">IF(Table1[[#This Row],[Included?]], Table35[[#This Row],[I OB Tot Scale]]*AG$185+AG$186, "")</f>
        <v>23.454376423809073</v>
      </c>
      <c r="AH25" s="1">
        <f ca="1">IF(Table1[[#This Row],[Included?]], Table35[[#This Row],[I Weighted Scale]]*AH$185+AH$186, "")</f>
        <v>16.943365815487049</v>
      </c>
      <c r="AI25" s="1">
        <f ca="1">IF(Table1[[#This Row],[Included?]], Table35[[#This Row],[I OB Weighted Scale]]*AI$185+AI$186, "")</f>
        <v>23.466960520803109</v>
      </c>
      <c r="AJ25" s="1">
        <f ca="1">IF(Table1[[#This Row],[Included?]], Table35[[#This Row],[I Z-score]]*AJ$185+AJ$186, "")</f>
        <v>16.641100878425462</v>
      </c>
      <c r="AK25" s="1">
        <f ca="1">IF(Table1[[#This Row],[Included?]], Table35[[#This Row],[I OBMod Z-Score]]*AK$185+AK$186, "")</f>
        <v>16.101694556211985</v>
      </c>
      <c r="AL25" s="1">
        <f ca="1">IF(Table1[[#This Row],[Included?]], AVERAGE(Table35[[#This Row],[I Tot Value]:[I OB Z Value]]), "")</f>
        <v>19.057862871043618</v>
      </c>
    </row>
    <row r="26" spans="1:38" hidden="1" x14ac:dyDescent="0.25">
      <c r="A26" s="1">
        <f>(Table1[[#This Row],[R]]-Data!H$188)/(Data!H$187-Data!H$188)</f>
        <v>0.51392045454545465</v>
      </c>
      <c r="B26" s="1">
        <f>(Table1[[#This Row],[HR]]-Data!I$188)/(Data!I$187-Data!I$188)</f>
        <v>0.76106194690265472</v>
      </c>
      <c r="C26" s="1">
        <f>(Table1[[#This Row],[RBI]]-Data!J$188)/(Data!J$187-Data!J$188)</f>
        <v>0.72026368586987677</v>
      </c>
      <c r="D26" s="1">
        <f>(Table1[[#This Row],[SB]]-Data!K$188)/(Data!K$187-Data!K$188)</f>
        <v>1.5370138017565869E-2</v>
      </c>
      <c r="E26" s="1">
        <f>(Table1[[#This Row],[OBP]]-Data!L$188)/(Data!L$187-Data!L$188)</f>
        <v>0.6253491021880826</v>
      </c>
      <c r="F26" s="1">
        <f>(Table1[[#This Row],[OB]]-Data!P$188)/(Data!P$187-Data!P$188)</f>
        <v>0.58532926545576558</v>
      </c>
      <c r="G26" s="1">
        <f>SUM(Table3[[#This Row],[R Scale]:[OBP Scale]])</f>
        <v>2.6359653275236345</v>
      </c>
      <c r="H26" s="1">
        <f>SUM(Table3[[#This Row],[R Scale]:[SB Scale]],Table3[[#This Row],[OB Scale]])</f>
        <v>2.5959454907913178</v>
      </c>
      <c r="I26" s="1">
        <f>Table3[[#This Row],[R Scale]]*Data!B$192+Table3[[#This Row],[HR Scale]]*Data!C$192+Table3[[#This Row],[RBI Scale]]*Data!D$192+Table3[[#This Row],[SB Scale]]*Data!E$192+Table3[[#This Row],[OBP Scale]]*Data!F$192</f>
        <v>2.8536958396806811</v>
      </c>
      <c r="J26" s="1">
        <f>Table3[[#This Row],[R Scale]]*Data!B$192+Table3[[#This Row],[HR Scale]]*Data!C$192+Table3[[#This Row],[RBI Scale]]*Data!D$192+Table3[[#This Row],[SB Scale]]*Data!E$192+Table3[[#This Row],[OB Scale]]*Data!F$192</f>
        <v>2.8056720356019005</v>
      </c>
      <c r="K2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3.6633240256542354</v>
      </c>
      <c r="L2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3.6435620100421602</v>
      </c>
      <c r="M26" s="1">
        <f ca="1">Table3[[#This Row],[Tot Scale]]*M$185+M$186</f>
        <v>30.89041851091109</v>
      </c>
      <c r="N26" s="1">
        <f ca="1">Table3[[#This Row],[OB Tot Scale]]*N$185+N$186</f>
        <v>27.153724446110274</v>
      </c>
      <c r="O26" s="1">
        <f ca="1">Table3[[#This Row],[Weighted Scale]]*O$185+O$186</f>
        <v>31.955959962472448</v>
      </c>
      <c r="P26" s="1">
        <f ca="1">Table3[[#This Row],[OB Weighted Scale]]*P$185+P$186</f>
        <v>27.895597198503197</v>
      </c>
      <c r="Q26" s="1">
        <f ca="1">Table3[[#This Row],[Z-score]]*Q$185+Q$186</f>
        <v>28.323459402907588</v>
      </c>
      <c r="R26" s="1">
        <f ca="1">Table3[[#This Row],[OBMod Z-Score]]*R$185+R$186</f>
        <v>28.178889240188933</v>
      </c>
      <c r="S26" s="1">
        <f ca="1">AVERAGE(Table3[[#This Row],[Tot Value]:[OB Z Value]])</f>
        <v>29.066341460182258</v>
      </c>
      <c r="T26" s="1">
        <f>IF(Table1[[#This Row],[Included?]], (Table1[[#This Row],[I R]]-Data!S$188)/(Data!S$187-Data!S$188), "")</f>
        <v>0.38563734290843821</v>
      </c>
      <c r="U26" s="1">
        <f>IF(Table1[[#This Row],[Included?]], (Table1[[#This Row],[I HR]]-Data!T$188)/(Data!T$187-Data!T$188), "")</f>
        <v>0.76106194690265472</v>
      </c>
      <c r="V26" s="1">
        <f>IF(Table1[[#This Row],[Included?]], (Table1[[#This Row],[I RBI]]-Data!U$188)/(Data!U$187-Data!U$188), "")</f>
        <v>0.64790764790764799</v>
      </c>
      <c r="W26" s="1">
        <f>IF(Table1[[#This Row],[Included?]], (Table1[[#This Row],[I SB]]-Data!V$188)/(Data!V$187-Data!V$188), "")</f>
        <v>1.5370138017565869E-2</v>
      </c>
      <c r="X26" s="1">
        <f>IF(Table1[[#This Row],[Included?]], (Table1[[#This Row],[I OBP]]-Data!W$188)/(Data!W$187-Data!W$188), "")</f>
        <v>0.5495344035840628</v>
      </c>
      <c r="Y26" s="1">
        <f>IF(Table1[[#This Row],[Included?]], (Table1[[#This Row],[I OB]]-Data!AA$188)/(Data!AA$187-Data!AA$188), "")</f>
        <v>0.36160455798836716</v>
      </c>
      <c r="Z26" s="1">
        <f>IF(Table1[[#This Row],[Included?]], SUM(Table35[[#This Row],[I R Scale]:[I OBP Scale]]), "")</f>
        <v>2.3595114793203695</v>
      </c>
      <c r="AA26" s="1">
        <f>IF(Table1[[#This Row],[Included?]], SUM(Table35[[#This Row],[I R Scale]:[I SB Scale]],Table35[[#This Row],[I OB Scale]]), "")</f>
        <v>2.1715816337246738</v>
      </c>
      <c r="AB2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2.5604361553278681</v>
      </c>
      <c r="AC2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2.3349203406130332</v>
      </c>
      <c r="AD2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1.576477155479703</v>
      </c>
      <c r="AE2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1.5496674686085155</v>
      </c>
      <c r="AF26" s="1">
        <f ca="1">IF(Table1[[#This Row],[Included?]], Table35[[#This Row],[I Tot Scale]]*AF$185+AF$186, "")</f>
        <v>28.358506303862423</v>
      </c>
      <c r="AG26" s="1">
        <f ca="1">IF(Table1[[#This Row],[Included?]], Table35[[#This Row],[I OB Tot Scale]]*AG$185+AG$186, "")</f>
        <v>24.964231102020563</v>
      </c>
      <c r="AH26" s="1">
        <f ca="1">IF(Table1[[#This Row],[Included?]], Table35[[#This Row],[I Weighted Scale]]*AH$185+AH$186, "")</f>
        <v>29.119597302000344</v>
      </c>
      <c r="AI26" s="1">
        <f ca="1">IF(Table1[[#This Row],[Included?]], Table35[[#This Row],[I OB Weighted Scale]]*AI$185+AI$186, "")</f>
        <v>25.382396420755814</v>
      </c>
      <c r="AJ26" s="1">
        <f ca="1">IF(Table1[[#This Row],[Included?]], Table35[[#This Row],[I Z-score]]*AJ$185+AJ$186, "")</f>
        <v>27.157046203911513</v>
      </c>
      <c r="AK26" s="1">
        <f ca="1">IF(Table1[[#This Row],[Included?]], Table35[[#This Row],[I OBMod Z-Score]]*AK$185+AK$186, "")</f>
        <v>27.022985001446241</v>
      </c>
      <c r="AL26" s="1">
        <f ca="1">IF(Table1[[#This Row],[Included?]], AVERAGE(Table35[[#This Row],[I Tot Value]:[I OB Z Value]]), "")</f>
        <v>27.000793722332816</v>
      </c>
    </row>
    <row r="27" spans="1:38" hidden="1" x14ac:dyDescent="0.25">
      <c r="A27" s="1">
        <f>(Table1[[#This Row],[R]]-Data!H$188)/(Data!H$187-Data!H$188)</f>
        <v>0.79090909090909112</v>
      </c>
      <c r="B27" s="1">
        <f>(Table1[[#This Row],[HR]]-Data!I$188)/(Data!I$187-Data!I$188)</f>
        <v>0.23485364193328795</v>
      </c>
      <c r="C27" s="1">
        <f>(Table1[[#This Row],[RBI]]-Data!J$188)/(Data!J$187-Data!J$188)</f>
        <v>0.50931498996847224</v>
      </c>
      <c r="D27" s="1">
        <f>(Table1[[#This Row],[SB]]-Data!K$188)/(Data!K$187-Data!K$188)</f>
        <v>9.2848180677540762E-2</v>
      </c>
      <c r="E27" s="1">
        <f>(Table1[[#This Row],[OBP]]-Data!L$188)/(Data!L$187-Data!L$188)</f>
        <v>0.59028753944738976</v>
      </c>
      <c r="F27" s="1">
        <f>(Table1[[#This Row],[OB]]-Data!P$188)/(Data!P$187-Data!P$188)</f>
        <v>0.68827905156517177</v>
      </c>
      <c r="G27" s="1">
        <f>SUM(Table3[[#This Row],[R Scale]:[OBP Scale]])</f>
        <v>2.2182134429357818</v>
      </c>
      <c r="H27" s="1">
        <f>SUM(Table3[[#This Row],[R Scale]:[SB Scale]],Table3[[#This Row],[OB Scale]])</f>
        <v>2.3162049550535642</v>
      </c>
      <c r="I27" s="1">
        <f>Table3[[#This Row],[R Scale]]*Data!B$192+Table3[[#This Row],[HR Scale]]*Data!C$192+Table3[[#This Row],[RBI Scale]]*Data!D$192+Table3[[#This Row],[SB Scale]]*Data!E$192+Table3[[#This Row],[OBP Scale]]*Data!F$192</f>
        <v>2.3590430397280451</v>
      </c>
      <c r="J27" s="1">
        <f>Table3[[#This Row],[R Scale]]*Data!B$192+Table3[[#This Row],[HR Scale]]*Data!C$192+Table3[[#This Row],[RBI Scale]]*Data!D$192+Table3[[#This Row],[SB Scale]]*Data!E$192+Table3[[#This Row],[OB Scale]]*Data!F$192</f>
        <v>2.4766328542693836</v>
      </c>
      <c r="K2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2.032480189850137</v>
      </c>
      <c r="L2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2.1036524509247005</v>
      </c>
      <c r="M27" s="1">
        <f ca="1">Table3[[#This Row],[Tot Scale]]*M$185+M$186</f>
        <v>15.462071614708236</v>
      </c>
      <c r="N27" s="1">
        <f ca="1">Table3[[#This Row],[OB Tot Scale]]*N$185+N$186</f>
        <v>16.952150554214569</v>
      </c>
      <c r="O27" s="1">
        <f ca="1">Table3[[#This Row],[Weighted Scale]]*O$185+O$186</f>
        <v>14.942742252378082</v>
      </c>
      <c r="P27" s="1">
        <f ca="1">Table3[[#This Row],[OB Weighted Scale]]*P$185+P$186</f>
        <v>16.66199321707218</v>
      </c>
      <c r="Q27" s="1">
        <f ca="1">Table3[[#This Row],[Z-score]]*Q$185+Q$186</f>
        <v>16.340407089301578</v>
      </c>
      <c r="R27" s="1">
        <f ca="1">Table3[[#This Row],[OBMod Z-Score]]*R$185+R$186</f>
        <v>16.967560401425505</v>
      </c>
      <c r="S27" s="1">
        <f ca="1">AVERAGE(Table3[[#This Row],[Tot Value]:[OB Z Value]])</f>
        <v>16.221154188183359</v>
      </c>
      <c r="T27" s="1">
        <f>IF(Table1[[#This Row],[Included?]], (Table1[[#This Row],[I R]]-Data!S$188)/(Data!S$187-Data!S$188), "")</f>
        <v>0.73572710951526066</v>
      </c>
      <c r="U27" s="1">
        <f>IF(Table1[[#This Row],[Included?]], (Table1[[#This Row],[I HR]]-Data!T$188)/(Data!T$187-Data!T$188), "")</f>
        <v>0.23485364193328795</v>
      </c>
      <c r="V27" s="1">
        <f>IF(Table1[[#This Row],[Included?]], (Table1[[#This Row],[I RBI]]-Data!U$188)/(Data!U$187-Data!U$188), "")</f>
        <v>0.38239538239538229</v>
      </c>
      <c r="W27" s="1">
        <f>IF(Table1[[#This Row],[Included?]], (Table1[[#This Row],[I SB]]-Data!V$188)/(Data!V$187-Data!V$188), "")</f>
        <v>9.2848180677540762E-2</v>
      </c>
      <c r="X27" s="1">
        <f>IF(Table1[[#This Row],[Included?]], (Table1[[#This Row],[I OBP]]-Data!W$188)/(Data!W$187-Data!W$188), "")</f>
        <v>0.5073777509148627</v>
      </c>
      <c r="Y27" s="1">
        <f>IF(Table1[[#This Row],[Included?]], (Table1[[#This Row],[I OB]]-Data!AA$188)/(Data!AA$187-Data!AA$188), "")</f>
        <v>0.52009819820282166</v>
      </c>
      <c r="Z27" s="1">
        <f>IF(Table1[[#This Row],[Included?]], SUM(Table35[[#This Row],[I R Scale]:[I OBP Scale]]), "")</f>
        <v>1.9532020654363345</v>
      </c>
      <c r="AA27" s="1">
        <f>IF(Table1[[#This Row],[Included?]], SUM(Table35[[#This Row],[I R Scale]:[I SB Scale]],Table35[[#This Row],[I OB Scale]]), "")</f>
        <v>1.9659225127242934</v>
      </c>
      <c r="AB2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2.0575839811468573</v>
      </c>
      <c r="AC2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2.0728485178924081</v>
      </c>
      <c r="AD2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8.437509425227524E-2</v>
      </c>
      <c r="AE2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9.8738405894098991E-2</v>
      </c>
      <c r="AF27" s="1">
        <f ca="1">IF(Table1[[#This Row],[Included?]], Table35[[#This Row],[I Tot Scale]]*AF$185+AF$186, "")</f>
        <v>19.753391058102519</v>
      </c>
      <c r="AG27" s="1">
        <f ca="1">IF(Table1[[#This Row],[Included?]], Table35[[#This Row],[I OB Tot Scale]]*AG$185+AG$186, "")</f>
        <v>21.730232184408649</v>
      </c>
      <c r="AH27" s="1">
        <f ca="1">IF(Table1[[#This Row],[Included?]], Table35[[#This Row],[I Weighted Scale]]*AH$185+AH$186, "")</f>
        <v>19.199893113027876</v>
      </c>
      <c r="AI27" s="1">
        <f ca="1">IF(Table1[[#This Row],[Included?]], Table35[[#This Row],[I OB Weighted Scale]]*AI$185+AI$186, "")</f>
        <v>21.544328789564641</v>
      </c>
      <c r="AJ27" s="1">
        <f ca="1">IF(Table1[[#This Row],[Included?]], Table35[[#This Row],[I Z-score]]*AJ$185+AJ$186, "")</f>
        <v>20.383054360111618</v>
      </c>
      <c r="AK27" s="1">
        <f ca="1">IF(Table1[[#This Row],[Included?]], Table35[[#This Row],[I OBMod Z-Score]]*AK$185+AK$186, "")</f>
        <v>20.447475576346669</v>
      </c>
      <c r="AL27" s="1">
        <f ca="1">IF(Table1[[#This Row],[Included?]], AVERAGE(Table35[[#This Row],[I Tot Value]:[I OB Z Value]]), "")</f>
        <v>20.509729180260326</v>
      </c>
    </row>
    <row r="28" spans="1:38" hidden="1" x14ac:dyDescent="0.25">
      <c r="A28" s="1">
        <f>(Table1[[#This Row],[R]]-Data!H$188)/(Data!H$187-Data!H$188)</f>
        <v>0.60539772727272734</v>
      </c>
      <c r="B28" s="1">
        <f>(Table1[[#This Row],[HR]]-Data!I$188)/(Data!I$187-Data!I$188)</f>
        <v>0.44247787610619466</v>
      </c>
      <c r="C28" s="1">
        <f>(Table1[[#This Row],[RBI]]-Data!J$188)/(Data!J$187-Data!J$188)</f>
        <v>0.57151046145027218</v>
      </c>
      <c r="D28" s="1">
        <f>(Table1[[#This Row],[SB]]-Data!K$188)/(Data!K$187-Data!K$188)</f>
        <v>7.5909661229611028E-2</v>
      </c>
      <c r="E28" s="1">
        <f>(Table1[[#This Row],[OBP]]-Data!L$188)/(Data!L$187-Data!L$188)</f>
        <v>0.70263293504338264</v>
      </c>
      <c r="F28" s="1">
        <f>(Table1[[#This Row],[OB]]-Data!P$188)/(Data!P$187-Data!P$188)</f>
        <v>0.68161448293381222</v>
      </c>
      <c r="G28" s="1">
        <f>SUM(Table3[[#This Row],[R Scale]:[OBP Scale]])</f>
        <v>2.3979286611021879</v>
      </c>
      <c r="H28" s="1">
        <f>SUM(Table3[[#This Row],[R Scale]:[SB Scale]],Table3[[#This Row],[OB Scale]])</f>
        <v>2.3769102089926175</v>
      </c>
      <c r="I28" s="1">
        <f>Table3[[#This Row],[R Scale]]*Data!B$192+Table3[[#This Row],[HR Scale]]*Data!C$192+Table3[[#This Row],[RBI Scale]]*Data!D$192+Table3[[#This Row],[SB Scale]]*Data!E$192+Table3[[#This Row],[OBP Scale]]*Data!F$192</f>
        <v>2.5922175676736461</v>
      </c>
      <c r="J28" s="1">
        <f>Table3[[#This Row],[R Scale]]*Data!B$192+Table3[[#This Row],[HR Scale]]*Data!C$192+Table3[[#This Row],[RBI Scale]]*Data!D$192+Table3[[#This Row],[SB Scale]]*Data!E$192+Table3[[#This Row],[OB Scale]]*Data!F$192</f>
        <v>2.5669954251421618</v>
      </c>
      <c r="K2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2.8283800755674164</v>
      </c>
      <c r="L2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2.8980224301538797</v>
      </c>
      <c r="M28" s="1">
        <f ca="1">Table3[[#This Row],[Tot Scale]]*M$185+M$186</f>
        <v>22.099285785827064</v>
      </c>
      <c r="N28" s="1">
        <f ca="1">Table3[[#This Row],[OB Tot Scale]]*N$185+N$186</f>
        <v>19.165948894352539</v>
      </c>
      <c r="O28" s="1">
        <f ca="1">Table3[[#This Row],[Weighted Scale]]*O$185+O$186</f>
        <v>22.96260792132172</v>
      </c>
      <c r="P28" s="1">
        <f ca="1">Table3[[#This Row],[OB Weighted Scale]]*P$185+P$186</f>
        <v>19.747028050364449</v>
      </c>
      <c r="Q28" s="1">
        <f ca="1">Table3[[#This Row],[Z-score]]*Q$185+Q$186</f>
        <v>22.188490000465645</v>
      </c>
      <c r="R28" s="1">
        <f ca="1">Table3[[#This Row],[OBMod Z-Score]]*R$185+R$186</f>
        <v>22.750979956197348</v>
      </c>
      <c r="S28" s="1">
        <f ca="1">AVERAGE(Table3[[#This Row],[Tot Value]:[OB Z Value]])</f>
        <v>21.485723434754792</v>
      </c>
      <c r="T28" s="1">
        <f>IF(Table1[[#This Row],[Included?]], (Table1[[#This Row],[I R]]-Data!S$188)/(Data!S$187-Data!S$188), "")</f>
        <v>0.50125673249551173</v>
      </c>
      <c r="U28" s="1">
        <f>IF(Table1[[#This Row],[Included?]], (Table1[[#This Row],[I HR]]-Data!T$188)/(Data!T$187-Data!T$188), "")</f>
        <v>0.44247787610619466</v>
      </c>
      <c r="V28" s="1">
        <f>IF(Table1[[#This Row],[Included?]], (Table1[[#This Row],[I RBI]]-Data!U$188)/(Data!U$187-Data!U$188), "")</f>
        <v>0.46067821067821063</v>
      </c>
      <c r="W28" s="1">
        <f>IF(Table1[[#This Row],[Included?]], (Table1[[#This Row],[I SB]]-Data!V$188)/(Data!V$187-Data!V$188), "")</f>
        <v>7.5909661229611028E-2</v>
      </c>
      <c r="X28" s="1">
        <f>IF(Table1[[#This Row],[Included?]], (Table1[[#This Row],[I OBP]]-Data!W$188)/(Data!W$187-Data!W$188), "")</f>
        <v>0.64245746359485068</v>
      </c>
      <c r="Y28" s="1">
        <f>IF(Table1[[#This Row],[Included?]], (Table1[[#This Row],[I OB]]-Data!AA$188)/(Data!AA$187-Data!AA$188), "")</f>
        <v>0.50983793654748688</v>
      </c>
      <c r="Z28" s="1">
        <f>IF(Table1[[#This Row],[Included?]], SUM(Table35[[#This Row],[I R Scale]:[I OBP Scale]]), "")</f>
        <v>2.1227799441043786</v>
      </c>
      <c r="AA28" s="1">
        <f>IF(Table1[[#This Row],[Included?]], SUM(Table35[[#This Row],[I R Scale]:[I SB Scale]],Table35[[#This Row],[I OB Scale]]), "")</f>
        <v>1.9901604170570151</v>
      </c>
      <c r="AB2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2.2932814057094397</v>
      </c>
      <c r="AC2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2.1341379732526033</v>
      </c>
      <c r="AD2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0.82408946048615062</v>
      </c>
      <c r="AE2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0.82457810321096736</v>
      </c>
      <c r="AF28" s="1">
        <f ca="1">IF(Table1[[#This Row],[Included?]], Table35[[#This Row],[I Tot Scale]]*AF$185+AF$186, "")</f>
        <v>23.344834276512639</v>
      </c>
      <c r="AG28" s="1">
        <f ca="1">IF(Table1[[#This Row],[Included?]], Table35[[#This Row],[I OB Tot Scale]]*AG$185+AG$186, "")</f>
        <v>22.111374319004554</v>
      </c>
      <c r="AH28" s="1">
        <f ca="1">IF(Table1[[#This Row],[Included?]], Table35[[#This Row],[I Weighted Scale]]*AH$185+AH$186, "")</f>
        <v>23.849467778925309</v>
      </c>
      <c r="AI28" s="1">
        <f ca="1">IF(Table1[[#This Row],[Included?]], Table35[[#This Row],[I OB Weighted Scale]]*AI$185+AI$186, "")</f>
        <v>22.441918894098944</v>
      </c>
      <c r="AJ28" s="1">
        <f ca="1">IF(Table1[[#This Row],[Included?]], Table35[[#This Row],[I Z-score]]*AJ$185+AJ$186, "")</f>
        <v>23.741282469178032</v>
      </c>
      <c r="AK28" s="1">
        <f ca="1">IF(Table1[[#This Row],[Included?]], Table35[[#This Row],[I OBMod Z-Score]]*AK$185+AK$186, "")</f>
        <v>23.73693051488759</v>
      </c>
      <c r="AL28" s="1">
        <f ca="1">IF(Table1[[#This Row],[Included?]], AVERAGE(Table35[[#This Row],[I Tot Value]:[I OB Z Value]]), "")</f>
        <v>23.204301375434511</v>
      </c>
    </row>
    <row r="29" spans="1:38" hidden="1" x14ac:dyDescent="0.25">
      <c r="A29" s="1">
        <f>(Table1[[#This Row],[R]]-Data!H$188)/(Data!H$187-Data!H$188)</f>
        <v>0.65539772727272738</v>
      </c>
      <c r="B29" s="1">
        <f>(Table1[[#This Row],[HR]]-Data!I$188)/(Data!I$187-Data!I$188)</f>
        <v>0.46562287270251868</v>
      </c>
      <c r="C29" s="1">
        <f>(Table1[[#This Row],[RBI]]-Data!J$188)/(Data!J$187-Data!J$188)</f>
        <v>0.43192891946116352</v>
      </c>
      <c r="D29" s="1">
        <f>(Table1[[#This Row],[SB]]-Data!K$188)/(Data!K$187-Data!K$188)</f>
        <v>0.28450439146800499</v>
      </c>
      <c r="E29" s="1">
        <f>(Table1[[#This Row],[OBP]]-Data!L$188)/(Data!L$187-Data!L$188)</f>
        <v>0.45107695638522322</v>
      </c>
      <c r="F29" s="1">
        <f>(Table1[[#This Row],[OB]]-Data!P$188)/(Data!P$187-Data!P$188)</f>
        <v>0.61686026643225866</v>
      </c>
      <c r="G29" s="1">
        <f>SUM(Table3[[#This Row],[R Scale]:[OBP Scale]])</f>
        <v>2.2885308672896376</v>
      </c>
      <c r="H29" s="1">
        <f>SUM(Table3[[#This Row],[R Scale]:[SB Scale]],Table3[[#This Row],[OB Scale]])</f>
        <v>2.4543141773366735</v>
      </c>
      <c r="I29" s="1">
        <f>Table3[[#This Row],[R Scale]]*Data!B$192+Table3[[#This Row],[HR Scale]]*Data!C$192+Table3[[#This Row],[RBI Scale]]*Data!D$192+Table3[[#This Row],[SB Scale]]*Data!E$192+Table3[[#This Row],[OBP Scale]]*Data!F$192</f>
        <v>2.3995922697316425</v>
      </c>
      <c r="J29" s="1">
        <f>Table3[[#This Row],[R Scale]]*Data!B$192+Table3[[#This Row],[HR Scale]]*Data!C$192+Table3[[#This Row],[RBI Scale]]*Data!D$192+Table3[[#This Row],[SB Scale]]*Data!E$192+Table3[[#This Row],[OB Scale]]*Data!F$192</f>
        <v>2.5985322417880852</v>
      </c>
      <c r="K2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2.557495710586156</v>
      </c>
      <c r="L2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2.5315217217049524</v>
      </c>
      <c r="M29" s="1">
        <f ca="1">Table3[[#This Row],[Tot Scale]]*M$185+M$186</f>
        <v>18.059023671188172</v>
      </c>
      <c r="N29" s="1">
        <f ca="1">Table3[[#This Row],[OB Tot Scale]]*N$185+N$186</f>
        <v>21.988715714703886</v>
      </c>
      <c r="O29" s="1">
        <f ca="1">Table3[[#This Row],[Weighted Scale]]*O$185+O$186</f>
        <v>16.337403069205465</v>
      </c>
      <c r="P29" s="1">
        <f ca="1">Table3[[#This Row],[OB Weighted Scale]]*P$185+P$186</f>
        <v>20.823714746461249</v>
      </c>
      <c r="Q29" s="1">
        <f ca="1">Table3[[#This Row],[Z-score]]*Q$185+Q$186</f>
        <v>20.198096165541582</v>
      </c>
      <c r="R29" s="1">
        <f ca="1">Table3[[#This Row],[OBMod Z-Score]]*R$185+R$186</f>
        <v>20.082667432430966</v>
      </c>
      <c r="S29" s="1">
        <f ca="1">AVERAGE(Table3[[#This Row],[Tot Value]:[OB Z Value]])</f>
        <v>19.581603466588554</v>
      </c>
      <c r="T29" s="1">
        <f>IF(Table1[[#This Row],[Included?]], (Table1[[#This Row],[I R]]-Data!S$188)/(Data!S$187-Data!S$188), "")</f>
        <v>0.56445242369838433</v>
      </c>
      <c r="U29" s="1">
        <f>IF(Table1[[#This Row],[Included?]], (Table1[[#This Row],[I HR]]-Data!T$188)/(Data!T$187-Data!T$188), "")</f>
        <v>0.46562287270251868</v>
      </c>
      <c r="V29" s="1">
        <f>IF(Table1[[#This Row],[Included?]], (Table1[[#This Row],[I RBI]]-Data!U$188)/(Data!U$187-Data!U$188), "")</f>
        <v>0.28499278499278491</v>
      </c>
      <c r="W29" s="1">
        <f>IF(Table1[[#This Row],[Included?]], (Table1[[#This Row],[I SB]]-Data!V$188)/(Data!V$187-Data!V$188), "")</f>
        <v>0.28450439146800499</v>
      </c>
      <c r="X29" s="1">
        <f>IF(Table1[[#This Row],[Included?]], (Table1[[#This Row],[I OBP]]-Data!W$188)/(Data!W$187-Data!W$188), "")</f>
        <v>0.33999638684299344</v>
      </c>
      <c r="Y29" s="1">
        <f>IF(Table1[[#This Row],[Included?]], (Table1[[#This Row],[I OB]]-Data!AA$188)/(Data!AA$187-Data!AA$188), "")</f>
        <v>0.41014728268192824</v>
      </c>
      <c r="Z29" s="1">
        <f>IF(Table1[[#This Row],[Included?]], SUM(Table35[[#This Row],[I R Scale]:[I OBP Scale]]), "")</f>
        <v>1.9395688597046863</v>
      </c>
      <c r="AA29" s="1">
        <f>IF(Table1[[#This Row],[Included?]], SUM(Table35[[#This Row],[I R Scale]:[I SB Scale]],Table35[[#This Row],[I OB Scale]]), "")</f>
        <v>2.009719755543621</v>
      </c>
      <c r="AB2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2.0081214517020038</v>
      </c>
      <c r="AC2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2.0923025267087256</v>
      </c>
      <c r="AD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3.031261408662389E-2</v>
      </c>
      <c r="AE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-4.1207159072198518E-4</v>
      </c>
      <c r="AF29" s="1">
        <f ca="1">IF(Table1[[#This Row],[Included?]], Table35[[#This Row],[I Tot Scale]]*AF$185+AF$186, "")</f>
        <v>19.464657146258009</v>
      </c>
      <c r="AG29" s="1">
        <f ca="1">IF(Table1[[#This Row],[Included?]], Table35[[#This Row],[I OB Tot Scale]]*AG$185+AG$186, "")</f>
        <v>22.418945795471053</v>
      </c>
      <c r="AH29" s="1">
        <f ca="1">IF(Table1[[#This Row],[Included?]], Table35[[#This Row],[I Weighted Scale]]*AH$185+AH$186, "")</f>
        <v>18.224151760551059</v>
      </c>
      <c r="AI29" s="1">
        <f ca="1">IF(Table1[[#This Row],[Included?]], Table35[[#This Row],[I OB Weighted Scale]]*AI$185+AI$186, "")</f>
        <v>21.829234662922921</v>
      </c>
      <c r="AJ29" s="1">
        <f ca="1">IF(Table1[[#This Row],[Included?]], Table35[[#This Row],[I Z-score]]*AJ$185+AJ$186, "")</f>
        <v>20.137616189885879</v>
      </c>
      <c r="AK29" s="1">
        <f ca="1">IF(Table1[[#This Row],[Included?]], Table35[[#This Row],[I OBMod Z-Score]]*AK$185+AK$186, "")</f>
        <v>19.998132520260341</v>
      </c>
      <c r="AL29" s="1">
        <f ca="1">IF(Table1[[#This Row],[Included?]], AVERAGE(Table35[[#This Row],[I Tot Value]:[I OB Z Value]]), "")</f>
        <v>20.345456345891545</v>
      </c>
    </row>
    <row r="30" spans="1:38" hidden="1" x14ac:dyDescent="0.25">
      <c r="A30" s="1">
        <f>(Table1[[#This Row],[R]]-Data!H$188)/(Data!H$187-Data!H$188)</f>
        <v>0.77187500000000009</v>
      </c>
      <c r="B30" s="1">
        <f>(Table1[[#This Row],[HR]]-Data!I$188)/(Data!I$187-Data!I$188)</f>
        <v>0.26276378488767871</v>
      </c>
      <c r="C30" s="1">
        <f>(Table1[[#This Row],[RBI]]-Data!J$188)/(Data!J$187-Data!J$188)</f>
        <v>0.50616222413298939</v>
      </c>
      <c r="D30" s="1">
        <f>(Table1[[#This Row],[SB]]-Data!K$188)/(Data!K$187-Data!K$188)</f>
        <v>5.8971141781681294E-2</v>
      </c>
      <c r="E30" s="1">
        <f>(Table1[[#This Row],[OBP]]-Data!L$188)/(Data!L$187-Data!L$188)</f>
        <v>0.64340430171808871</v>
      </c>
      <c r="F30" s="1">
        <f>(Table1[[#This Row],[OB]]-Data!P$188)/(Data!P$187-Data!P$188)</f>
        <v>0.68816737369521597</v>
      </c>
      <c r="G30" s="1">
        <f>SUM(Table3[[#This Row],[R Scale]:[OBP Scale]])</f>
        <v>2.2431764525204385</v>
      </c>
      <c r="H30" s="1">
        <f>SUM(Table3[[#This Row],[R Scale]:[SB Scale]],Table3[[#This Row],[OB Scale]])</f>
        <v>2.2879395244975655</v>
      </c>
      <c r="I30" s="1">
        <f>Table3[[#This Row],[R Scale]]*Data!B$192+Table3[[#This Row],[HR Scale]]*Data!C$192+Table3[[#This Row],[RBI Scale]]*Data!D$192+Table3[[#This Row],[SB Scale]]*Data!E$192+Table3[[#This Row],[OBP Scale]]*Data!F$192</f>
        <v>2.3959022576906541</v>
      </c>
      <c r="J30" s="1">
        <f>Table3[[#This Row],[R Scale]]*Data!B$192+Table3[[#This Row],[HR Scale]]*Data!C$192+Table3[[#This Row],[RBI Scale]]*Data!D$192+Table3[[#This Row],[SB Scale]]*Data!E$192+Table3[[#This Row],[OB Scale]]*Data!F$192</f>
        <v>2.4496179440632067</v>
      </c>
      <c r="K3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2.1047907709261526</v>
      </c>
      <c r="L3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2.1862669931914178</v>
      </c>
      <c r="M30" s="1">
        <f ca="1">Table3[[#This Row],[Tot Scale]]*M$185+M$186</f>
        <v>16.384001558424217</v>
      </c>
      <c r="N30" s="1">
        <f ca="1">Table3[[#This Row],[OB Tot Scale]]*N$185+N$186</f>
        <v>15.921367233367619</v>
      </c>
      <c r="O30" s="1">
        <f ca="1">Table3[[#This Row],[Weighted Scale]]*O$185+O$186</f>
        <v>16.210487830451697</v>
      </c>
      <c r="P30" s="1">
        <f ca="1">Table3[[#This Row],[OB Weighted Scale]]*P$185+P$186</f>
        <v>15.739687242382118</v>
      </c>
      <c r="Q30" s="1">
        <f ca="1">Table3[[#This Row],[Z-score]]*Q$185+Q$186</f>
        <v>16.871728026866339</v>
      </c>
      <c r="R30" s="1">
        <f ca="1">Table3[[#This Row],[OBMod Z-Score]]*R$185+R$186</f>
        <v>17.569036504182421</v>
      </c>
      <c r="S30" s="1">
        <f ca="1">AVERAGE(Table3[[#This Row],[Tot Value]:[OB Z Value]])</f>
        <v>16.449384732612401</v>
      </c>
      <c r="T30" s="1">
        <f>IF(Table1[[#This Row],[Included?]], (Table1[[#This Row],[I R]]-Data!S$188)/(Data!S$187-Data!S$188), "")</f>
        <v>0.71166965888689426</v>
      </c>
      <c r="U30" s="1">
        <f>IF(Table1[[#This Row],[Included?]], (Table1[[#This Row],[I HR]]-Data!T$188)/(Data!T$187-Data!T$188), "")</f>
        <v>0.26276378488767871</v>
      </c>
      <c r="V30" s="1">
        <f>IF(Table1[[#This Row],[Included?]], (Table1[[#This Row],[I RBI]]-Data!U$188)/(Data!U$187-Data!U$188), "")</f>
        <v>0.37842712842712845</v>
      </c>
      <c r="W30" s="1">
        <f>IF(Table1[[#This Row],[Included?]], (Table1[[#This Row],[I SB]]-Data!V$188)/(Data!V$187-Data!V$188), "")</f>
        <v>5.8971141781681294E-2</v>
      </c>
      <c r="X30" s="1">
        <f>IF(Table1[[#This Row],[Included?]], (Table1[[#This Row],[I OBP]]-Data!W$188)/(Data!W$187-Data!W$188), "")</f>
        <v>0.57124326981711804</v>
      </c>
      <c r="Y30" s="1">
        <f>IF(Table1[[#This Row],[Included?]], (Table1[[#This Row],[I OB]]-Data!AA$188)/(Data!AA$187-Data!AA$188), "")</f>
        <v>0.51992626747028092</v>
      </c>
      <c r="Z30" s="1">
        <f>IF(Table1[[#This Row],[Included?]], SUM(Table35[[#This Row],[I R Scale]:[I OBP Scale]]), "")</f>
        <v>1.9830749838005008</v>
      </c>
      <c r="AA30" s="1">
        <f>IF(Table1[[#This Row],[Included?]], SUM(Table35[[#This Row],[I R Scale]:[I SB Scale]],Table35[[#This Row],[I OB Scale]]), "")</f>
        <v>1.9317579814536636</v>
      </c>
      <c r="AB3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2.1018420975606604</v>
      </c>
      <c r="AC3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2.0402616947444558</v>
      </c>
      <c r="AD3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0.23593906480596505</v>
      </c>
      <c r="AE3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0.25462762333859001</v>
      </c>
      <c r="AF30" s="1">
        <f ca="1">IF(Table1[[#This Row],[Included?]], Table35[[#This Row],[I Tot Scale]]*AF$185+AF$186, "")</f>
        <v>20.386061374041088</v>
      </c>
      <c r="AG30" s="1">
        <f ca="1">IF(Table1[[#This Row],[Included?]], Table35[[#This Row],[I OB Tot Scale]]*AG$185+AG$186, "")</f>
        <v>21.192993395229294</v>
      </c>
      <c r="AH30" s="1">
        <f ca="1">IF(Table1[[#This Row],[Included?]], Table35[[#This Row],[I Weighted Scale]]*AH$185+AH$186, "")</f>
        <v>20.072967637367107</v>
      </c>
      <c r="AI30" s="1">
        <f ca="1">IF(Table1[[#This Row],[Included?]], Table35[[#This Row],[I OB Weighted Scale]]*AI$185+AI$186, "")</f>
        <v>21.067091558071674</v>
      </c>
      <c r="AJ30" s="1">
        <f ca="1">IF(Table1[[#This Row],[Included?]], Table35[[#This Row],[I Z-score]]*AJ$185+AJ$186, "")</f>
        <v>21.0711393959972</v>
      </c>
      <c r="AK30" s="1">
        <f ca="1">IF(Table1[[#This Row],[Included?]], Table35[[#This Row],[I OBMod Z-Score]]*AK$185+AK$186, "")</f>
        <v>21.153954648907231</v>
      </c>
      <c r="AL30" s="1">
        <f ca="1">IF(Table1[[#This Row],[Included?]], AVERAGE(Table35[[#This Row],[I Tot Value]:[I OB Z Value]]), "")</f>
        <v>20.824034668268933</v>
      </c>
    </row>
    <row r="31" spans="1:38" hidden="1" x14ac:dyDescent="0.25">
      <c r="A31" s="1">
        <f>(Table1[[#This Row],[R]]-Data!H$188)/(Data!H$187-Data!H$188)</f>
        <v>0.54659090909090913</v>
      </c>
      <c r="B31" s="1">
        <f>(Table1[[#This Row],[HR]]-Data!I$188)/(Data!I$187-Data!I$188)</f>
        <v>0.77195371000680735</v>
      </c>
      <c r="C31" s="1">
        <f>(Table1[[#This Row],[RBI]]-Data!J$188)/(Data!J$187-Data!J$188)</f>
        <v>0.67010604757810244</v>
      </c>
      <c r="D31" s="1">
        <f>(Table1[[#This Row],[SB]]-Data!K$188)/(Data!K$187-Data!K$188)</f>
        <v>4.109159347553324E-2</v>
      </c>
      <c r="E31" s="1">
        <f>(Table1[[#This Row],[OBP]]-Data!L$188)/(Data!L$187-Data!L$188)</f>
        <v>0.35535868146729099</v>
      </c>
      <c r="F31" s="1">
        <f>(Table1[[#This Row],[OB]]-Data!P$188)/(Data!P$187-Data!P$188)</f>
        <v>0.5730690182247522</v>
      </c>
      <c r="G31" s="1">
        <f>SUM(Table3[[#This Row],[R Scale]:[OBP Scale]])</f>
        <v>2.3851009416186431</v>
      </c>
      <c r="H31" s="1">
        <f>SUM(Table3[[#This Row],[R Scale]:[SB Scale]],Table3[[#This Row],[OB Scale]])</f>
        <v>2.6028112783761044</v>
      </c>
      <c r="I31" s="1">
        <f>Table3[[#This Row],[R Scale]]*Data!B$192+Table3[[#This Row],[HR Scale]]*Data!C$192+Table3[[#This Row],[RBI Scale]]*Data!D$192+Table3[[#This Row],[SB Scale]]*Data!E$192+Table3[[#This Row],[OBP Scale]]*Data!F$192</f>
        <v>2.5355347965186308</v>
      </c>
      <c r="J31" s="1">
        <f>Table3[[#This Row],[R Scale]]*Data!B$192+Table3[[#This Row],[HR Scale]]*Data!C$192+Table3[[#This Row],[RBI Scale]]*Data!D$192+Table3[[#This Row],[SB Scale]]*Data!E$192+Table3[[#This Row],[OB Scale]]*Data!F$192</f>
        <v>2.7967872006275845</v>
      </c>
      <c r="K3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2.3026936386866481</v>
      </c>
      <c r="L3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2.2112622892928568</v>
      </c>
      <c r="M31" s="1">
        <f ca="1">Table3[[#This Row],[Tot Scale]]*M$185+M$186</f>
        <v>21.625534467446855</v>
      </c>
      <c r="N31" s="1">
        <f ca="1">Table3[[#This Row],[OB Tot Scale]]*N$185+N$186</f>
        <v>27.404105890428099</v>
      </c>
      <c r="O31" s="1">
        <f ca="1">Table3[[#This Row],[Weighted Scale]]*O$185+O$186</f>
        <v>21.013045872619941</v>
      </c>
      <c r="P31" s="1">
        <f ca="1">Table3[[#This Row],[OB Weighted Scale]]*P$185+P$186</f>
        <v>27.59226336106282</v>
      </c>
      <c r="Q31" s="1">
        <f ca="1">Table3[[#This Row],[Z-score]]*Q$185+Q$186</f>
        <v>18.325871192093068</v>
      </c>
      <c r="R31" s="1">
        <f ca="1">Table3[[#This Row],[OBMod Z-Score]]*R$185+R$186</f>
        <v>17.75101503815301</v>
      </c>
      <c r="S31" s="1">
        <f ca="1">AVERAGE(Table3[[#This Row],[Tot Value]:[OB Z Value]])</f>
        <v>22.28530597030063</v>
      </c>
      <c r="T31" s="1">
        <f>IF(Table1[[#This Row],[Included?]], (Table1[[#This Row],[I R]]-Data!S$188)/(Data!S$187-Data!S$188), "")</f>
        <v>0.4269299820466787</v>
      </c>
      <c r="U31" s="1">
        <f>IF(Table1[[#This Row],[Included?]], (Table1[[#This Row],[I HR]]-Data!T$188)/(Data!T$187-Data!T$188), "")</f>
        <v>0.77195371000680735</v>
      </c>
      <c r="V31" s="1">
        <f>IF(Table1[[#This Row],[Included?]], (Table1[[#This Row],[I RBI]]-Data!U$188)/(Data!U$187-Data!U$188), "")</f>
        <v>0.58477633477633462</v>
      </c>
      <c r="W31" s="1">
        <f>IF(Table1[[#This Row],[Included?]], (Table1[[#This Row],[I SB]]-Data!V$188)/(Data!V$187-Data!V$188), "")</f>
        <v>4.109159347553324E-2</v>
      </c>
      <c r="X31" s="1">
        <f>IF(Table1[[#This Row],[Included?]], (Table1[[#This Row],[I OBP]]-Data!W$188)/(Data!W$187-Data!W$188), "")</f>
        <v>0.22490847420049653</v>
      </c>
      <c r="Y31" s="1">
        <f>IF(Table1[[#This Row],[Included?]], (Table1[[#This Row],[I OB]]-Data!AA$188)/(Data!AA$187-Data!AA$188), "")</f>
        <v>0.34272961626184956</v>
      </c>
      <c r="Z31" s="1">
        <f>IF(Table1[[#This Row],[Included?]], SUM(Table35[[#This Row],[I R Scale]:[I OBP Scale]]), "")</f>
        <v>2.0496600945058505</v>
      </c>
      <c r="AA31" s="1">
        <f>IF(Table1[[#This Row],[Included?]], SUM(Table35[[#This Row],[I R Scale]:[I SB Scale]],Table35[[#This Row],[I OB Scale]]), "")</f>
        <v>2.1674812365672032</v>
      </c>
      <c r="AB3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2.1689040580965488</v>
      </c>
      <c r="AC3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2.3102894285701723</v>
      </c>
      <c r="AD3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-8.6179610128186868E-2</v>
      </c>
      <c r="AE3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-0.14996749671554377</v>
      </c>
      <c r="AF31" s="1">
        <f ca="1">IF(Table1[[#This Row],[Included?]], Table35[[#This Row],[I Tot Scale]]*AF$185+AF$186, "")</f>
        <v>21.796249107064543</v>
      </c>
      <c r="AG31" s="1">
        <f ca="1">IF(Table1[[#This Row],[Included?]], Table35[[#This Row],[I OB Tot Scale]]*AG$185+AG$186, "")</f>
        <v>24.899752172496136</v>
      </c>
      <c r="AH31" s="1">
        <f ca="1">IF(Table1[[#This Row],[Included?]], Table35[[#This Row],[I Weighted Scale]]*AH$185+AH$186, "")</f>
        <v>21.395890844236042</v>
      </c>
      <c r="AI31" s="1">
        <f ca="1">IF(Table1[[#This Row],[Included?]], Table35[[#This Row],[I OB Weighted Scale]]*AI$185+AI$186, "")</f>
        <v>25.021674290245816</v>
      </c>
      <c r="AJ31" s="1">
        <f ca="1">IF(Table1[[#This Row],[Included?]], Table35[[#This Row],[I Z-score]]*AJ$185+AJ$186, "")</f>
        <v>19.608753321049619</v>
      </c>
      <c r="AK31" s="1">
        <f ca="1">IF(Table1[[#This Row],[Included?]], Table35[[#This Row],[I OBMod Z-Score]]*AK$185+AK$186, "")</f>
        <v>19.320357753213305</v>
      </c>
      <c r="AL31" s="1">
        <f ca="1">IF(Table1[[#This Row],[Included?]], AVERAGE(Table35[[#This Row],[I Tot Value]:[I OB Z Value]]), "")</f>
        <v>22.007112914717577</v>
      </c>
    </row>
    <row r="32" spans="1:38" hidden="1" x14ac:dyDescent="0.25">
      <c r="A32" s="1">
        <f>(Table1[[#This Row],[R]]-Data!H$188)/(Data!H$187-Data!H$188)</f>
        <v>0.71136363636363653</v>
      </c>
      <c r="B32" s="1">
        <f>(Table1[[#This Row],[HR]]-Data!I$188)/(Data!I$187-Data!I$188)</f>
        <v>0.39142273655547988</v>
      </c>
      <c r="C32" s="1">
        <f>(Table1[[#This Row],[RBI]]-Data!J$188)/(Data!J$187-Data!J$188)</f>
        <v>0.30438521066208074</v>
      </c>
      <c r="D32" s="1">
        <f>(Table1[[#This Row],[SB]]-Data!K$188)/(Data!K$187-Data!K$188)</f>
        <v>0.48839397741530727</v>
      </c>
      <c r="E32" s="1">
        <f>(Table1[[#This Row],[OBP]]-Data!L$188)/(Data!L$187-Data!L$188)</f>
        <v>0.42960517218224792</v>
      </c>
      <c r="F32" s="1">
        <f>(Table1[[#This Row],[OB]]-Data!P$188)/(Data!P$187-Data!P$188)</f>
        <v>0.56620129811318398</v>
      </c>
      <c r="G32" s="1">
        <f>SUM(Table3[[#This Row],[R Scale]:[OBP Scale]])</f>
        <v>2.3251707331787523</v>
      </c>
      <c r="H32" s="1">
        <f>SUM(Table3[[#This Row],[R Scale]:[SB Scale]],Table3[[#This Row],[OB Scale]])</f>
        <v>2.4617668591096886</v>
      </c>
      <c r="I32" s="1">
        <f>Table3[[#This Row],[R Scale]]*Data!B$192+Table3[[#This Row],[HR Scale]]*Data!C$192+Table3[[#This Row],[RBI Scale]]*Data!D$192+Table3[[#This Row],[SB Scale]]*Data!E$192+Table3[[#This Row],[OBP Scale]]*Data!F$192</f>
        <v>2.4008324461112545</v>
      </c>
      <c r="J32" s="1">
        <f>Table3[[#This Row],[R Scale]]*Data!B$192+Table3[[#This Row],[HR Scale]]*Data!C$192+Table3[[#This Row],[RBI Scale]]*Data!D$192+Table3[[#This Row],[SB Scale]]*Data!E$192+Table3[[#This Row],[OB Scale]]*Data!F$192</f>
        <v>2.5647477972283776</v>
      </c>
      <c r="K3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3.1939212842238205</v>
      </c>
      <c r="L3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3.1561143987259013</v>
      </c>
      <c r="M32" s="1">
        <f ca="1">Table3[[#This Row],[Tot Scale]]*M$185+M$186</f>
        <v>19.412201435365873</v>
      </c>
      <c r="N32" s="1">
        <f ca="1">Table3[[#This Row],[OB Tot Scale]]*N$185+N$186</f>
        <v>22.260500007958669</v>
      </c>
      <c r="O32" s="1">
        <f ca="1">Table3[[#This Row],[Weighted Scale]]*O$185+O$186</f>
        <v>16.380058019803684</v>
      </c>
      <c r="P32" s="1">
        <f ca="1">Table3[[#This Row],[OB Weighted Scale]]*P$185+P$186</f>
        <v>19.670292623966873</v>
      </c>
      <c r="Q32" s="1">
        <f ca="1">Table3[[#This Row],[Z-score]]*Q$185+Q$186</f>
        <v>24.874399791422867</v>
      </c>
      <c r="R32" s="1">
        <f ca="1">Table3[[#This Row],[OBMod Z-Score]]*R$185+R$186</f>
        <v>24.630021431829888</v>
      </c>
      <c r="S32" s="1">
        <f ca="1">AVERAGE(Table3[[#This Row],[Tot Value]:[OB Z Value]])</f>
        <v>21.204578885057977</v>
      </c>
      <c r="T32" s="1">
        <f>IF(Table1[[#This Row],[Included?]], (Table1[[#This Row],[I R]]-Data!S$188)/(Data!S$187-Data!S$188), "")</f>
        <v>0.63518850987432707</v>
      </c>
      <c r="U32" s="1">
        <f>IF(Table1[[#This Row],[Included?]], (Table1[[#This Row],[I HR]]-Data!T$188)/(Data!T$187-Data!T$188), "")</f>
        <v>0.39142273655547988</v>
      </c>
      <c r="V32" s="1">
        <f>IF(Table1[[#This Row],[Included?]], (Table1[[#This Row],[I RBI]]-Data!U$188)/(Data!U$187-Data!U$188), "")</f>
        <v>0.12445887445887444</v>
      </c>
      <c r="W32" s="1">
        <f>IF(Table1[[#This Row],[Included?]], (Table1[[#This Row],[I SB]]-Data!V$188)/(Data!V$187-Data!V$188), "")</f>
        <v>0.48839397741530727</v>
      </c>
      <c r="X32" s="1">
        <f>IF(Table1[[#This Row],[Included?]], (Table1[[#This Row],[I OBP]]-Data!W$188)/(Data!W$187-Data!W$188), "")</f>
        <v>0.31417955273530296</v>
      </c>
      <c r="Y32" s="1">
        <f>IF(Table1[[#This Row],[Included?]], (Table1[[#This Row],[I OB]]-Data!AA$188)/(Data!AA$187-Data!AA$188), "")</f>
        <v>0.33215659807898795</v>
      </c>
      <c r="Z32" s="1">
        <f>IF(Table1[[#This Row],[Included?]], SUM(Table35[[#This Row],[I R Scale]:[I OBP Scale]]), "")</f>
        <v>1.9536436510392914</v>
      </c>
      <c r="AA32" s="1">
        <f>IF(Table1[[#This Row],[Included?]], SUM(Table35[[#This Row],[I R Scale]:[I SB Scale]],Table35[[#This Row],[I OB Scale]]), "")</f>
        <v>1.9716206963829765</v>
      </c>
      <c r="AB3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1.9778524854906943</v>
      </c>
      <c r="AC3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1.9994249399031163</v>
      </c>
      <c r="AD3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0.41216010196391395</v>
      </c>
      <c r="AE3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0.40556386333727656</v>
      </c>
      <c r="AF32" s="1">
        <f ca="1">IF(Table1[[#This Row],[Included?]], Table35[[#This Row],[I Tot Scale]]*AF$185+AF$186, "")</f>
        <v>19.762743278047378</v>
      </c>
      <c r="AG32" s="1">
        <f ca="1">IF(Table1[[#This Row],[Included?]], Table35[[#This Row],[I OB Tot Scale]]*AG$185+AG$186, "")</f>
        <v>21.819836378450212</v>
      </c>
      <c r="AH32" s="1">
        <f ca="1">IF(Table1[[#This Row],[Included?]], Table35[[#This Row],[I Weighted Scale]]*AH$185+AH$186, "")</f>
        <v>17.627039514966718</v>
      </c>
      <c r="AI32" s="1">
        <f ca="1">IF(Table1[[#This Row],[Included?]], Table35[[#This Row],[I OB Weighted Scale]]*AI$185+AI$186, "")</f>
        <v>20.469033265148983</v>
      </c>
      <c r="AJ32" s="1">
        <f ca="1">IF(Table1[[#This Row],[Included?]], Table35[[#This Row],[I Z-score]]*AJ$185+AJ$186, "")</f>
        <v>21.871165010486283</v>
      </c>
      <c r="AK32" s="1">
        <f ca="1">IF(Table1[[#This Row],[Included?]], Table35[[#This Row],[I OBMod Z-Score]]*AK$185+AK$186, "")</f>
        <v>21.8379871727604</v>
      </c>
      <c r="AL32" s="1">
        <f ca="1">IF(Table1[[#This Row],[Included?]], AVERAGE(Table35[[#This Row],[I Tot Value]:[I OB Z Value]]), "")</f>
        <v>20.564634103309995</v>
      </c>
    </row>
    <row r="33" spans="1:38" hidden="1" x14ac:dyDescent="0.25">
      <c r="A33" s="1">
        <f>(Table1[[#This Row],[R]]-Data!H$188)/(Data!H$187-Data!H$188)</f>
        <v>0.53210227272727273</v>
      </c>
      <c r="B33" s="1">
        <f>(Table1[[#This Row],[HR]]-Data!I$188)/(Data!I$187-Data!I$188)</f>
        <v>0.84887678692988433</v>
      </c>
      <c r="C33" s="1">
        <f>(Table1[[#This Row],[RBI]]-Data!J$188)/(Data!J$187-Data!J$188)</f>
        <v>0.66695328174261959</v>
      </c>
      <c r="D33" s="1">
        <f>(Table1[[#This Row],[SB]]-Data!K$188)/(Data!K$187-Data!K$188)</f>
        <v>0</v>
      </c>
      <c r="E33" s="1">
        <f>(Table1[[#This Row],[OBP]]-Data!L$188)/(Data!L$187-Data!L$188)</f>
        <v>0.46799742146834561</v>
      </c>
      <c r="F33" s="1">
        <f>(Table1[[#This Row],[OB]]-Data!P$188)/(Data!P$187-Data!P$188)</f>
        <v>0.5546435098141631</v>
      </c>
      <c r="G33" s="1">
        <f>SUM(Table3[[#This Row],[R Scale]:[OBP Scale]])</f>
        <v>2.5159297628681219</v>
      </c>
      <c r="H33" s="1">
        <f>SUM(Table3[[#This Row],[R Scale]:[SB Scale]],Table3[[#This Row],[OB Scale]])</f>
        <v>2.6025758512139392</v>
      </c>
      <c r="I33" s="1">
        <f>Table3[[#This Row],[R Scale]]*Data!B$192+Table3[[#This Row],[HR Scale]]*Data!C$192+Table3[[#This Row],[RBI Scale]]*Data!D$192+Table3[[#This Row],[SB Scale]]*Data!E$192+Table3[[#This Row],[OBP Scale]]*Data!F$192</f>
        <v>2.6897096762375874</v>
      </c>
      <c r="J33" s="1">
        <f>Table3[[#This Row],[R Scale]]*Data!B$192+Table3[[#This Row],[HR Scale]]*Data!C$192+Table3[[#This Row],[RBI Scale]]*Data!D$192+Table3[[#This Row],[SB Scale]]*Data!E$192+Table3[[#This Row],[OB Scale]]*Data!F$192</f>
        <v>2.7936849822525684</v>
      </c>
      <c r="K3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2.901344564668308</v>
      </c>
      <c r="L3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2.876110398915587</v>
      </c>
      <c r="M33" s="1">
        <f ca="1">Table3[[#This Row],[Tot Scale]]*M$185+M$186</f>
        <v>26.457283916643632</v>
      </c>
      <c r="N33" s="1">
        <f ca="1">Table3[[#This Row],[OB Tot Scale]]*N$185+N$186</f>
        <v>27.395520336015494</v>
      </c>
      <c r="O33" s="1">
        <f ca="1">Table3[[#This Row],[Weighted Scale]]*O$185+O$186</f>
        <v>26.315776988945132</v>
      </c>
      <c r="P33" s="1">
        <f ca="1">Table3[[#This Row],[OB Weighted Scale]]*P$185+P$186</f>
        <v>27.486351680430374</v>
      </c>
      <c r="Q33" s="1">
        <f ca="1">Table3[[#This Row],[Z-score]]*Q$185+Q$186</f>
        <v>22.724615698546618</v>
      </c>
      <c r="R33" s="1">
        <f ca="1">Table3[[#This Row],[OBMod Z-Score]]*R$185+R$186</f>
        <v>22.591449166688808</v>
      </c>
      <c r="S33" s="1">
        <f ca="1">AVERAGE(Table3[[#This Row],[Tot Value]:[OB Z Value]])</f>
        <v>25.495166297878345</v>
      </c>
      <c r="T33" s="1">
        <f>IF(Table1[[#This Row],[Included?]], (Table1[[#This Row],[I R]]-Data!S$188)/(Data!S$187-Data!S$188), "")</f>
        <v>0.40861759425493716</v>
      </c>
      <c r="U33" s="1">
        <f>IF(Table1[[#This Row],[Included?]], (Table1[[#This Row],[I HR]]-Data!T$188)/(Data!T$187-Data!T$188), "")</f>
        <v>0.84887678692988433</v>
      </c>
      <c r="V33" s="1">
        <f>IF(Table1[[#This Row],[Included?]], (Table1[[#This Row],[I RBI]]-Data!U$188)/(Data!U$187-Data!U$188), "")</f>
        <v>0.58080808080808077</v>
      </c>
      <c r="W33" s="1">
        <f>IF(Table1[[#This Row],[Included?]], (Table1[[#This Row],[I SB]]-Data!V$188)/(Data!V$187-Data!V$188), "")</f>
        <v>0</v>
      </c>
      <c r="X33" s="1">
        <f>IF(Table1[[#This Row],[Included?]], (Table1[[#This Row],[I OBP]]-Data!W$188)/(Data!W$187-Data!W$188), "")</f>
        <v>0.36034089272785641</v>
      </c>
      <c r="Y33" s="1">
        <f>IF(Table1[[#This Row],[Included?]], (Table1[[#This Row],[I OB]]-Data!AA$188)/(Data!AA$187-Data!AA$188), "")</f>
        <v>0.31436310855786237</v>
      </c>
      <c r="Z33" s="1">
        <f>IF(Table1[[#This Row],[Included?]], SUM(Table35[[#This Row],[I R Scale]:[I OBP Scale]]), "")</f>
        <v>2.1986433547207587</v>
      </c>
      <c r="AA33" s="1">
        <f>IF(Table1[[#This Row],[Included?]], SUM(Table35[[#This Row],[I R Scale]:[I SB Scale]],Table35[[#This Row],[I OB Scale]]), "")</f>
        <v>2.1526655705507647</v>
      </c>
      <c r="AB3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2.3460113900024524</v>
      </c>
      <c r="AC3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2.2908380489984594</v>
      </c>
      <c r="AD3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0.6696807059861023</v>
      </c>
      <c r="AE3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0.68041646458166116</v>
      </c>
      <c r="AF33" s="1">
        <f ca="1">IF(Table1[[#This Row],[Included?]], Table35[[#This Row],[I Tot Scale]]*AF$185+AF$186, "")</f>
        <v>24.951524569631655</v>
      </c>
      <c r="AG33" s="1">
        <f ca="1">IF(Table1[[#This Row],[Included?]], Table35[[#This Row],[I OB Tot Scale]]*AG$185+AG$186, "")</f>
        <v>24.666775158747384</v>
      </c>
      <c r="AH33" s="1">
        <f ca="1">IF(Table1[[#This Row],[Included?]], Table35[[#This Row],[I Weighted Scale]]*AH$185+AH$186, "")</f>
        <v>24.889665819090418</v>
      </c>
      <c r="AI33" s="1">
        <f ca="1">IF(Table1[[#This Row],[Included?]], Table35[[#This Row],[I OB Weighted Scale]]*AI$185+AI$186, "")</f>
        <v>24.736806922433484</v>
      </c>
      <c r="AJ33" s="1">
        <f ca="1">IF(Table1[[#This Row],[Included?]], Table35[[#This Row],[I Z-score]]*AJ$185+AJ$186, "")</f>
        <v>23.04028240304703</v>
      </c>
      <c r="AK33" s="1">
        <f ca="1">IF(Table1[[#This Row],[Included?]], Table35[[#This Row],[I OBMod Z-Score]]*AK$185+AK$186, "")</f>
        <v>23.0836000124498</v>
      </c>
      <c r="AL33" s="1">
        <f ca="1">IF(Table1[[#This Row],[Included?]], AVERAGE(Table35[[#This Row],[I Tot Value]:[I OB Z Value]]), "")</f>
        <v>24.228109147566631</v>
      </c>
    </row>
    <row r="34" spans="1:38" hidden="1" x14ac:dyDescent="0.25">
      <c r="A34" s="1">
        <f>(Table1[[#This Row],[R]]-Data!H$188)/(Data!H$187-Data!H$188)</f>
        <v>0.52244318181818195</v>
      </c>
      <c r="B34" s="1">
        <f>(Table1[[#This Row],[HR]]-Data!I$188)/(Data!I$187-Data!I$188)</f>
        <v>0.83321987746766502</v>
      </c>
      <c r="C34" s="1">
        <f>(Table1[[#This Row],[RBI]]-Data!J$188)/(Data!J$187-Data!J$188)</f>
        <v>0.69790770994554308</v>
      </c>
      <c r="D34" s="1">
        <f>(Table1[[#This Row],[SB]]-Data!K$188)/(Data!K$187-Data!K$188)</f>
        <v>3.5759096612296107E-2</v>
      </c>
      <c r="E34" s="1">
        <f>(Table1[[#This Row],[OBP]]-Data!L$188)/(Data!L$187-Data!L$188)</f>
        <v>0.47238753608060574</v>
      </c>
      <c r="F34" s="1">
        <f>(Table1[[#This Row],[OB]]-Data!P$188)/(Data!P$187-Data!P$188)</f>
        <v>0.52952400219735896</v>
      </c>
      <c r="G34" s="1">
        <f>SUM(Table3[[#This Row],[R Scale]:[OBP Scale]])</f>
        <v>2.5617174019242919</v>
      </c>
      <c r="H34" s="1">
        <f>SUM(Table3[[#This Row],[R Scale]:[SB Scale]],Table3[[#This Row],[OB Scale]])</f>
        <v>2.6188538680410454</v>
      </c>
      <c r="I34" s="1">
        <f>Table3[[#This Row],[R Scale]]*Data!B$192+Table3[[#This Row],[HR Scale]]*Data!C$192+Table3[[#This Row],[RBI Scale]]*Data!D$192+Table3[[#This Row],[SB Scale]]*Data!E$192+Table3[[#This Row],[OBP Scale]]*Data!F$192</f>
        <v>2.7435321329477036</v>
      </c>
      <c r="J34" s="1">
        <f>Table3[[#This Row],[R Scale]]*Data!B$192+Table3[[#This Row],[HR Scale]]*Data!C$192+Table3[[#This Row],[RBI Scale]]*Data!D$192+Table3[[#This Row],[SB Scale]]*Data!E$192+Table3[[#This Row],[OB Scale]]*Data!F$192</f>
        <v>2.8120958922878074</v>
      </c>
      <c r="K3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3.2082447928249698</v>
      </c>
      <c r="L3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3.1794255334719992</v>
      </c>
      <c r="M34" s="1">
        <f ca="1">Table3[[#This Row],[Tot Scale]]*M$185+M$186</f>
        <v>28.148305800635057</v>
      </c>
      <c r="N34" s="1">
        <f ca="1">Table3[[#This Row],[OB Tot Scale]]*N$185+N$186</f>
        <v>27.98914682292164</v>
      </c>
      <c r="O34" s="1">
        <f ca="1">Table3[[#This Row],[Weighted Scale]]*O$185+O$186</f>
        <v>28.16696063490653</v>
      </c>
      <c r="P34" s="1">
        <f ca="1">Table3[[#This Row],[OB Weighted Scale]]*P$185+P$186</f>
        <v>28.114911693970598</v>
      </c>
      <c r="Q34" s="1">
        <f ca="1">Table3[[#This Row],[Z-score]]*Q$185+Q$186</f>
        <v>24.979645523180704</v>
      </c>
      <c r="R34" s="1">
        <f ca="1">Table3[[#This Row],[OBMod Z-Score]]*R$185+R$186</f>
        <v>24.799738410139323</v>
      </c>
      <c r="S34" s="1">
        <f ca="1">AVERAGE(Table3[[#This Row],[Tot Value]:[OB Z Value]])</f>
        <v>27.033118147625643</v>
      </c>
      <c r="T34" s="1">
        <f>IF(Table1[[#This Row],[Included?]], (Table1[[#This Row],[I R]]-Data!S$188)/(Data!S$187-Data!S$188), "")</f>
        <v>0.39640933572710974</v>
      </c>
      <c r="U34" s="1">
        <f>IF(Table1[[#This Row],[Included?]], (Table1[[#This Row],[I HR]]-Data!T$188)/(Data!T$187-Data!T$188), "")</f>
        <v>0.83321987746766502</v>
      </c>
      <c r="V34" s="1">
        <f>IF(Table1[[#This Row],[Included?]], (Table1[[#This Row],[I RBI]]-Data!U$188)/(Data!U$187-Data!U$188), "")</f>
        <v>0.61976911976911975</v>
      </c>
      <c r="W34" s="1">
        <f>IF(Table1[[#This Row],[Included?]], (Table1[[#This Row],[I SB]]-Data!V$188)/(Data!V$187-Data!V$188), "")</f>
        <v>3.5759096612296107E-2</v>
      </c>
      <c r="X34" s="1">
        <f>IF(Table1[[#This Row],[Included?]], (Table1[[#This Row],[I OBP]]-Data!W$188)/(Data!W$187-Data!W$188), "")</f>
        <v>0.36561939495138213</v>
      </c>
      <c r="Y34" s="1">
        <f>IF(Table1[[#This Row],[Included?]], (Table1[[#This Row],[I OB]]-Data!AA$188)/(Data!AA$187-Data!AA$188), "")</f>
        <v>0.27569103012973389</v>
      </c>
      <c r="Z34" s="1">
        <f>IF(Table1[[#This Row],[Included?]], SUM(Table35[[#This Row],[I R Scale]:[I OBP Scale]]), "")</f>
        <v>2.2507768245275726</v>
      </c>
      <c r="AA34" s="1">
        <f>IF(Table1[[#This Row],[Included?]], SUM(Table35[[#This Row],[I R Scale]:[I SB Scale]],Table35[[#This Row],[I OB Scale]]), "")</f>
        <v>2.1608484597059245</v>
      </c>
      <c r="AB3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2.4082135938989619</v>
      </c>
      <c r="AC3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2.3002995561129844</v>
      </c>
      <c r="AD3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0.93100158278108436</v>
      </c>
      <c r="AE3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0.95446634687954601</v>
      </c>
      <c r="AF34" s="1">
        <f ca="1">IF(Table1[[#This Row],[Included?]], Table35[[#This Row],[I Tot Scale]]*AF$185+AF$186, "")</f>
        <v>26.055644977673733</v>
      </c>
      <c r="AG34" s="1">
        <f ca="1">IF(Table1[[#This Row],[Included?]], Table35[[#This Row],[I OB Tot Scale]]*AG$185+AG$186, "")</f>
        <v>24.795451458354229</v>
      </c>
      <c r="AH34" s="1">
        <f ca="1">IF(Table1[[#This Row],[Included?]], Table35[[#This Row],[I Weighted Scale]]*AH$185+AH$186, "")</f>
        <v>26.11672119288982</v>
      </c>
      <c r="AI34" s="1">
        <f ca="1">IF(Table1[[#This Row],[Included?]], Table35[[#This Row],[I OB Weighted Scale]]*AI$185+AI$186, "")</f>
        <v>24.875371625122849</v>
      </c>
      <c r="AJ34" s="1">
        <f ca="1">IF(Table1[[#This Row],[Included?]], Table35[[#This Row],[I Z-score]]*AJ$185+AJ$186, "")</f>
        <v>24.226652648100952</v>
      </c>
      <c r="AK34" s="1">
        <f ca="1">IF(Table1[[#This Row],[Included?]], Table35[[#This Row],[I OBMod Z-Score]]*AK$185+AK$186, "")</f>
        <v>24.325574985799587</v>
      </c>
      <c r="AL34" s="1">
        <f ca="1">IF(Table1[[#This Row],[Included?]], AVERAGE(Table35[[#This Row],[I Tot Value]:[I OB Z Value]]), "")</f>
        <v>25.065902814656862</v>
      </c>
    </row>
    <row r="35" spans="1:38" hidden="1" x14ac:dyDescent="0.25">
      <c r="A35" s="1">
        <f>(Table1[[#This Row],[R]]-Data!H$188)/(Data!H$187-Data!H$188)</f>
        <v>0.49801136363636372</v>
      </c>
      <c r="B35" s="1">
        <f>(Table1[[#This Row],[HR]]-Data!I$188)/(Data!I$187-Data!I$188)</f>
        <v>0.51667801225323351</v>
      </c>
      <c r="C35" s="1">
        <f>(Table1[[#This Row],[RBI]]-Data!J$188)/(Data!J$187-Data!J$188)</f>
        <v>0.71567784465462858</v>
      </c>
      <c r="D35" s="1">
        <f>(Table1[[#This Row],[SB]]-Data!K$188)/(Data!K$187-Data!K$188)</f>
        <v>1.411543287327478E-2</v>
      </c>
      <c r="E35" s="1">
        <f>(Table1[[#This Row],[OBP]]-Data!L$188)/(Data!L$187-Data!L$188)</f>
        <v>0.64874491069054052</v>
      </c>
      <c r="F35" s="1">
        <f>(Table1[[#This Row],[OB]]-Data!P$188)/(Data!P$187-Data!P$188)</f>
        <v>0.64458413341349474</v>
      </c>
      <c r="G35" s="1">
        <f>SUM(Table3[[#This Row],[R Scale]:[OBP Scale]])</f>
        <v>2.3932275641080412</v>
      </c>
      <c r="H35" s="1">
        <f>SUM(Table3[[#This Row],[R Scale]:[SB Scale]],Table3[[#This Row],[OB Scale]])</f>
        <v>2.3890667868309956</v>
      </c>
      <c r="I35" s="1">
        <f>Table3[[#This Row],[R Scale]]*Data!B$192+Table3[[#This Row],[HR Scale]]*Data!C$192+Table3[[#This Row],[RBI Scale]]*Data!D$192+Table3[[#This Row],[SB Scale]]*Data!E$192+Table3[[#This Row],[OBP Scale]]*Data!F$192</f>
        <v>2.6163109788134387</v>
      </c>
      <c r="J35" s="1">
        <f>Table3[[#This Row],[R Scale]]*Data!B$192+Table3[[#This Row],[HR Scale]]*Data!C$192+Table3[[#This Row],[RBI Scale]]*Data!D$192+Table3[[#This Row],[SB Scale]]*Data!E$192+Table3[[#This Row],[OB Scale]]*Data!F$192</f>
        <v>2.6113180460809837</v>
      </c>
      <c r="K3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2.5828922533454071</v>
      </c>
      <c r="L3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2.6180570722396856</v>
      </c>
      <c r="M35" s="1">
        <f ca="1">Table3[[#This Row],[Tot Scale]]*M$185+M$186</f>
        <v>21.925665611043286</v>
      </c>
      <c r="N35" s="1">
        <f ca="1">Table3[[#This Row],[OB Tot Scale]]*N$185+N$186</f>
        <v>19.60927480264013</v>
      </c>
      <c r="O35" s="1">
        <f ca="1">Table3[[#This Row],[Weighted Scale]]*O$185+O$186</f>
        <v>23.791283002387374</v>
      </c>
      <c r="P35" s="1">
        <f ca="1">Table3[[#This Row],[OB Weighted Scale]]*P$185+P$186</f>
        <v>21.260230122620527</v>
      </c>
      <c r="Q35" s="1">
        <f ca="1">Table3[[#This Row],[Z-score]]*Q$185+Q$186</f>
        <v>20.384703916564408</v>
      </c>
      <c r="R35" s="1">
        <f ca="1">Table3[[#This Row],[OBMod Z-Score]]*R$185+R$186</f>
        <v>20.712689023814928</v>
      </c>
      <c r="S35" s="1">
        <f ca="1">AVERAGE(Table3[[#This Row],[Tot Value]:[OB Z Value]])</f>
        <v>21.280641079845108</v>
      </c>
      <c r="T35" s="1">
        <f>IF(Table1[[#This Row],[Included?]], (Table1[[#This Row],[I R]]-Data!S$188)/(Data!S$187-Data!S$188), "")</f>
        <v>0.36552962298025143</v>
      </c>
      <c r="U35" s="1">
        <f>IF(Table1[[#This Row],[Included?]], (Table1[[#This Row],[I HR]]-Data!T$188)/(Data!T$187-Data!T$188), "")</f>
        <v>0.51667801225323351</v>
      </c>
      <c r="V35" s="1">
        <f>IF(Table1[[#This Row],[Included?]], (Table1[[#This Row],[I RBI]]-Data!U$188)/(Data!U$187-Data!U$188), "")</f>
        <v>0.64213564213564189</v>
      </c>
      <c r="W35" s="1">
        <f>IF(Table1[[#This Row],[Included?]], (Table1[[#This Row],[I SB]]-Data!V$188)/(Data!V$187-Data!V$188), "")</f>
        <v>1.411543287327478E-2</v>
      </c>
      <c r="X35" s="1">
        <f>IF(Table1[[#This Row],[Included?]], (Table1[[#This Row],[I OBP]]-Data!W$188)/(Data!W$187-Data!W$188), "")</f>
        <v>0.57766460930956354</v>
      </c>
      <c r="Y35" s="1">
        <f>IF(Table1[[#This Row],[Included?]], (Table1[[#This Row],[I OB]]-Data!AA$188)/(Data!AA$187-Data!AA$188), "")</f>
        <v>0.45282883419100872</v>
      </c>
      <c r="Z35" s="1">
        <f>IF(Table1[[#This Row],[Included?]], SUM(Table35[[#This Row],[I R Scale]:[I OBP Scale]]), "")</f>
        <v>2.1161233195519653</v>
      </c>
      <c r="AA35" s="1">
        <f>IF(Table1[[#This Row],[Included?]], SUM(Table35[[#This Row],[I R Scale]:[I SB Scale]],Table35[[#This Row],[I OB Scale]]), "")</f>
        <v>1.9912875444334104</v>
      </c>
      <c r="AB3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2.323530407542981</v>
      </c>
      <c r="AC3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2.1737274774007154</v>
      </c>
      <c r="AD3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0.51074159174614409</v>
      </c>
      <c r="AE3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0.50404069237577009</v>
      </c>
      <c r="AF35" s="1">
        <f ca="1">IF(Table1[[#This Row],[Included?]], Table35[[#This Row],[I Tot Scale]]*AF$185+AF$186, "")</f>
        <v>23.20385545725836</v>
      </c>
      <c r="AG35" s="1">
        <f ca="1">IF(Table1[[#This Row],[Included?]], Table35[[#This Row],[I OB Tot Scale]]*AG$185+AG$186, "")</f>
        <v>22.129098447638107</v>
      </c>
      <c r="AH35" s="1">
        <f ca="1">IF(Table1[[#This Row],[Included?]], Table35[[#This Row],[I Weighted Scale]]*AH$185+AH$186, "")</f>
        <v>24.446186189637409</v>
      </c>
      <c r="AI35" s="1">
        <f ca="1">IF(Table1[[#This Row],[Included?]], Table35[[#This Row],[I OB Weighted Scale]]*AI$185+AI$186, "")</f>
        <v>23.021711077891847</v>
      </c>
      <c r="AJ35" s="1">
        <f ca="1">IF(Table1[[#This Row],[Included?]], Table35[[#This Row],[I Z-score]]*AJ$185+AJ$186, "")</f>
        <v>22.31871496372818</v>
      </c>
      <c r="AK35" s="1">
        <f ca="1">IF(Table1[[#This Row],[Included?]], Table35[[#This Row],[I OBMod Z-Score]]*AK$185+AK$186, "")</f>
        <v>22.284277301021472</v>
      </c>
      <c r="AL35" s="1">
        <f ca="1">IF(Table1[[#This Row],[Included?]], AVERAGE(Table35[[#This Row],[I Tot Value]:[I OB Z Value]]), "")</f>
        <v>22.900640572862567</v>
      </c>
    </row>
    <row r="36" spans="1:38" hidden="1" x14ac:dyDescent="0.25">
      <c r="A36" s="1">
        <f>(Table1[[#This Row],[R]]-Data!H$188)/(Data!H$187-Data!H$188)</f>
        <v>0.79573863636363651</v>
      </c>
      <c r="B36" s="1">
        <f>(Table1[[#This Row],[HR]]-Data!I$188)/(Data!I$187-Data!I$188)</f>
        <v>0.32607215793056504</v>
      </c>
      <c r="C36" s="1">
        <f>(Table1[[#This Row],[RBI]]-Data!J$188)/(Data!J$187-Data!J$188)</f>
        <v>0.32903410719403831</v>
      </c>
      <c r="D36" s="1">
        <f>(Table1[[#This Row],[SB]]-Data!K$188)/(Data!K$187-Data!K$188)</f>
        <v>0.23180677540777914</v>
      </c>
      <c r="E36" s="1">
        <f>(Table1[[#This Row],[OBP]]-Data!L$188)/(Data!L$187-Data!L$188)</f>
        <v>0.29224897339651851</v>
      </c>
      <c r="F36" s="1">
        <f>(Table1[[#This Row],[OB]]-Data!P$188)/(Data!P$187-Data!P$188)</f>
        <v>0.64259136053431565</v>
      </c>
      <c r="G36" s="1">
        <f>SUM(Table3[[#This Row],[R Scale]:[OBP Scale]])</f>
        <v>1.9749006502925375</v>
      </c>
      <c r="H36" s="1">
        <f>SUM(Table3[[#This Row],[R Scale]:[SB Scale]],Table3[[#This Row],[OB Scale]])</f>
        <v>2.3252430374303348</v>
      </c>
      <c r="I36" s="1">
        <f>Table3[[#This Row],[R Scale]]*Data!B$192+Table3[[#This Row],[HR Scale]]*Data!C$192+Table3[[#This Row],[RBI Scale]]*Data!D$192+Table3[[#This Row],[SB Scale]]*Data!E$192+Table3[[#This Row],[OBP Scale]]*Data!F$192</f>
        <v>2.0195834027742849</v>
      </c>
      <c r="J36" s="1">
        <f>Table3[[#This Row],[R Scale]]*Data!B$192+Table3[[#This Row],[HR Scale]]*Data!C$192+Table3[[#This Row],[RBI Scale]]*Data!D$192+Table3[[#This Row],[SB Scale]]*Data!E$192+Table3[[#This Row],[OB Scale]]*Data!F$192</f>
        <v>2.4399942673396415</v>
      </c>
      <c r="K3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0.88797510940780511</v>
      </c>
      <c r="L3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0.66451544432653065</v>
      </c>
      <c r="M36" s="1">
        <f ca="1">Table3[[#This Row],[Tot Scale]]*M$185+M$186</f>
        <v>6.4760818258473165</v>
      </c>
      <c r="N36" s="1">
        <f ca="1">Table3[[#This Row],[OB Tot Scale]]*N$185+N$186</f>
        <v>17.281751214213671</v>
      </c>
      <c r="O36" s="1">
        <f ca="1">Table3[[#This Row],[Weighted Scale]]*O$185+O$186</f>
        <v>3.267278759930619</v>
      </c>
      <c r="P36" s="1">
        <f ca="1">Table3[[#This Row],[OB Weighted Scale]]*P$185+P$186</f>
        <v>15.411128884316554</v>
      </c>
      <c r="Q36" s="1">
        <f ca="1">Table3[[#This Row],[Z-score]]*Q$185+Q$186</f>
        <v>7.9308561862464071</v>
      </c>
      <c r="R36" s="1">
        <f ca="1">Table3[[#This Row],[OBMod Z-Score]]*R$185+R$186</f>
        <v>6.4899072629823067</v>
      </c>
      <c r="S36" s="1">
        <f ca="1">AVERAGE(Table3[[#This Row],[Tot Value]:[OB Z Value]])</f>
        <v>9.4761673555894799</v>
      </c>
      <c r="T36" s="1" t="str">
        <f>IF(Table1[[#This Row],[Included?]], (Table1[[#This Row],[I R]]-Data!S$188)/(Data!S$187-Data!S$188), "")</f>
        <v/>
      </c>
      <c r="U36" s="1" t="str">
        <f>IF(Table1[[#This Row],[Included?]], (Table1[[#This Row],[I HR]]-Data!T$188)/(Data!T$187-Data!T$188), "")</f>
        <v/>
      </c>
      <c r="V36" s="1" t="str">
        <f>IF(Table1[[#This Row],[Included?]], (Table1[[#This Row],[I RBI]]-Data!U$188)/(Data!U$187-Data!U$188), "")</f>
        <v/>
      </c>
      <c r="W36" s="1" t="str">
        <f>IF(Table1[[#This Row],[Included?]], (Table1[[#This Row],[I SB]]-Data!V$188)/(Data!V$187-Data!V$188), "")</f>
        <v/>
      </c>
      <c r="X36" s="1" t="str">
        <f>IF(Table1[[#This Row],[Included?]], (Table1[[#This Row],[I OBP]]-Data!W$188)/(Data!W$187-Data!W$188), "")</f>
        <v/>
      </c>
      <c r="Y36" s="1" t="str">
        <f>IF(Table1[[#This Row],[Included?]], (Table1[[#This Row],[I OB]]-Data!AA$188)/(Data!AA$187-Data!AA$188), "")</f>
        <v/>
      </c>
      <c r="Z36" s="1" t="str">
        <f>IF(Table1[[#This Row],[Included?]], SUM(Table35[[#This Row],[I R Scale]:[I OBP Scale]]), "")</f>
        <v/>
      </c>
      <c r="AA36" s="1" t="str">
        <f>IF(Table1[[#This Row],[Included?]], SUM(Table35[[#This Row],[I R Scale]:[I SB Scale]],Table35[[#This Row],[I OB Scale]]), "")</f>
        <v/>
      </c>
      <c r="AB3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3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36" s="1" t="str">
        <f>IF(Table1[[#This Row],[Included?]], Table35[[#This Row],[I Tot Scale]]*AF$185+AF$186, "")</f>
        <v/>
      </c>
      <c r="AG36" s="1" t="str">
        <f>IF(Table1[[#This Row],[Included?]], Table35[[#This Row],[I OB Tot Scale]]*AG$185+AG$186, "")</f>
        <v/>
      </c>
      <c r="AH36" s="1" t="str">
        <f>IF(Table1[[#This Row],[Included?]], Table35[[#This Row],[I Weighted Scale]]*AH$185+AH$186, "")</f>
        <v/>
      </c>
      <c r="AI36" s="1" t="str">
        <f>IF(Table1[[#This Row],[Included?]], Table35[[#This Row],[I OB Weighted Scale]]*AI$185+AI$186, "")</f>
        <v/>
      </c>
      <c r="AJ36" s="1" t="str">
        <f>IF(Table1[[#This Row],[Included?]], Table35[[#This Row],[I Z-score]]*AJ$185+AJ$186, "")</f>
        <v/>
      </c>
      <c r="AK36" s="1" t="str">
        <f>IF(Table1[[#This Row],[Included?]], Table35[[#This Row],[I OBMod Z-Score]]*AK$185+AK$186, "")</f>
        <v/>
      </c>
      <c r="AL36" s="1" t="str">
        <f>IF(Table1[[#This Row],[Included?]], AVERAGE(Table35[[#This Row],[I Tot Value]:[I OB Z Value]]), "")</f>
        <v/>
      </c>
    </row>
    <row r="37" spans="1:38" hidden="1" x14ac:dyDescent="0.25">
      <c r="A37" s="1">
        <f>(Table1[[#This Row],[R]]-Data!H$188)/(Data!H$187-Data!H$188)</f>
        <v>0.58806818181818199</v>
      </c>
      <c r="B37" s="1">
        <f>(Table1[[#This Row],[HR]]-Data!I$188)/(Data!I$187-Data!I$188)</f>
        <v>0.32675289312457456</v>
      </c>
      <c r="C37" s="1">
        <f>(Table1[[#This Row],[RBI]]-Data!J$188)/(Data!J$187-Data!J$188)</f>
        <v>0.69504155918601318</v>
      </c>
      <c r="D37" s="1">
        <f>(Table1[[#This Row],[SB]]-Data!K$188)/(Data!K$187-Data!K$188)</f>
        <v>0.10759096612296107</v>
      </c>
      <c r="E37" s="1">
        <f>(Table1[[#This Row],[OBP]]-Data!L$188)/(Data!L$187-Data!L$188)</f>
        <v>0.36697427981078173</v>
      </c>
      <c r="F37" s="1">
        <f>(Table1[[#This Row],[OB]]-Data!P$188)/(Data!P$187-Data!P$188)</f>
        <v>0.64324836444365763</v>
      </c>
      <c r="G37" s="1">
        <f>SUM(Table3[[#This Row],[R Scale]:[OBP Scale]])</f>
        <v>2.0844278800625125</v>
      </c>
      <c r="H37" s="1">
        <f>SUM(Table3[[#This Row],[R Scale]:[SB Scale]],Table3[[#This Row],[OB Scale]])</f>
        <v>2.3607019646953882</v>
      </c>
      <c r="I37" s="1">
        <f>Table3[[#This Row],[R Scale]]*Data!B$192+Table3[[#This Row],[HR Scale]]*Data!C$192+Table3[[#This Row],[RBI Scale]]*Data!D$192+Table3[[#This Row],[SB Scale]]*Data!E$192+Table3[[#This Row],[OBP Scale]]*Data!F$192</f>
        <v>2.2380242296800534</v>
      </c>
      <c r="J37" s="1">
        <f>Table3[[#This Row],[R Scale]]*Data!B$192+Table3[[#This Row],[HR Scale]]*Data!C$192+Table3[[#This Row],[RBI Scale]]*Data!D$192+Table3[[#This Row],[SB Scale]]*Data!E$192+Table3[[#This Row],[OB Scale]]*Data!F$192</f>
        <v>2.5695531312395046</v>
      </c>
      <c r="K3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1.1677802349656845</v>
      </c>
      <c r="L3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1.0566994300386485</v>
      </c>
      <c r="M37" s="1">
        <f ca="1">Table3[[#This Row],[Tot Scale]]*M$185+M$186</f>
        <v>10.521124248907711</v>
      </c>
      <c r="N37" s="1">
        <f ca="1">Table3[[#This Row],[OB Tot Scale]]*N$185+N$186</f>
        <v>18.574866871076907</v>
      </c>
      <c r="O37" s="1">
        <f ca="1">Table3[[#This Row],[Weighted Scale]]*O$185+O$186</f>
        <v>10.780389663733715</v>
      </c>
      <c r="P37" s="1">
        <f ca="1">Table3[[#This Row],[OB Weighted Scale]]*P$185+P$186</f>
        <v>19.83434974038957</v>
      </c>
      <c r="Q37" s="1">
        <f ca="1">Table3[[#This Row],[Z-score]]*Q$185+Q$186</f>
        <v>9.9867976464672061</v>
      </c>
      <c r="R37" s="1">
        <f ca="1">Table3[[#This Row],[OBMod Z-Score]]*R$185+R$186</f>
        <v>9.3452071752936305</v>
      </c>
      <c r="S37" s="1">
        <f ca="1">AVERAGE(Table3[[#This Row],[Tot Value]:[OB Z Value]])</f>
        <v>13.173789224311458</v>
      </c>
      <c r="T37" s="1">
        <f>IF(Table1[[#This Row],[Included?]], (Table1[[#This Row],[I R]]-Data!S$188)/(Data!S$187-Data!S$188), "")</f>
        <v>0.47935368043087989</v>
      </c>
      <c r="U37" s="1">
        <f>IF(Table1[[#This Row],[Included?]], (Table1[[#This Row],[I HR]]-Data!T$188)/(Data!T$187-Data!T$188), "")</f>
        <v>0.32675289312457456</v>
      </c>
      <c r="V37" s="1">
        <f>IF(Table1[[#This Row],[Included?]], (Table1[[#This Row],[I RBI]]-Data!U$188)/(Data!U$187-Data!U$188), "")</f>
        <v>0.61616161616161624</v>
      </c>
      <c r="W37" s="1">
        <f>IF(Table1[[#This Row],[Included?]], (Table1[[#This Row],[I SB]]-Data!V$188)/(Data!V$187-Data!V$188), "")</f>
        <v>0.10759096612296107</v>
      </c>
      <c r="X37" s="1">
        <f>IF(Table1[[#This Row],[Included?]], (Table1[[#This Row],[I OBP]]-Data!W$188)/(Data!W$187-Data!W$188), "")</f>
        <v>0.23887461565668308</v>
      </c>
      <c r="Y37" s="1">
        <f>IF(Table1[[#This Row],[Included?]], (Table1[[#This Row],[I OB]]-Data!AA$188)/(Data!AA$187-Data!AA$188), "")</f>
        <v>0.45077238614467646</v>
      </c>
      <c r="Z37" s="1">
        <f>IF(Table1[[#This Row],[Included?]], SUM(Table35[[#This Row],[I R Scale]:[I OBP Scale]]), "")</f>
        <v>1.7687337714967148</v>
      </c>
      <c r="AA37" s="1">
        <f>IF(Table1[[#This Row],[Included?]], SUM(Table35[[#This Row],[I R Scale]:[I SB Scale]],Table35[[#This Row],[I OB Scale]]), "")</f>
        <v>1.9806315419847083</v>
      </c>
      <c r="AB3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1.8918056498172866</v>
      </c>
      <c r="AC3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2.1460829744028787</v>
      </c>
      <c r="AD3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-1.2313173360814256</v>
      </c>
      <c r="AE3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-1.3679237804514113</v>
      </c>
      <c r="AF37" s="1">
        <f ca="1">IF(Table1[[#This Row],[Included?]], Table35[[#This Row],[I Tot Scale]]*AF$185+AF$186, "")</f>
        <v>15.846587833030814</v>
      </c>
      <c r="AG37" s="1">
        <f ca="1">IF(Table1[[#This Row],[Included?]], Table35[[#This Row],[I OB Tot Scale]]*AG$185+AG$186, "")</f>
        <v>21.961532330377935</v>
      </c>
      <c r="AH37" s="1">
        <f ca="1">IF(Table1[[#This Row],[Included?]], Table35[[#This Row],[I Weighted Scale]]*AH$185+AH$186, "")</f>
        <v>15.92960396610485</v>
      </c>
      <c r="AI37" s="1">
        <f ca="1">IF(Table1[[#This Row],[Included?]], Table35[[#This Row],[I OB Weighted Scale]]*AI$185+AI$186, "")</f>
        <v>22.616854611313709</v>
      </c>
      <c r="AJ37" s="1">
        <f ca="1">IF(Table1[[#This Row],[Included?]], Table35[[#This Row],[I Z-score]]*AJ$185+AJ$186, "")</f>
        <v>14.409944327210663</v>
      </c>
      <c r="AK37" s="1">
        <f ca="1">IF(Table1[[#This Row],[Included?]], Table35[[#This Row],[I OBMod Z-Score]]*AK$185+AK$186, "")</f>
        <v>13.8006647310874</v>
      </c>
      <c r="AL37" s="1">
        <f ca="1">IF(Table1[[#This Row],[Included?]], AVERAGE(Table35[[#This Row],[I Tot Value]:[I OB Z Value]]), "")</f>
        <v>17.427531299854227</v>
      </c>
    </row>
    <row r="38" spans="1:38" hidden="1" x14ac:dyDescent="0.25">
      <c r="A38" s="1">
        <f>(Table1[[#This Row],[R]]-Data!H$188)/(Data!H$187-Data!H$188)</f>
        <v>0.4622159090909092</v>
      </c>
      <c r="B38" s="1">
        <f>(Table1[[#This Row],[HR]]-Data!I$188)/(Data!I$187-Data!I$188)</f>
        <v>0.7726344452008167</v>
      </c>
      <c r="C38" s="1">
        <f>(Table1[[#This Row],[RBI]]-Data!J$188)/(Data!J$187-Data!J$188)</f>
        <v>0.62654055603324732</v>
      </c>
      <c r="D38" s="1">
        <f>(Table1[[#This Row],[SB]]-Data!K$188)/(Data!K$187-Data!K$188)</f>
        <v>3.4190715181932244E-2</v>
      </c>
      <c r="E38" s="1">
        <f>(Table1[[#This Row],[OBP]]-Data!L$188)/(Data!L$187-Data!L$188)</f>
        <v>0.61996169634610943</v>
      </c>
      <c r="F38" s="1">
        <f>(Table1[[#This Row],[OB]]-Data!P$188)/(Data!P$187-Data!P$188)</f>
        <v>0.58909643705587467</v>
      </c>
      <c r="G38" s="1">
        <f>SUM(Table3[[#This Row],[R Scale]:[OBP Scale]])</f>
        <v>2.515543321853015</v>
      </c>
      <c r="H38" s="1">
        <f>SUM(Table3[[#This Row],[R Scale]:[SB Scale]],Table3[[#This Row],[OB Scale]])</f>
        <v>2.4846780625627805</v>
      </c>
      <c r="I38" s="1">
        <f>Table3[[#This Row],[R Scale]]*Data!B$192+Table3[[#This Row],[HR Scale]]*Data!C$192+Table3[[#This Row],[RBI Scale]]*Data!D$192+Table3[[#This Row],[SB Scale]]*Data!E$192+Table3[[#This Row],[OBP Scale]]*Data!F$192</f>
        <v>2.7186221814197951</v>
      </c>
      <c r="J38" s="1">
        <f>Table3[[#This Row],[R Scale]]*Data!B$192+Table3[[#This Row],[HR Scale]]*Data!C$192+Table3[[#This Row],[RBI Scale]]*Data!D$192+Table3[[#This Row],[SB Scale]]*Data!E$192+Table3[[#This Row],[OB Scale]]*Data!F$192</f>
        <v>2.6815838702715133</v>
      </c>
      <c r="K3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3.0918657162751764</v>
      </c>
      <c r="L3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3.0774899631226482</v>
      </c>
      <c r="M38" s="1">
        <f ca="1">Table3[[#This Row],[Tot Scale]]*M$185+M$186</f>
        <v>26.443011937854422</v>
      </c>
      <c r="N38" s="1">
        <f ca="1">Table3[[#This Row],[OB Tot Scale]]*N$185+N$186</f>
        <v>23.096025450714265</v>
      </c>
      <c r="O38" s="1">
        <f ca="1">Table3[[#This Row],[Weighted Scale]]*O$185+O$186</f>
        <v>27.310201250277984</v>
      </c>
      <c r="P38" s="1">
        <f ca="1">Table3[[#This Row],[OB Weighted Scale]]*P$185+P$186</f>
        <v>23.659149422105358</v>
      </c>
      <c r="Q38" s="1">
        <f ca="1">Table3[[#This Row],[Z-score]]*Q$185+Q$186</f>
        <v>24.124519770556002</v>
      </c>
      <c r="R38" s="1">
        <f ca="1">Table3[[#This Row],[OBMod Z-Score]]*R$185+R$186</f>
        <v>24.057595345446323</v>
      </c>
      <c r="S38" s="1">
        <f ca="1">AVERAGE(Table3[[#This Row],[Tot Value]:[OB Z Value]])</f>
        <v>24.781750529492395</v>
      </c>
      <c r="T38" s="1">
        <f>IF(Table1[[#This Row],[Included?]], (Table1[[#This Row],[I R]]-Data!S$188)/(Data!S$187-Data!S$188), "")</f>
        <v>0.32028725314183137</v>
      </c>
      <c r="U38" s="1">
        <f>IF(Table1[[#This Row],[Included?]], (Table1[[#This Row],[I HR]]-Data!T$188)/(Data!T$187-Data!T$188), "")</f>
        <v>0.7726344452008167</v>
      </c>
      <c r="V38" s="1">
        <f>IF(Table1[[#This Row],[Included?]], (Table1[[#This Row],[I RBI]]-Data!U$188)/(Data!U$187-Data!U$188), "")</f>
        <v>0.52994227994227994</v>
      </c>
      <c r="W38" s="1">
        <f>IF(Table1[[#This Row],[Included?]], (Table1[[#This Row],[I SB]]-Data!V$188)/(Data!V$187-Data!V$188), "")</f>
        <v>3.4190715181932244E-2</v>
      </c>
      <c r="X38" s="1">
        <f>IF(Table1[[#This Row],[Included?]], (Table1[[#This Row],[I OBP]]-Data!W$188)/(Data!W$187-Data!W$188), "")</f>
        <v>0.54305679736474577</v>
      </c>
      <c r="Y38" s="1">
        <f>IF(Table1[[#This Row],[Included?]], (Table1[[#This Row],[I OB]]-Data!AA$188)/(Data!AA$187-Data!AA$188), "")</f>
        <v>0.36740420811662766</v>
      </c>
      <c r="Z38" s="1">
        <f>IF(Table1[[#This Row],[Included?]], SUM(Table35[[#This Row],[I R Scale]:[I OBP Scale]]), "")</f>
        <v>2.2001114908316062</v>
      </c>
      <c r="AA38" s="1">
        <f>IF(Table1[[#This Row],[Included?]], SUM(Table35[[#This Row],[I R Scale]:[I SB Scale]],Table35[[#This Row],[I OB Scale]]), "")</f>
        <v>2.024458901583488</v>
      </c>
      <c r="AB3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2.3826825809788281</v>
      </c>
      <c r="AC3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2.1718994738810862</v>
      </c>
      <c r="AD3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0.89469548969880175</v>
      </c>
      <c r="AE3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0.87236784984917359</v>
      </c>
      <c r="AF38" s="1">
        <f ca="1">IF(Table1[[#This Row],[Included?]], Table35[[#This Row],[I Tot Scale]]*AF$185+AF$186, "")</f>
        <v>24.982617820239707</v>
      </c>
      <c r="AG38" s="1">
        <f ca="1">IF(Table1[[#This Row],[Included?]], Table35[[#This Row],[I OB Tot Scale]]*AG$185+AG$186, "")</f>
        <v>22.650719529150315</v>
      </c>
      <c r="AH38" s="1">
        <f ca="1">IF(Table1[[#This Row],[Included?]], Table35[[#This Row],[I Weighted Scale]]*AH$185+AH$186, "")</f>
        <v>25.61307398041621</v>
      </c>
      <c r="AI38" s="1">
        <f ca="1">IF(Table1[[#This Row],[Included?]], Table35[[#This Row],[I OB Weighted Scale]]*AI$185+AI$186, "")</f>
        <v>22.994939786474259</v>
      </c>
      <c r="AJ38" s="1">
        <f ca="1">IF(Table1[[#This Row],[Included?]], Table35[[#This Row],[I Z-score]]*AJ$185+AJ$186, "")</f>
        <v>24.061826672177222</v>
      </c>
      <c r="AK38" s="1">
        <f ca="1">IF(Table1[[#This Row],[Included?]], Table35[[#This Row],[I OBMod Z-Score]]*AK$185+AK$186, "")</f>
        <v>23.953510317110833</v>
      </c>
      <c r="AL38" s="1">
        <f ca="1">IF(Table1[[#This Row],[Included?]], AVERAGE(Table35[[#This Row],[I Tot Value]:[I OB Z Value]]), "")</f>
        <v>24.042781350928092</v>
      </c>
    </row>
    <row r="39" spans="1:38" hidden="1" x14ac:dyDescent="0.25">
      <c r="A39" s="1">
        <f>(Table1[[#This Row],[R]]-Data!H$188)/(Data!H$187-Data!H$188)</f>
        <v>0.73068181818181832</v>
      </c>
      <c r="B39" s="1">
        <f>(Table1[[#This Row],[HR]]-Data!I$188)/(Data!I$187-Data!I$188)</f>
        <v>0.28386657590197412</v>
      </c>
      <c r="C39" s="1">
        <f>(Table1[[#This Row],[RBI]]-Data!J$188)/(Data!J$187-Data!J$188)</f>
        <v>0.26483233018056757</v>
      </c>
      <c r="D39" s="1">
        <f>(Table1[[#This Row],[SB]]-Data!K$188)/(Data!K$187-Data!K$188)</f>
        <v>0.49498117942283548</v>
      </c>
      <c r="E39" s="1">
        <f>(Table1[[#This Row],[OBP]]-Data!L$188)/(Data!L$187-Data!L$188)</f>
        <v>0.36169801949880115</v>
      </c>
      <c r="F39" s="1">
        <f>(Table1[[#This Row],[OB]]-Data!P$188)/(Data!P$187-Data!P$188)</f>
        <v>0.57522190123925832</v>
      </c>
      <c r="G39" s="1">
        <f>SUM(Table3[[#This Row],[R Scale]:[OBP Scale]])</f>
        <v>2.1360599231859969</v>
      </c>
      <c r="H39" s="1">
        <f>SUM(Table3[[#This Row],[R Scale]:[SB Scale]],Table3[[#This Row],[OB Scale]])</f>
        <v>2.3495838049264539</v>
      </c>
      <c r="I39" s="1">
        <f>Table3[[#This Row],[R Scale]]*Data!B$192+Table3[[#This Row],[HR Scale]]*Data!C$192+Table3[[#This Row],[RBI Scale]]*Data!D$192+Table3[[#This Row],[SB Scale]]*Data!E$192+Table3[[#This Row],[OBP Scale]]*Data!F$192</f>
        <v>2.1882978113036882</v>
      </c>
      <c r="J39" s="1">
        <f>Table3[[#This Row],[R Scale]]*Data!B$192+Table3[[#This Row],[HR Scale]]*Data!C$192+Table3[[#This Row],[RBI Scale]]*Data!D$192+Table3[[#This Row],[SB Scale]]*Data!E$192+Table3[[#This Row],[OB Scale]]*Data!F$192</f>
        <v>2.4445264693922368</v>
      </c>
      <c r="K3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2.2816778335680614</v>
      </c>
      <c r="L3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2.1950070344551396</v>
      </c>
      <c r="M39" s="1">
        <f ca="1">Table3[[#This Row],[Tot Scale]]*M$185+M$186</f>
        <v>12.427990744686014</v>
      </c>
      <c r="N39" s="1">
        <f ca="1">Table3[[#This Row],[OB Tot Scale]]*N$185+N$186</f>
        <v>18.169409978225971</v>
      </c>
      <c r="O39" s="1">
        <f ca="1">Table3[[#This Row],[Weighted Scale]]*O$185+O$186</f>
        <v>9.0700862309797827</v>
      </c>
      <c r="P39" s="1">
        <f ca="1">Table3[[#This Row],[OB Weighted Scale]]*P$185+P$186</f>
        <v>15.565861104402018</v>
      </c>
      <c r="Q39" s="1">
        <f ca="1">Table3[[#This Row],[Z-score]]*Q$185+Q$186</f>
        <v>18.17145205850116</v>
      </c>
      <c r="R39" s="1">
        <f ca="1">Table3[[#This Row],[OBMod Z-Score]]*R$185+R$186</f>
        <v>17.632668472756016</v>
      </c>
      <c r="S39" s="1">
        <f ca="1">AVERAGE(Table3[[#This Row],[Tot Value]:[OB Z Value]])</f>
        <v>15.172911431591828</v>
      </c>
      <c r="T39" s="1">
        <f>IF(Table1[[#This Row],[Included?]], (Table1[[#This Row],[I R]]-Data!S$188)/(Data!S$187-Data!S$188), "")</f>
        <v>0.65960502692998224</v>
      </c>
      <c r="U39" s="1">
        <f>IF(Table1[[#This Row],[Included?]], (Table1[[#This Row],[I HR]]-Data!T$188)/(Data!T$187-Data!T$188), "")</f>
        <v>0.28386657590197412</v>
      </c>
      <c r="V39" s="1">
        <f>IF(Table1[[#This Row],[Included?]], (Table1[[#This Row],[I RBI]]-Data!U$188)/(Data!U$187-Data!U$188), "")</f>
        <v>7.467532467532477E-2</v>
      </c>
      <c r="W39" s="1">
        <f>IF(Table1[[#This Row],[Included?]], (Table1[[#This Row],[I SB]]-Data!V$188)/(Data!V$187-Data!V$188), "")</f>
        <v>0.49498117942283548</v>
      </c>
      <c r="X39" s="1">
        <f>IF(Table1[[#This Row],[Included?]], (Table1[[#This Row],[I OBP]]-Data!W$188)/(Data!W$187-Data!W$188), "")</f>
        <v>0.23253064647854094</v>
      </c>
      <c r="Y39" s="1">
        <f>IF(Table1[[#This Row],[Included?]], (Table1[[#This Row],[I OB]]-Data!AA$188)/(Data!AA$187-Data!AA$188), "")</f>
        <v>0.34604403078197626</v>
      </c>
      <c r="Z39" s="1">
        <f>IF(Table1[[#This Row],[Included?]], SUM(Table35[[#This Row],[I R Scale]:[I OBP Scale]]), "")</f>
        <v>1.7456587534086574</v>
      </c>
      <c r="AA39" s="1">
        <f>IF(Table1[[#This Row],[Included?]], SUM(Table35[[#This Row],[I R Scale]:[I SB Scale]],Table35[[#This Row],[I OB Scale]]), "")</f>
        <v>1.8591721377120927</v>
      </c>
      <c r="AB3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1.7411394449464324</v>
      </c>
      <c r="AC3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1.8773555061105547</v>
      </c>
      <c r="AD3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-0.56682432560639762</v>
      </c>
      <c r="AE3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-0.627405911789231</v>
      </c>
      <c r="AF39" s="1">
        <f ca="1">IF(Table1[[#This Row],[Included?]], Table35[[#This Row],[I Tot Scale]]*AF$185+AF$186, "")</f>
        <v>15.357888376014539</v>
      </c>
      <c r="AG39" s="1">
        <f ca="1">IF(Table1[[#This Row],[Included?]], Table35[[#This Row],[I OB Tot Scale]]*AG$185+AG$186, "")</f>
        <v>20.05157774124644</v>
      </c>
      <c r="AH39" s="1">
        <f ca="1">IF(Table1[[#This Row],[Included?]], Table35[[#This Row],[I Weighted Scale]]*AH$185+AH$186, "")</f>
        <v>12.95742991509637</v>
      </c>
      <c r="AI39" s="1">
        <f ca="1">IF(Table1[[#This Row],[Included?]], Table35[[#This Row],[I OB Weighted Scale]]*AI$185+AI$186, "")</f>
        <v>18.681314395820142</v>
      </c>
      <c r="AJ39" s="1">
        <f ca="1">IF(Table1[[#This Row],[Included?]], Table35[[#This Row],[I Z-score]]*AJ$185+AJ$186, "")</f>
        <v>17.426675119417368</v>
      </c>
      <c r="AK39" s="1">
        <f ca="1">IF(Table1[[#This Row],[Included?]], Table35[[#This Row],[I OBMod Z-Score]]*AK$185+AK$186, "")</f>
        <v>17.156640119528031</v>
      </c>
      <c r="AL39" s="1">
        <f ca="1">IF(Table1[[#This Row],[Included?]], AVERAGE(Table35[[#This Row],[I Tot Value]:[I OB Z Value]]), "")</f>
        <v>16.938587611187149</v>
      </c>
    </row>
    <row r="40" spans="1:38" hidden="1" x14ac:dyDescent="0.25">
      <c r="A40" s="1">
        <f>(Table1[[#This Row],[R]]-Data!H$188)/(Data!H$187-Data!H$188)</f>
        <v>0.49971590909090913</v>
      </c>
      <c r="B40" s="1">
        <f>(Table1[[#This Row],[HR]]-Data!I$188)/(Data!I$187-Data!I$188)</f>
        <v>0.42069434989788962</v>
      </c>
      <c r="C40" s="1">
        <f>(Table1[[#This Row],[RBI]]-Data!J$188)/(Data!J$187-Data!J$188)</f>
        <v>0.68099742046431633</v>
      </c>
      <c r="D40" s="1">
        <f>(Table1[[#This Row],[SB]]-Data!K$188)/(Data!K$187-Data!K$188)</f>
        <v>0.10288582183186948</v>
      </c>
      <c r="E40" s="1">
        <f>(Table1[[#This Row],[OBP]]-Data!L$188)/(Data!L$187-Data!L$188)</f>
        <v>0.43699605464014557</v>
      </c>
      <c r="F40" s="1">
        <f>(Table1[[#This Row],[OB]]-Data!P$188)/(Data!P$187-Data!P$188)</f>
        <v>0.63954728455812004</v>
      </c>
      <c r="G40" s="1">
        <f>SUM(Table3[[#This Row],[R Scale]:[OBP Scale]])</f>
        <v>2.1412895559251304</v>
      </c>
      <c r="H40" s="1">
        <f>SUM(Table3[[#This Row],[R Scale]:[SB Scale]],Table3[[#This Row],[OB Scale]])</f>
        <v>2.3438407858431045</v>
      </c>
      <c r="I40" s="1">
        <f>Table3[[#This Row],[R Scale]]*Data!B$192+Table3[[#This Row],[HR Scale]]*Data!C$192+Table3[[#This Row],[RBI Scale]]*Data!D$192+Table3[[#This Row],[SB Scale]]*Data!E$192+Table3[[#This Row],[OBP Scale]]*Data!F$192</f>
        <v>2.3149166600369315</v>
      </c>
      <c r="J40" s="1">
        <f>Table3[[#This Row],[R Scale]]*Data!B$192+Table3[[#This Row],[HR Scale]]*Data!C$192+Table3[[#This Row],[RBI Scale]]*Data!D$192+Table3[[#This Row],[SB Scale]]*Data!E$192+Table3[[#This Row],[OB Scale]]*Data!F$192</f>
        <v>2.5579781359385012</v>
      </c>
      <c r="K4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1.4264959011767917</v>
      </c>
      <c r="L4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1.3903983343666055</v>
      </c>
      <c r="M40" s="1">
        <f ca="1">Table3[[#This Row],[Tot Scale]]*M$185+M$186</f>
        <v>12.621130718473793</v>
      </c>
      <c r="N40" s="1">
        <f ca="1">Table3[[#This Row],[OB Tot Scale]]*N$185+N$186</f>
        <v>17.959973639703051</v>
      </c>
      <c r="O40" s="1">
        <f ca="1">Table3[[#This Row],[Weighted Scale]]*O$185+O$186</f>
        <v>13.425048014085917</v>
      </c>
      <c r="P40" s="1">
        <f ca="1">Table3[[#This Row],[OB Weighted Scale]]*P$185+P$186</f>
        <v>19.43917214247611</v>
      </c>
      <c r="Q40" s="1">
        <f ca="1">Table3[[#This Row],[Z-score]]*Q$185+Q$186</f>
        <v>11.887778779359401</v>
      </c>
      <c r="R40" s="1">
        <f ca="1">Table3[[#This Row],[OBMod Z-Score]]*R$185+R$186</f>
        <v>11.774705795783987</v>
      </c>
      <c r="S40" s="1">
        <f ca="1">AVERAGE(Table3[[#This Row],[Tot Value]:[OB Z Value]])</f>
        <v>14.517968181647042</v>
      </c>
      <c r="T40" s="1">
        <f>IF(Table1[[#This Row],[Included?]], (Table1[[#This Row],[I R]]-Data!S$188)/(Data!S$187-Data!S$188), "")</f>
        <v>0.36768402154398566</v>
      </c>
      <c r="U40" s="1">
        <f>IF(Table1[[#This Row],[Included?]], (Table1[[#This Row],[I HR]]-Data!T$188)/(Data!T$187-Data!T$188), "")</f>
        <v>0.42069434989788962</v>
      </c>
      <c r="V40" s="1">
        <f>IF(Table1[[#This Row],[Included?]], (Table1[[#This Row],[I RBI]]-Data!U$188)/(Data!U$187-Data!U$188), "")</f>
        <v>0.5984848484848484</v>
      </c>
      <c r="W40" s="1">
        <f>IF(Table1[[#This Row],[Included?]], (Table1[[#This Row],[I SB]]-Data!V$188)/(Data!V$187-Data!V$188), "")</f>
        <v>0.10288582183186948</v>
      </c>
      <c r="X40" s="1">
        <f>IF(Table1[[#This Row],[Included?]], (Table1[[#This Row],[I OBP]]-Data!W$188)/(Data!W$187-Data!W$188), "")</f>
        <v>0.32306606093235085</v>
      </c>
      <c r="Y40" s="1">
        <f>IF(Table1[[#This Row],[Included?]], (Table1[[#This Row],[I OB]]-Data!AA$188)/(Data!AA$187-Data!AA$188), "")</f>
        <v>0.44507448578031872</v>
      </c>
      <c r="Z40" s="1">
        <f>IF(Table1[[#This Row],[Included?]], SUM(Table35[[#This Row],[I R Scale]:[I OBP Scale]]), "")</f>
        <v>1.812815102690944</v>
      </c>
      <c r="AA40" s="1">
        <f>IF(Table1[[#This Row],[Included?]], SUM(Table35[[#This Row],[I R Scale]:[I SB Scale]],Table35[[#This Row],[I OB Scale]]), "")</f>
        <v>1.9348235275389118</v>
      </c>
      <c r="AB4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1.9603568824199853</v>
      </c>
      <c r="AC4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2.1067669922375467</v>
      </c>
      <c r="AD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-0.99557367085721027</v>
      </c>
      <c r="AE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-1.0516698257148771</v>
      </c>
      <c r="AF40" s="1">
        <f ca="1">IF(Table1[[#This Row],[Included?]], Table35[[#This Row],[I Tot Scale]]*AF$185+AF$186, "")</f>
        <v>16.780174213633646</v>
      </c>
      <c r="AG40" s="1">
        <f ca="1">IF(Table1[[#This Row],[Included?]], Table35[[#This Row],[I OB Tot Scale]]*AG$185+AG$186, "")</f>
        <v>21.24119924514909</v>
      </c>
      <c r="AH40" s="1">
        <f ca="1">IF(Table1[[#This Row],[Included?]], Table35[[#This Row],[I Weighted Scale]]*AH$185+AH$186, "")</f>
        <v>17.28190586340844</v>
      </c>
      <c r="AI40" s="1">
        <f ca="1">IF(Table1[[#This Row],[Included?]], Table35[[#This Row],[I OB Weighted Scale]]*AI$185+AI$186, "")</f>
        <v>22.041068183872746</v>
      </c>
      <c r="AJ40" s="1">
        <f ca="1">IF(Table1[[#This Row],[Included?]], Table35[[#This Row],[I Z-score]]*AJ$185+AJ$186, "")</f>
        <v>15.480196628948434</v>
      </c>
      <c r="AK40" s="1">
        <f ca="1">IF(Table1[[#This Row],[Included?]], Table35[[#This Row],[I OBMod Z-Score]]*AK$185+AK$186, "")</f>
        <v>15.233905620345405</v>
      </c>
      <c r="AL40" s="1">
        <f ca="1">IF(Table1[[#This Row],[Included?]], AVERAGE(Table35[[#This Row],[I Tot Value]:[I OB Z Value]]), "")</f>
        <v>18.009741625892961</v>
      </c>
    </row>
    <row r="41" spans="1:38" hidden="1" x14ac:dyDescent="0.25">
      <c r="A41" s="1">
        <f>(Table1[[#This Row],[R]]-Data!H$188)/(Data!H$187-Data!H$188)</f>
        <v>0.48352272727272733</v>
      </c>
      <c r="B41" s="1">
        <f>(Table1[[#This Row],[HR]]-Data!I$188)/(Data!I$187-Data!I$188)</f>
        <v>0.46766507828454723</v>
      </c>
      <c r="C41" s="1">
        <f>(Table1[[#This Row],[RBI]]-Data!J$188)/(Data!J$187-Data!J$188)</f>
        <v>0.67010604757810255</v>
      </c>
      <c r="D41" s="1">
        <f>(Table1[[#This Row],[SB]]-Data!K$188)/(Data!K$187-Data!K$188)</f>
        <v>1.1292346298619822E-2</v>
      </c>
      <c r="E41" s="1">
        <f>(Table1[[#This Row],[OBP]]-Data!L$188)/(Data!L$187-Data!L$188)</f>
        <v>0.75479981632744242</v>
      </c>
      <c r="F41" s="1">
        <f>(Table1[[#This Row],[OB]]-Data!P$188)/(Data!P$187-Data!P$188)</f>
        <v>0.66280134494139431</v>
      </c>
      <c r="G41" s="1">
        <f>SUM(Table3[[#This Row],[R Scale]:[OBP Scale]])</f>
        <v>2.3873860157614395</v>
      </c>
      <c r="H41" s="1">
        <f>SUM(Table3[[#This Row],[R Scale]:[SB Scale]],Table3[[#This Row],[OB Scale]])</f>
        <v>2.2953875443753913</v>
      </c>
      <c r="I41" s="1">
        <f>Table3[[#This Row],[R Scale]]*Data!B$192+Table3[[#This Row],[HR Scale]]*Data!C$192+Table3[[#This Row],[RBI Scale]]*Data!D$192+Table3[[#This Row],[SB Scale]]*Data!E$192+Table3[[#This Row],[OBP Scale]]*Data!F$192</f>
        <v>2.6240149158152759</v>
      </c>
      <c r="J41" s="1">
        <f>Table3[[#This Row],[R Scale]]*Data!B$192+Table3[[#This Row],[HR Scale]]*Data!C$192+Table3[[#This Row],[RBI Scale]]*Data!D$192+Table3[[#This Row],[SB Scale]]*Data!E$192+Table3[[#This Row],[OB Scale]]*Data!F$192</f>
        <v>2.5136167501520181</v>
      </c>
      <c r="K4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2.6386758109265962</v>
      </c>
      <c r="L4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2.6625237249148261</v>
      </c>
      <c r="M41" s="1">
        <f ca="1">Table3[[#This Row],[Tot Scale]]*M$185+M$186</f>
        <v>21.709926466284614</v>
      </c>
      <c r="N41" s="1">
        <f ca="1">Table3[[#This Row],[OB Tot Scale]]*N$185+N$186</f>
        <v>16.192981516694715</v>
      </c>
      <c r="O41" s="1">
        <f ca="1">Table3[[#This Row],[Weighted Scale]]*O$185+O$186</f>
        <v>24.056254225535525</v>
      </c>
      <c r="P41" s="1">
        <f ca="1">Table3[[#This Row],[OB Weighted Scale]]*P$185+P$186</f>
        <v>17.924646614012588</v>
      </c>
      <c r="Q41" s="1">
        <f ca="1">Table3[[#This Row],[Z-score]]*Q$185+Q$186</f>
        <v>20.794588219438111</v>
      </c>
      <c r="R41" s="1">
        <f ca="1">Table3[[#This Row],[OBMod Z-Score]]*R$185+R$186</f>
        <v>21.036428987989051</v>
      </c>
      <c r="S41" s="1">
        <f ca="1">AVERAGE(Table3[[#This Row],[Tot Value]:[OB Z Value]])</f>
        <v>20.285804338325768</v>
      </c>
      <c r="T41" s="1">
        <f>IF(Table1[[#This Row],[Included?]], (Table1[[#This Row],[I R]]-Data!S$188)/(Data!S$187-Data!S$188), "")</f>
        <v>0.34721723518850994</v>
      </c>
      <c r="U41" s="1">
        <f>IF(Table1[[#This Row],[Included?]], (Table1[[#This Row],[I HR]]-Data!T$188)/(Data!T$187-Data!T$188), "")</f>
        <v>0.46766507828454723</v>
      </c>
      <c r="V41" s="1">
        <f>IF(Table1[[#This Row],[Included?]], (Table1[[#This Row],[I RBI]]-Data!U$188)/(Data!U$187-Data!U$188), "")</f>
        <v>0.58477633477633484</v>
      </c>
      <c r="W41" s="1">
        <f>IF(Table1[[#This Row],[Included?]], (Table1[[#This Row],[I SB]]-Data!V$188)/(Data!V$187-Data!V$188), "")</f>
        <v>1.1292346298619822E-2</v>
      </c>
      <c r="X41" s="1">
        <f>IF(Table1[[#This Row],[Included?]], (Table1[[#This Row],[I OBP]]-Data!W$188)/(Data!W$187-Data!W$188), "")</f>
        <v>0.70518088272457224</v>
      </c>
      <c r="Y41" s="1">
        <f>IF(Table1[[#This Row],[Included?]], (Table1[[#This Row],[I OB]]-Data!AA$188)/(Data!AA$187-Data!AA$188), "")</f>
        <v>0.48087466389817418</v>
      </c>
      <c r="Z41" s="1">
        <f>IF(Table1[[#This Row],[Included?]], SUM(Table35[[#This Row],[I R Scale]:[I OBP Scale]]), "")</f>
        <v>2.1161318772725841</v>
      </c>
      <c r="AA41" s="1">
        <f>IF(Table1[[#This Row],[Included?]], SUM(Table35[[#This Row],[I R Scale]:[I SB Scale]],Table35[[#This Row],[I OB Scale]]), "")</f>
        <v>1.8918256584461861</v>
      </c>
      <c r="AB4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2.3394015972539144</v>
      </c>
      <c r="AC4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2.0702341346622366</v>
      </c>
      <c r="AD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0.66017544078439261</v>
      </c>
      <c r="AE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0.61206979867849365</v>
      </c>
      <c r="AF41" s="1">
        <f ca="1">IF(Table1[[#This Row],[Included?]], Table35[[#This Row],[I Tot Scale]]*AF$185+AF$186, "")</f>
        <v>23.204036698867949</v>
      </c>
      <c r="AG41" s="1">
        <f ca="1">IF(Table1[[#This Row],[Included?]], Table35[[#This Row],[I OB Tot Scale]]*AG$185+AG$186, "")</f>
        <v>20.565055821851878</v>
      </c>
      <c r="AH41" s="1">
        <f ca="1">IF(Table1[[#This Row],[Included?]], Table35[[#This Row],[I Weighted Scale]]*AH$185+AH$186, "")</f>
        <v>24.759275234774655</v>
      </c>
      <c r="AI41" s="1">
        <f ca="1">IF(Table1[[#This Row],[Included?]], Table35[[#This Row],[I OB Weighted Scale]]*AI$185+AI$186, "")</f>
        <v>21.506040889907656</v>
      </c>
      <c r="AJ41" s="1">
        <f ca="1">IF(Table1[[#This Row],[Included?]], Table35[[#This Row],[I Z-score]]*AJ$185+AJ$186, "")</f>
        <v>22.997129464234945</v>
      </c>
      <c r="AK41" s="1">
        <f ca="1">IF(Table1[[#This Row],[Included?]], Table35[[#This Row],[I OBMod Z-Score]]*AK$185+AK$186, "")</f>
        <v>22.773857684330988</v>
      </c>
      <c r="AL41" s="1">
        <f ca="1">IF(Table1[[#This Row],[Included?]], AVERAGE(Table35[[#This Row],[I Tot Value]:[I OB Z Value]]), "")</f>
        <v>22.634232632328011</v>
      </c>
    </row>
    <row r="42" spans="1:38" hidden="1" x14ac:dyDescent="0.25">
      <c r="A42" s="1">
        <f>(Table1[[#This Row],[R]]-Data!H$188)/(Data!H$187-Data!H$188)</f>
        <v>0.54971590909090906</v>
      </c>
      <c r="B42" s="1">
        <f>(Table1[[#This Row],[HR]]-Data!I$188)/(Data!I$187-Data!I$188)</f>
        <v>0.61878829135466307</v>
      </c>
      <c r="C42" s="1">
        <f>(Table1[[#This Row],[RBI]]-Data!J$188)/(Data!J$187-Data!J$188)</f>
        <v>0.67010604757810266</v>
      </c>
      <c r="D42" s="1">
        <f>(Table1[[#This Row],[SB]]-Data!K$188)/(Data!K$187-Data!K$188)</f>
        <v>6.0225846925972389E-2</v>
      </c>
      <c r="E42" s="1">
        <f>(Table1[[#This Row],[OBP]]-Data!L$188)/(Data!L$187-Data!L$188)</f>
        <v>0.43583829867009544</v>
      </c>
      <c r="F42" s="1">
        <f>(Table1[[#This Row],[OB]]-Data!P$188)/(Data!P$187-Data!P$188)</f>
        <v>0.55295299042354895</v>
      </c>
      <c r="G42" s="1">
        <f>SUM(Table3[[#This Row],[R Scale]:[OBP Scale]])</f>
        <v>2.3346743936197427</v>
      </c>
      <c r="H42" s="1">
        <f>SUM(Table3[[#This Row],[R Scale]:[SB Scale]],Table3[[#This Row],[OB Scale]])</f>
        <v>2.4517890853731963</v>
      </c>
      <c r="I42" s="1">
        <f>Table3[[#This Row],[R Scale]]*Data!B$192+Table3[[#This Row],[HR Scale]]*Data!C$192+Table3[[#This Row],[RBI Scale]]*Data!D$192+Table3[[#This Row],[SB Scale]]*Data!E$192+Table3[[#This Row],[OBP Scale]]*Data!F$192</f>
        <v>2.5008916719602912</v>
      </c>
      <c r="J42" s="1">
        <f>Table3[[#This Row],[R Scale]]*Data!B$192+Table3[[#This Row],[HR Scale]]*Data!C$192+Table3[[#This Row],[RBI Scale]]*Data!D$192+Table3[[#This Row],[SB Scale]]*Data!E$192+Table3[[#This Row],[OB Scale]]*Data!F$192</f>
        <v>2.6414293020644357</v>
      </c>
      <c r="K4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2.2149089191195586</v>
      </c>
      <c r="L4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2.1803364291533831</v>
      </c>
      <c r="M42" s="1">
        <f ca="1">Table3[[#This Row],[Tot Scale]]*M$185+M$186</f>
        <v>19.763189128005436</v>
      </c>
      <c r="N42" s="1">
        <f ca="1">Table3[[#This Row],[OB Tot Scale]]*N$185+N$186</f>
        <v>21.896630696773585</v>
      </c>
      <c r="O42" s="1">
        <f ca="1">Table3[[#This Row],[Weighted Scale]]*O$185+O$186</f>
        <v>19.821521190407722</v>
      </c>
      <c r="P42" s="1">
        <f ca="1">Table3[[#This Row],[OB Weighted Scale]]*P$185+P$186</f>
        <v>22.288247283773629</v>
      </c>
      <c r="Q42" s="1">
        <f ca="1">Table3[[#This Row],[Z-score]]*Q$185+Q$186</f>
        <v>17.680849968225239</v>
      </c>
      <c r="R42" s="1">
        <f ca="1">Table3[[#This Row],[OBMod Z-Score]]*R$185+R$186</f>
        <v>17.525858966101641</v>
      </c>
      <c r="S42" s="1">
        <f ca="1">AVERAGE(Table3[[#This Row],[Tot Value]:[OB Z Value]])</f>
        <v>19.829382872214541</v>
      </c>
      <c r="T42" s="1">
        <f>IF(Table1[[#This Row],[Included?]], (Table1[[#This Row],[I R]]-Data!S$188)/(Data!S$187-Data!S$188), "")</f>
        <v>0.4308797127468581</v>
      </c>
      <c r="U42" s="1">
        <f>IF(Table1[[#This Row],[Included?]], (Table1[[#This Row],[I HR]]-Data!T$188)/(Data!T$187-Data!T$188), "")</f>
        <v>0.61878829135466307</v>
      </c>
      <c r="V42" s="1">
        <f>IF(Table1[[#This Row],[Included?]], (Table1[[#This Row],[I RBI]]-Data!U$188)/(Data!U$187-Data!U$188), "")</f>
        <v>0.58477633477633495</v>
      </c>
      <c r="W42" s="1">
        <f>IF(Table1[[#This Row],[Included?]], (Table1[[#This Row],[I SB]]-Data!V$188)/(Data!V$187-Data!V$188), "")</f>
        <v>6.0225846925972389E-2</v>
      </c>
      <c r="X42" s="1">
        <f>IF(Table1[[#This Row],[Included?]], (Table1[[#This Row],[I OBP]]-Data!W$188)/(Data!W$187-Data!W$188), "")</f>
        <v>0.32167402040449239</v>
      </c>
      <c r="Y42" s="1">
        <f>IF(Table1[[#This Row],[Included?]], (Table1[[#This Row],[I OB]]-Data!AA$188)/(Data!AA$187-Data!AA$188), "")</f>
        <v>0.31176051381534559</v>
      </c>
      <c r="Z42" s="1">
        <f>IF(Table1[[#This Row],[Included?]], SUM(Table35[[#This Row],[I R Scale]:[I OBP Scale]]), "")</f>
        <v>2.0163442062083212</v>
      </c>
      <c r="AA42" s="1">
        <f>IF(Table1[[#This Row],[Included?]], SUM(Table35[[#This Row],[I R Scale]:[I SB Scale]],Table35[[#This Row],[I OB Scale]]), "")</f>
        <v>2.0064306996191741</v>
      </c>
      <c r="AB4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2.1545463059698009</v>
      </c>
      <c r="AC4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2.1426500980628247</v>
      </c>
      <c r="AD4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-0.10394123298514424</v>
      </c>
      <c r="AE4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-9.8416159651821489E-2</v>
      </c>
      <c r="AF42" s="1">
        <f ca="1">IF(Table1[[#This Row],[Included?]], Table35[[#This Row],[I Tot Scale]]*AF$185+AF$186, "")</f>
        <v>21.090661078535806</v>
      </c>
      <c r="AG42" s="1">
        <f ca="1">IF(Table1[[#This Row],[Included?]], Table35[[#This Row],[I OB Tot Scale]]*AG$185+AG$186, "")</f>
        <v>22.367225243287976</v>
      </c>
      <c r="AH42" s="1">
        <f ca="1">IF(Table1[[#This Row],[Included?]], Table35[[#This Row],[I Weighted Scale]]*AH$185+AH$186, "")</f>
        <v>21.112657199780003</v>
      </c>
      <c r="AI42" s="1">
        <f ca="1">IF(Table1[[#This Row],[Included?]], Table35[[#This Row],[I OB Weighted Scale]]*AI$185+AI$186, "")</f>
        <v>22.566579799524085</v>
      </c>
      <c r="AJ42" s="1">
        <f ca="1">IF(Table1[[#This Row],[Included?]], Table35[[#This Row],[I Z-score]]*AJ$185+AJ$186, "")</f>
        <v>19.528117356867178</v>
      </c>
      <c r="AK42" s="1">
        <f ca="1">IF(Table1[[#This Row],[Included?]], Table35[[#This Row],[I OBMod Z-Score]]*AK$185+AK$186, "")</f>
        <v>19.553984821172666</v>
      </c>
      <c r="AL42" s="1">
        <f ca="1">IF(Table1[[#This Row],[Included?]], AVERAGE(Table35[[#This Row],[I Tot Value]:[I OB Z Value]]), "")</f>
        <v>21.036537583194615</v>
      </c>
    </row>
    <row r="43" spans="1:38" hidden="1" x14ac:dyDescent="0.25">
      <c r="A43" s="1">
        <f>(Table1[[#This Row],[R]]-Data!H$188)/(Data!H$187-Data!H$188)</f>
        <v>0.57272727272727275</v>
      </c>
      <c r="B43" s="1">
        <f>(Table1[[#This Row],[HR]]-Data!I$188)/(Data!I$187-Data!I$188)</f>
        <v>0.57862491490810075</v>
      </c>
      <c r="C43" s="1">
        <f>(Table1[[#This Row],[RBI]]-Data!J$188)/(Data!J$187-Data!J$188)</f>
        <v>0.67985096016050417</v>
      </c>
      <c r="D43" s="1">
        <f>(Table1[[#This Row],[SB]]-Data!K$188)/(Data!K$187-Data!K$188)</f>
        <v>9.5671267252195713E-2</v>
      </c>
      <c r="E43" s="1">
        <f>(Table1[[#This Row],[OBP]]-Data!L$188)/(Data!L$187-Data!L$188)</f>
        <v>0.44868487493459352</v>
      </c>
      <c r="F43" s="1">
        <f>(Table1[[#This Row],[OB]]-Data!P$188)/(Data!P$187-Data!P$188)</f>
        <v>0.52684689977877797</v>
      </c>
      <c r="G43" s="1">
        <f>SUM(Table3[[#This Row],[R Scale]:[OBP Scale]])</f>
        <v>2.3755592899826672</v>
      </c>
      <c r="H43" s="1">
        <f>SUM(Table3[[#This Row],[R Scale]:[SB Scale]],Table3[[#This Row],[OB Scale]])</f>
        <v>2.4537213148268515</v>
      </c>
      <c r="I43" s="1">
        <f>Table3[[#This Row],[R Scale]]*Data!B$192+Table3[[#This Row],[HR Scale]]*Data!C$192+Table3[[#This Row],[RBI Scale]]*Data!D$192+Table3[[#This Row],[SB Scale]]*Data!E$192+Table3[[#This Row],[OBP Scale]]*Data!F$192</f>
        <v>2.5439937297289594</v>
      </c>
      <c r="J43" s="1">
        <f>Table3[[#This Row],[R Scale]]*Data!B$192+Table3[[#This Row],[HR Scale]]*Data!C$192+Table3[[#This Row],[RBI Scale]]*Data!D$192+Table3[[#This Row],[SB Scale]]*Data!E$192+Table3[[#This Row],[OB Scale]]*Data!F$192</f>
        <v>2.6377881595419805</v>
      </c>
      <c r="K4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2.5205619483855179</v>
      </c>
      <c r="L4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2.4890977649042063</v>
      </c>
      <c r="M43" s="1">
        <f ca="1">Table3[[#This Row],[Tot Scale]]*M$185+M$186</f>
        <v>21.273143689969473</v>
      </c>
      <c r="N43" s="1">
        <f ca="1">Table3[[#This Row],[OB Tot Scale]]*N$185+N$186</f>
        <v>21.967095213099668</v>
      </c>
      <c r="O43" s="1">
        <f ca="1">Table3[[#This Row],[Weighted Scale]]*O$185+O$186</f>
        <v>21.303984632728543</v>
      </c>
      <c r="P43" s="1">
        <f ca="1">Table3[[#This Row],[OB Weighted Scale]]*P$185+P$186</f>
        <v>22.163936394804225</v>
      </c>
      <c r="Q43" s="1">
        <f ca="1">Table3[[#This Row],[Z-score]]*Q$185+Q$186</f>
        <v>19.926715672282821</v>
      </c>
      <c r="R43" s="1">
        <f ca="1">Table3[[#This Row],[OBMod Z-Score]]*R$185+R$186</f>
        <v>19.773799338510408</v>
      </c>
      <c r="S43" s="1">
        <f ca="1">AVERAGE(Table3[[#This Row],[Tot Value]:[OB Z Value]])</f>
        <v>21.068112490232522</v>
      </c>
      <c r="T43" s="1">
        <f>IF(Table1[[#This Row],[Included?]], (Table1[[#This Row],[I R]]-Data!S$188)/(Data!S$187-Data!S$188), "")</f>
        <v>0.45996409335727118</v>
      </c>
      <c r="U43" s="1">
        <f>IF(Table1[[#This Row],[Included?]], (Table1[[#This Row],[I HR]]-Data!T$188)/(Data!T$187-Data!T$188), "")</f>
        <v>0.57862491490810075</v>
      </c>
      <c r="V43" s="1">
        <f>IF(Table1[[#This Row],[Included?]], (Table1[[#This Row],[I RBI]]-Data!U$188)/(Data!U$187-Data!U$188), "")</f>
        <v>0.59704184704184682</v>
      </c>
      <c r="W43" s="1">
        <f>IF(Table1[[#This Row],[Included?]], (Table1[[#This Row],[I SB]]-Data!V$188)/(Data!V$187-Data!V$188), "")</f>
        <v>9.5671267252195713E-2</v>
      </c>
      <c r="X43" s="1">
        <f>IF(Table1[[#This Row],[Included?]], (Table1[[#This Row],[I OBP]]-Data!W$188)/(Data!W$187-Data!W$188), "")</f>
        <v>0.33712024160051129</v>
      </c>
      <c r="Y43" s="1">
        <f>IF(Table1[[#This Row],[Included?]], (Table1[[#This Row],[I OB]]-Data!AA$188)/(Data!AA$187-Data!AA$188), "")</f>
        <v>0.27156956738966653</v>
      </c>
      <c r="Z43" s="1">
        <f>IF(Table1[[#This Row],[Included?]], SUM(Table35[[#This Row],[I R Scale]:[I OBP Scale]]), "")</f>
        <v>2.0684223641599258</v>
      </c>
      <c r="AA43" s="1">
        <f>IF(Table1[[#This Row],[Included?]], SUM(Table35[[#This Row],[I R Scale]:[I SB Scale]],Table35[[#This Row],[I OB Scale]]), "")</f>
        <v>2.0028716899490808</v>
      </c>
      <c r="AB4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2.2092583725526702</v>
      </c>
      <c r="AC4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2.1305975634996566</v>
      </c>
      <c r="AD4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0.19839920634130759</v>
      </c>
      <c r="AE4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0.22399541990876237</v>
      </c>
      <c r="AF43" s="1">
        <f ca="1">IF(Table1[[#This Row],[Included?]], Table35[[#This Row],[I Tot Scale]]*AF$185+AF$186, "")</f>
        <v>22.193610052020208</v>
      </c>
      <c r="AG43" s="1">
        <f ca="1">IF(Table1[[#This Row],[Included?]], Table35[[#This Row],[I OB Tot Scale]]*AG$185+AG$186, "")</f>
        <v>22.311259656326087</v>
      </c>
      <c r="AH43" s="1">
        <f ca="1">IF(Table1[[#This Row],[Included?]], Table35[[#This Row],[I Weighted Scale]]*AH$185+AH$186, "")</f>
        <v>22.191955538209903</v>
      </c>
      <c r="AI43" s="1">
        <f ca="1">IF(Table1[[#This Row],[Included?]], Table35[[#This Row],[I OB Weighted Scale]]*AI$185+AI$186, "")</f>
        <v>22.390069244896388</v>
      </c>
      <c r="AJ43" s="1">
        <f ca="1">IF(Table1[[#This Row],[Included?]], Table35[[#This Row],[I Z-score]]*AJ$185+AJ$186, "")</f>
        <v>20.900712250519092</v>
      </c>
      <c r="AK43" s="1">
        <f ca="1">IF(Table1[[#This Row],[Included?]], Table35[[#This Row],[I OBMod Z-Score]]*AK$185+AK$186, "")</f>
        <v>21.015131637127748</v>
      </c>
      <c r="AL43" s="1">
        <f ca="1">IF(Table1[[#This Row],[Included?]], AVERAGE(Table35[[#This Row],[I Tot Value]:[I OB Z Value]]), "")</f>
        <v>21.833789729849901</v>
      </c>
    </row>
    <row r="44" spans="1:38" hidden="1" x14ac:dyDescent="0.25">
      <c r="A44" s="1">
        <f>(Table1[[#This Row],[R]]-Data!H$188)/(Data!H$187-Data!H$188)</f>
        <v>0.42471590909090917</v>
      </c>
      <c r="B44" s="1">
        <f>(Table1[[#This Row],[HR]]-Data!I$188)/(Data!I$187-Data!I$188)</f>
        <v>0.75153165418652135</v>
      </c>
      <c r="C44" s="1">
        <f>(Table1[[#This Row],[RBI]]-Data!J$188)/(Data!J$187-Data!J$188)</f>
        <v>0.57982229865290913</v>
      </c>
      <c r="D44" s="1">
        <f>(Table1[[#This Row],[SB]]-Data!K$188)/(Data!K$187-Data!K$188)</f>
        <v>0.11511919698870762</v>
      </c>
      <c r="E44" s="1">
        <f>(Table1[[#This Row],[OBP]]-Data!L$188)/(Data!L$187-Data!L$188)</f>
        <v>0.57002032868450003</v>
      </c>
      <c r="F44" s="1">
        <f>(Table1[[#This Row],[OB]]-Data!P$188)/(Data!P$187-Data!P$188)</f>
        <v>0.57560562110013425</v>
      </c>
      <c r="G44" s="1">
        <f>SUM(Table3[[#This Row],[R Scale]:[OBP Scale]])</f>
        <v>2.4412093876035472</v>
      </c>
      <c r="H44" s="1">
        <f>SUM(Table3[[#This Row],[R Scale]:[SB Scale]],Table3[[#This Row],[OB Scale]])</f>
        <v>2.4467946800191815</v>
      </c>
      <c r="I44" s="1">
        <f>Table3[[#This Row],[R Scale]]*Data!B$192+Table3[[#This Row],[HR Scale]]*Data!C$192+Table3[[#This Row],[RBI Scale]]*Data!D$192+Table3[[#This Row],[SB Scale]]*Data!E$192+Table3[[#This Row],[OBP Scale]]*Data!F$192</f>
        <v>2.6287063221619382</v>
      </c>
      <c r="J44" s="1">
        <f>Table3[[#This Row],[R Scale]]*Data!B$192+Table3[[#This Row],[HR Scale]]*Data!C$192+Table3[[#This Row],[RBI Scale]]*Data!D$192+Table3[[#This Row],[SB Scale]]*Data!E$192+Table3[[#This Row],[OB Scale]]*Data!F$192</f>
        <v>2.6354086730606991</v>
      </c>
      <c r="K4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2.8626316812900656</v>
      </c>
      <c r="L4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2.8487433368380328</v>
      </c>
      <c r="M44" s="1">
        <f ca="1">Table3[[#This Row],[Tot Scale]]*M$185+M$186</f>
        <v>23.697722769639697</v>
      </c>
      <c r="N44" s="1">
        <f ca="1">Table3[[#This Row],[OB Tot Scale]]*N$185+N$186</f>
        <v>21.714494793120267</v>
      </c>
      <c r="O44" s="1">
        <f ca="1">Table3[[#This Row],[Weighted Scale]]*O$185+O$186</f>
        <v>24.217611681815825</v>
      </c>
      <c r="P44" s="1">
        <f ca="1">Table3[[#This Row],[OB Weighted Scale]]*P$185+P$186</f>
        <v>22.082699234227675</v>
      </c>
      <c r="Q44" s="1">
        <f ca="1">Table3[[#This Row],[Z-score]]*Q$185+Q$186</f>
        <v>22.440162646361347</v>
      </c>
      <c r="R44" s="1">
        <f ca="1">Table3[[#This Row],[OBMod Z-Score]]*R$185+R$186</f>
        <v>22.392202963893524</v>
      </c>
      <c r="S44" s="1">
        <f ca="1">AVERAGE(Table3[[#This Row],[Tot Value]:[OB Z Value]])</f>
        <v>22.757482348176392</v>
      </c>
      <c r="T44" s="1">
        <f>IF(Table1[[#This Row],[Included?]], (Table1[[#This Row],[I R]]-Data!S$188)/(Data!S$187-Data!S$188), "")</f>
        <v>0.27289048473967692</v>
      </c>
      <c r="U44" s="1">
        <f>IF(Table1[[#This Row],[Included?]], (Table1[[#This Row],[I HR]]-Data!T$188)/(Data!T$187-Data!T$188), "")</f>
        <v>0.75153165418652135</v>
      </c>
      <c r="V44" s="1">
        <f>IF(Table1[[#This Row],[Included?]], (Table1[[#This Row],[I RBI]]-Data!U$188)/(Data!U$187-Data!U$188), "")</f>
        <v>0.47113997113997119</v>
      </c>
      <c r="W44" s="1">
        <f>IF(Table1[[#This Row],[Included?]], (Table1[[#This Row],[I SB]]-Data!V$188)/(Data!V$187-Data!V$188), "")</f>
        <v>0.11511919698870762</v>
      </c>
      <c r="X44" s="1">
        <f>IF(Table1[[#This Row],[Included?]], (Table1[[#This Row],[I OBP]]-Data!W$188)/(Data!W$187-Data!W$188), "")</f>
        <v>0.48300924883115509</v>
      </c>
      <c r="Y44" s="1">
        <f>IF(Table1[[#This Row],[Included?]], (Table1[[#This Row],[I OB]]-Data!AA$188)/(Data!AA$187-Data!AA$188), "")</f>
        <v>0.34663477661906006</v>
      </c>
      <c r="Z44" s="1">
        <f>IF(Table1[[#This Row],[Included?]], SUM(Table35[[#This Row],[I R Scale]:[I OBP Scale]]), "")</f>
        <v>2.0936905558860324</v>
      </c>
      <c r="AA44" s="1">
        <f>IF(Table1[[#This Row],[Included?]], SUM(Table35[[#This Row],[I R Scale]:[I SB Scale]],Table35[[#This Row],[I OB Scale]]), "")</f>
        <v>1.9573160836739372</v>
      </c>
      <c r="AB4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2.2572313514062898</v>
      </c>
      <c r="AC4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2.0935819847517756</v>
      </c>
      <c r="AD4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0.45278216976770569</v>
      </c>
      <c r="AE4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0.44762161655721822</v>
      </c>
      <c r="AF44" s="1">
        <f ca="1">IF(Table1[[#This Row],[Included?]], Table35[[#This Row],[I Tot Scale]]*AF$185+AF$186, "")</f>
        <v>22.728758129876855</v>
      </c>
      <c r="AG44" s="1">
        <f ca="1">IF(Table1[[#This Row],[Included?]], Table35[[#This Row],[I OB Tot Scale]]*AG$185+AG$186, "")</f>
        <v>21.594895700920986</v>
      </c>
      <c r="AH44" s="1">
        <f ca="1">IF(Table1[[#This Row],[Included?]], Table35[[#This Row],[I Weighted Scale]]*AH$185+AH$186, "")</f>
        <v>23.138312705834359</v>
      </c>
      <c r="AI44" s="1">
        <f ca="1">IF(Table1[[#This Row],[Included?]], Table35[[#This Row],[I OB Weighted Scale]]*AI$185+AI$186, "")</f>
        <v>21.847972451860009</v>
      </c>
      <c r="AJ44" s="1">
        <f ca="1">IF(Table1[[#This Row],[Included?]], Table35[[#This Row],[I Z-score]]*AJ$185+AJ$186, "")</f>
        <v>22.055585073383867</v>
      </c>
      <c r="AK44" s="1">
        <f ca="1">IF(Table1[[#This Row],[Included?]], Table35[[#This Row],[I OBMod Z-Score]]*AK$185+AK$186, "")</f>
        <v>22.028589980163584</v>
      </c>
      <c r="AL44" s="1">
        <f ca="1">IF(Table1[[#This Row],[Included?]], AVERAGE(Table35[[#This Row],[I Tot Value]:[I OB Z Value]]), "")</f>
        <v>22.232352340339943</v>
      </c>
    </row>
    <row r="45" spans="1:38" hidden="1" x14ac:dyDescent="0.25">
      <c r="A45" s="1">
        <f>(Table1[[#This Row],[R]]-Data!H$188)/(Data!H$187-Data!H$188)</f>
        <v>0.61988636363636374</v>
      </c>
      <c r="B45" s="1">
        <f>(Table1[[#This Row],[HR]]-Data!I$188)/(Data!I$187-Data!I$188)</f>
        <v>0.32266848196051728</v>
      </c>
      <c r="C45" s="1">
        <f>(Table1[[#This Row],[RBI]]-Data!J$188)/(Data!J$187-Data!J$188)</f>
        <v>0.3427916308397822</v>
      </c>
      <c r="D45" s="1">
        <f>(Table1[[#This Row],[SB]]-Data!K$188)/(Data!K$187-Data!K$188)</f>
        <v>0.23713927227101628</v>
      </c>
      <c r="E45" s="1">
        <f>(Table1[[#This Row],[OBP]]-Data!L$188)/(Data!L$187-Data!L$188)</f>
        <v>0.68158041124872826</v>
      </c>
      <c r="F45" s="1">
        <f>(Table1[[#This Row],[OB]]-Data!P$188)/(Data!P$187-Data!P$188)</f>
        <v>0.67403279609804123</v>
      </c>
      <c r="G45" s="1">
        <f>SUM(Table3[[#This Row],[R Scale]:[OBP Scale]])</f>
        <v>2.2040661599564078</v>
      </c>
      <c r="H45" s="1">
        <f>SUM(Table3[[#This Row],[R Scale]:[SB Scale]],Table3[[#This Row],[OB Scale]])</f>
        <v>2.1965185448057207</v>
      </c>
      <c r="I45" s="1">
        <f>Table3[[#This Row],[R Scale]]*Data!B$192+Table3[[#This Row],[HR Scale]]*Data!C$192+Table3[[#This Row],[RBI Scale]]*Data!D$192+Table3[[#This Row],[SB Scale]]*Data!E$192+Table3[[#This Row],[OBP Scale]]*Data!F$192</f>
        <v>2.3469519320104735</v>
      </c>
      <c r="J45" s="1">
        <f>Table3[[#This Row],[R Scale]]*Data!B$192+Table3[[#This Row],[HR Scale]]*Data!C$192+Table3[[#This Row],[RBI Scale]]*Data!D$192+Table3[[#This Row],[SB Scale]]*Data!E$192+Table3[[#This Row],[OB Scale]]*Data!F$192</f>
        <v>2.337894793829649</v>
      </c>
      <c r="K4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2.2541439829653704</v>
      </c>
      <c r="L4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2.3180150730238109</v>
      </c>
      <c r="M45" s="1">
        <f ca="1">Table3[[#This Row],[Tot Scale]]*M$185+M$186</f>
        <v>14.93958638484537</v>
      </c>
      <c r="N45" s="1">
        <f ca="1">Table3[[#This Row],[OB Tot Scale]]*N$185+N$186</f>
        <v>12.587428241879579</v>
      </c>
      <c r="O45" s="1">
        <f ca="1">Table3[[#This Row],[Weighted Scale]]*O$185+O$186</f>
        <v>14.526877532770825</v>
      </c>
      <c r="P45" s="1">
        <f ca="1">Table3[[#This Row],[OB Weighted Scale]]*P$185+P$186</f>
        <v>11.92538883512529</v>
      </c>
      <c r="Q45" s="1">
        <f ca="1">Table3[[#This Row],[Z-score]]*Q$185+Q$186</f>
        <v>17.969139878190909</v>
      </c>
      <c r="R45" s="1">
        <f ca="1">Table3[[#This Row],[OBMod Z-Score]]*R$185+R$186</f>
        <v>18.528229878969405</v>
      </c>
      <c r="S45" s="1">
        <f ca="1">AVERAGE(Table3[[#This Row],[Tot Value]:[OB Z Value]])</f>
        <v>15.079441791963561</v>
      </c>
      <c r="T45" s="1">
        <f>IF(Table1[[#This Row],[Included?]], (Table1[[#This Row],[I R]]-Data!S$188)/(Data!S$187-Data!S$188), "")</f>
        <v>0.51956912028725322</v>
      </c>
      <c r="U45" s="1">
        <f>IF(Table1[[#This Row],[Included?]], (Table1[[#This Row],[I HR]]-Data!T$188)/(Data!T$187-Data!T$188), "")</f>
        <v>0.32266848196051728</v>
      </c>
      <c r="V45" s="1">
        <f>IF(Table1[[#This Row],[Included?]], (Table1[[#This Row],[I RBI]]-Data!U$188)/(Data!U$187-Data!U$188), "")</f>
        <v>0.1727994227994229</v>
      </c>
      <c r="W45" s="1">
        <f>IF(Table1[[#This Row],[Included?]], (Table1[[#This Row],[I SB]]-Data!V$188)/(Data!V$187-Data!V$188), "")</f>
        <v>0.23713927227101628</v>
      </c>
      <c r="X45" s="1">
        <f>IF(Table1[[#This Row],[Included?]], (Table1[[#This Row],[I OBP]]-Data!W$188)/(Data!W$187-Data!W$188), "")</f>
        <v>0.61714473181546325</v>
      </c>
      <c r="Y45" s="1">
        <f>IF(Table1[[#This Row],[Included?]], (Table1[[#This Row],[I OB]]-Data!AA$188)/(Data!AA$187-Data!AA$188), "")</f>
        <v>0.49816574963987809</v>
      </c>
      <c r="Z45" s="1">
        <f>IF(Table1[[#This Row],[Included?]], SUM(Table35[[#This Row],[I R Scale]:[I OBP Scale]]), "")</f>
        <v>1.8693210291336728</v>
      </c>
      <c r="AA45" s="1">
        <f>IF(Table1[[#This Row],[Included?]], SUM(Table35[[#This Row],[I R Scale]:[I SB Scale]],Table35[[#This Row],[I OB Scale]]), "")</f>
        <v>1.7503420469580877</v>
      </c>
      <c r="AB4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1.9753529480279246</v>
      </c>
      <c r="AC4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1.8325781694172223</v>
      </c>
      <c r="AD4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-1.6727055847458039E-2</v>
      </c>
      <c r="AE4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-1.4725086538562193E-2</v>
      </c>
      <c r="AF45" s="1">
        <f ca="1">IF(Table1[[#This Row],[Included?]], Table35[[#This Row],[I Tot Scale]]*AF$185+AF$186, "")</f>
        <v>17.976897677311232</v>
      </c>
      <c r="AG45" s="1">
        <f ca="1">IF(Table1[[#This Row],[Included?]], Table35[[#This Row],[I OB Tot Scale]]*AG$185+AG$186, "")</f>
        <v>18.340219674606608</v>
      </c>
      <c r="AH45" s="1">
        <f ca="1">IF(Table1[[#This Row],[Included?]], Table35[[#This Row],[I Weighted Scale]]*AH$185+AH$186, "")</f>
        <v>17.577731440918292</v>
      </c>
      <c r="AI45" s="1">
        <f ca="1">IF(Table1[[#This Row],[Included?]], Table35[[#This Row],[I OB Weighted Scale]]*AI$185+AI$186, "")</f>
        <v>18.025545893928076</v>
      </c>
      <c r="AJ45" s="1">
        <f ca="1">IF(Table1[[#This Row],[Included?]], Table35[[#This Row],[I Z-score]]*AJ$185+AJ$186, "")</f>
        <v>19.924060864986465</v>
      </c>
      <c r="AK45" s="1">
        <f ca="1">IF(Table1[[#This Row],[Included?]], Table35[[#This Row],[I OBMod Z-Score]]*AK$185+AK$186, "")</f>
        <v>19.933266933713305</v>
      </c>
      <c r="AL45" s="1">
        <f ca="1">IF(Table1[[#This Row],[Included?]], AVERAGE(Table35[[#This Row],[I Tot Value]:[I OB Z Value]]), "")</f>
        <v>18.629620414243998</v>
      </c>
    </row>
    <row r="46" spans="1:38" hidden="1" x14ac:dyDescent="0.25">
      <c r="A46" s="1">
        <f>(Table1[[#This Row],[R]]-Data!H$188)/(Data!H$187-Data!H$188)</f>
        <v>0.70511363636363633</v>
      </c>
      <c r="B46" s="1">
        <f>(Table1[[#This Row],[HR]]-Data!I$188)/(Data!I$187-Data!I$188)</f>
        <v>0.53165418652144314</v>
      </c>
      <c r="C46" s="1">
        <f>(Table1[[#This Row],[RBI]]-Data!J$188)/(Data!J$187-Data!J$188)</f>
        <v>0.43995414158784751</v>
      </c>
      <c r="D46" s="1">
        <f>(Table1[[#This Row],[SB]]-Data!K$188)/(Data!K$187-Data!K$188)</f>
        <v>4.4228356336260967E-2</v>
      </c>
      <c r="E46" s="1">
        <f>(Table1[[#This Row],[OBP]]-Data!L$188)/(Data!L$187-Data!L$188)</f>
        <v>0.44951861906442858</v>
      </c>
      <c r="F46" s="1">
        <f>(Table1[[#This Row],[OB]]-Data!P$188)/(Data!P$187-Data!P$188)</f>
        <v>0.59427824531120232</v>
      </c>
      <c r="G46" s="1">
        <f>SUM(Table3[[#This Row],[R Scale]:[OBP Scale]])</f>
        <v>2.1704689398736163</v>
      </c>
      <c r="H46" s="1">
        <f>SUM(Table3[[#This Row],[R Scale]:[SB Scale]],Table3[[#This Row],[OB Scale]])</f>
        <v>2.31522856612039</v>
      </c>
      <c r="I46" s="1">
        <f>Table3[[#This Row],[R Scale]]*Data!B$192+Table3[[#This Row],[HR Scale]]*Data!C$192+Table3[[#This Row],[RBI Scale]]*Data!D$192+Table3[[#This Row],[SB Scale]]*Data!E$192+Table3[[#This Row],[OBP Scale]]*Data!F$192</f>
        <v>2.2778521283677078</v>
      </c>
      <c r="J46" s="1">
        <f>Table3[[#This Row],[R Scale]]*Data!B$192+Table3[[#This Row],[HR Scale]]*Data!C$192+Table3[[#This Row],[RBI Scale]]*Data!D$192+Table3[[#This Row],[SB Scale]]*Data!E$192+Table3[[#This Row],[OB Scale]]*Data!F$192</f>
        <v>2.4515636798638365</v>
      </c>
      <c r="K4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1.4570962934681262</v>
      </c>
      <c r="L4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1.4290273121278552</v>
      </c>
      <c r="M46" s="1">
        <f ca="1">Table3[[#This Row],[Tot Scale]]*M$185+M$186</f>
        <v>13.698779137029419</v>
      </c>
      <c r="N46" s="1">
        <f ca="1">Table3[[#This Row],[OB Tot Scale]]*N$185+N$186</f>
        <v>16.916543616440123</v>
      </c>
      <c r="O46" s="1">
        <f ca="1">Table3[[#This Row],[Weighted Scale]]*O$185+O$186</f>
        <v>12.150240822715375</v>
      </c>
      <c r="P46" s="1">
        <f ca="1">Table3[[#This Row],[OB Weighted Scale]]*P$185+P$186</f>
        <v>15.806115882728989</v>
      </c>
      <c r="Q46" s="1">
        <f ca="1">Table3[[#This Row],[Z-score]]*Q$185+Q$186</f>
        <v>12.11262317806489</v>
      </c>
      <c r="R46" s="1">
        <f ca="1">Table3[[#This Row],[OBMod Z-Score]]*R$185+R$186</f>
        <v>12.055944502188831</v>
      </c>
      <c r="S46" s="1">
        <f ca="1">AVERAGE(Table3[[#This Row],[Tot Value]:[OB Z Value]])</f>
        <v>13.790041189861272</v>
      </c>
      <c r="T46" s="1">
        <f>IF(Table1[[#This Row],[Included?]], (Table1[[#This Row],[I R]]-Data!S$188)/(Data!S$187-Data!S$188), "")</f>
        <v>0.62728904847396771</v>
      </c>
      <c r="U46" s="1">
        <f>IF(Table1[[#This Row],[Included?]], (Table1[[#This Row],[I HR]]-Data!T$188)/(Data!T$187-Data!T$188), "")</f>
        <v>0.53165418652144314</v>
      </c>
      <c r="V46" s="1">
        <f>IF(Table1[[#This Row],[Included?]], (Table1[[#This Row],[I RBI]]-Data!U$188)/(Data!U$187-Data!U$188), "")</f>
        <v>0.29509379509379519</v>
      </c>
      <c r="W46" s="1">
        <f>IF(Table1[[#This Row],[Included?]], (Table1[[#This Row],[I SB]]-Data!V$188)/(Data!V$187-Data!V$188), "")</f>
        <v>4.4228356336260967E-2</v>
      </c>
      <c r="X46" s="1">
        <f>IF(Table1[[#This Row],[Included?]], (Table1[[#This Row],[I OBP]]-Data!W$188)/(Data!W$187-Data!W$188), "")</f>
        <v>0.33812270295559649</v>
      </c>
      <c r="Y46" s="1">
        <f>IF(Table1[[#This Row],[Included?]], (Table1[[#This Row],[I OB]]-Data!AA$188)/(Data!AA$187-Data!AA$188), "")</f>
        <v>0.37538172496554473</v>
      </c>
      <c r="Z46" s="1">
        <f>IF(Table1[[#This Row],[Included?]], SUM(Table35[[#This Row],[I R Scale]:[I OBP Scale]]), "")</f>
        <v>1.8363880893810636</v>
      </c>
      <c r="AA46" s="1">
        <f>IF(Table1[[#This Row],[Included?]], SUM(Table35[[#This Row],[I R Scale]:[I SB Scale]],Table35[[#This Row],[I OB Scale]]), "")</f>
        <v>1.8736471113910118</v>
      </c>
      <c r="AB4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1.900302484143545</v>
      </c>
      <c r="AC4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1.945013310555483</v>
      </c>
      <c r="AD4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-0.70059872485875752</v>
      </c>
      <c r="AE4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-0.71802862299043013</v>
      </c>
      <c r="AF46" s="1">
        <f ca="1">IF(Table1[[#This Row],[Included?]], Table35[[#This Row],[I Tot Scale]]*AF$185+AF$186, "")</f>
        <v>17.279420010614214</v>
      </c>
      <c r="AG46" s="1">
        <f ca="1">IF(Table1[[#This Row],[Included?]], Table35[[#This Row],[I OB Tot Scale]]*AG$185+AG$186, "")</f>
        <v>20.279197352681031</v>
      </c>
      <c r="AH46" s="1">
        <f ca="1">IF(Table1[[#This Row],[Included?]], Table35[[#This Row],[I Weighted Scale]]*AH$185+AH$186, "")</f>
        <v>16.097219992020349</v>
      </c>
      <c r="AI46" s="1">
        <f ca="1">IF(Table1[[#This Row],[Included?]], Table35[[#This Row],[I OB Weighted Scale]]*AI$185+AI$186, "")</f>
        <v>19.672169599335714</v>
      </c>
      <c r="AJ46" s="1">
        <f ca="1">IF(Table1[[#This Row],[Included?]], Table35[[#This Row],[I Z-score]]*AJ$185+AJ$186, "")</f>
        <v>16.819352930813679</v>
      </c>
      <c r="AK46" s="1">
        <f ca="1">IF(Table1[[#This Row],[Included?]], Table35[[#This Row],[I OBMod Z-Score]]*AK$185+AK$186, "")</f>
        <v>16.745944306104345</v>
      </c>
      <c r="AL46" s="1">
        <f ca="1">IF(Table1[[#This Row],[Included?]], AVERAGE(Table35[[#This Row],[I Tot Value]:[I OB Z Value]]), "")</f>
        <v>17.815550698594887</v>
      </c>
    </row>
    <row r="47" spans="1:38" hidden="1" x14ac:dyDescent="0.25">
      <c r="A47" s="1">
        <f>(Table1[[#This Row],[R]]-Data!H$188)/(Data!H$187-Data!H$188)</f>
        <v>0.45568181818181824</v>
      </c>
      <c r="B47" s="1">
        <f>(Table1[[#This Row],[HR]]-Data!I$188)/(Data!I$187-Data!I$188)</f>
        <v>0.63376446562287259</v>
      </c>
      <c r="C47" s="1">
        <f>(Table1[[#This Row],[RBI]]-Data!J$188)/(Data!J$187-Data!J$188)</f>
        <v>0.59472628260246474</v>
      </c>
      <c r="D47" s="1">
        <f>(Table1[[#This Row],[SB]]-Data!K$188)/(Data!K$187-Data!K$188)</f>
        <v>0.28670012547051438</v>
      </c>
      <c r="E47" s="1">
        <f>(Table1[[#This Row],[OBP]]-Data!L$188)/(Data!L$187-Data!L$188)</f>
        <v>0.4845319147217087</v>
      </c>
      <c r="F47" s="1">
        <f>(Table1[[#This Row],[OB]]-Data!P$188)/(Data!P$187-Data!P$188)</f>
        <v>0.49978862226620374</v>
      </c>
      <c r="G47" s="1">
        <f>SUM(Table3[[#This Row],[R Scale]:[OBP Scale]])</f>
        <v>2.4554046065993789</v>
      </c>
      <c r="H47" s="1">
        <f>SUM(Table3[[#This Row],[R Scale]:[SB Scale]],Table3[[#This Row],[OB Scale]])</f>
        <v>2.4706613141438738</v>
      </c>
      <c r="I47" s="1">
        <f>Table3[[#This Row],[R Scale]]*Data!B$192+Table3[[#This Row],[HR Scale]]*Data!C$192+Table3[[#This Row],[RBI Scale]]*Data!D$192+Table3[[#This Row],[SB Scale]]*Data!E$192+Table3[[#This Row],[OBP Scale]]*Data!F$192</f>
        <v>2.625688064246031</v>
      </c>
      <c r="J47" s="1">
        <f>Table3[[#This Row],[R Scale]]*Data!B$192+Table3[[#This Row],[HR Scale]]*Data!C$192+Table3[[#This Row],[RBI Scale]]*Data!D$192+Table3[[#This Row],[SB Scale]]*Data!E$192+Table3[[#This Row],[OB Scale]]*Data!F$192</f>
        <v>2.643996113299425</v>
      </c>
      <c r="K4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3.2887197861996889</v>
      </c>
      <c r="L4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3.2527920497683138</v>
      </c>
      <c r="M47" s="1">
        <f ca="1">Table3[[#This Row],[Tot Scale]]*M$185+M$186</f>
        <v>24.221978364922833</v>
      </c>
      <c r="N47" s="1">
        <f ca="1">Table3[[#This Row],[OB Tot Scale]]*N$185+N$186</f>
        <v>22.58486286806432</v>
      </c>
      <c r="O47" s="1">
        <f ca="1">Table3[[#This Row],[Weighted Scale]]*O$185+O$186</f>
        <v>24.113800930045173</v>
      </c>
      <c r="P47" s="1">
        <f ca="1">Table3[[#This Row],[OB Weighted Scale]]*P$185+P$186</f>
        <v>22.375879828907571</v>
      </c>
      <c r="Q47" s="1">
        <f ca="1">Table3[[#This Row],[Z-score]]*Q$185+Q$186</f>
        <v>25.570956618930644</v>
      </c>
      <c r="R47" s="1">
        <f ca="1">Table3[[#This Row],[OBMod Z-Score]]*R$185+R$186</f>
        <v>25.333884155960842</v>
      </c>
      <c r="S47" s="1">
        <f ca="1">AVERAGE(Table3[[#This Row],[Tot Value]:[OB Z Value]])</f>
        <v>24.033560461138563</v>
      </c>
      <c r="T47" s="1">
        <f>IF(Table1[[#This Row],[Included?]], (Table1[[#This Row],[I R]]-Data!S$188)/(Data!S$187-Data!S$188), "")</f>
        <v>0.31202872531418319</v>
      </c>
      <c r="U47" s="1">
        <f>IF(Table1[[#This Row],[Included?]], (Table1[[#This Row],[I HR]]-Data!T$188)/(Data!T$187-Data!T$188), "")</f>
        <v>0.63376446562287259</v>
      </c>
      <c r="V47" s="1">
        <f>IF(Table1[[#This Row],[Included?]], (Table1[[#This Row],[I RBI]]-Data!U$188)/(Data!U$187-Data!U$188), "")</f>
        <v>0.48989898989898983</v>
      </c>
      <c r="W47" s="1">
        <f>IF(Table1[[#This Row],[Included?]], (Table1[[#This Row],[I SB]]-Data!V$188)/(Data!V$187-Data!V$188), "")</f>
        <v>0.28670012547051438</v>
      </c>
      <c r="X47" s="1">
        <f>IF(Table1[[#This Row],[Included?]], (Table1[[#This Row],[I OBP]]-Data!W$188)/(Data!W$187-Data!W$188), "")</f>
        <v>0.38022132117020507</v>
      </c>
      <c r="Y47" s="1">
        <f>IF(Table1[[#This Row],[Included?]], (Table1[[#This Row],[I OB]]-Data!AA$188)/(Data!AA$187-Data!AA$188), "")</f>
        <v>0.22991270667173089</v>
      </c>
      <c r="Z47" s="1">
        <f>IF(Table1[[#This Row],[Included?]], SUM(Table35[[#This Row],[I R Scale]:[I OBP Scale]]), "")</f>
        <v>2.1026136274767651</v>
      </c>
      <c r="AA47" s="1">
        <f>IF(Table1[[#This Row],[Included?]], SUM(Table35[[#This Row],[I R Scale]:[I SB Scale]],Table35[[#This Row],[I OB Scale]]), "")</f>
        <v>1.9523050129782908</v>
      </c>
      <c r="AB4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2.2454348171591856</v>
      </c>
      <c r="AC4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2.0650644797610167</v>
      </c>
      <c r="AD4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0.60235138820005041</v>
      </c>
      <c r="AE4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0.63669004743779856</v>
      </c>
      <c r="AF47" s="1">
        <f ca="1">IF(Table1[[#This Row],[Included?]], Table35[[#This Row],[I Tot Scale]]*AF$185+AF$186, "")</f>
        <v>22.917737407148383</v>
      </c>
      <c r="AG47" s="1">
        <f ca="1">IF(Table1[[#This Row],[Included?]], Table35[[#This Row],[I OB Tot Scale]]*AG$185+AG$186, "")</f>
        <v>21.516096389093882</v>
      </c>
      <c r="AH47" s="1">
        <f ca="1">IF(Table1[[#This Row],[Included?]], Table35[[#This Row],[I Weighted Scale]]*AH$185+AH$186, "")</f>
        <v>22.905603897570884</v>
      </c>
      <c r="AI47" s="1">
        <f ca="1">IF(Table1[[#This Row],[Included?]], Table35[[#This Row],[I OB Weighted Scale]]*AI$185+AI$186, "")</f>
        <v>21.430330785193529</v>
      </c>
      <c r="AJ47" s="1">
        <f ca="1">IF(Table1[[#This Row],[Included?]], Table35[[#This Row],[I Z-score]]*AJ$185+AJ$186, "")</f>
        <v>22.734614137193862</v>
      </c>
      <c r="AK47" s="1">
        <f ca="1">IF(Table1[[#This Row],[Included?]], Table35[[#This Row],[I OBMod Z-Score]]*AK$185+AK$186, "")</f>
        <v>22.885434936400252</v>
      </c>
      <c r="AL47" s="1">
        <f ca="1">IF(Table1[[#This Row],[Included?]], AVERAGE(Table35[[#This Row],[I Tot Value]:[I OB Z Value]]), "")</f>
        <v>22.398302925433466</v>
      </c>
    </row>
    <row r="48" spans="1:38" hidden="1" x14ac:dyDescent="0.25">
      <c r="A48" s="1">
        <f>(Table1[[#This Row],[R]]-Data!H$188)/(Data!H$187-Data!H$188)</f>
        <v>0.71676136363636378</v>
      </c>
      <c r="B48" s="1">
        <f>(Table1[[#This Row],[HR]]-Data!I$188)/(Data!I$187-Data!I$188)</f>
        <v>0.54118447923757651</v>
      </c>
      <c r="C48" s="1">
        <f>(Table1[[#This Row],[RBI]]-Data!J$188)/(Data!J$187-Data!J$188)</f>
        <v>0.30782459157351671</v>
      </c>
      <c r="D48" s="1">
        <f>(Table1[[#This Row],[SB]]-Data!K$188)/(Data!K$187-Data!K$188)</f>
        <v>8.3124215809284793E-2</v>
      </c>
      <c r="E48" s="1">
        <f>(Table1[[#This Row],[OBP]]-Data!L$188)/(Data!L$187-Data!L$188)</f>
        <v>0.49224659886742556</v>
      </c>
      <c r="F48" s="1">
        <f>(Table1[[#This Row],[OB]]-Data!P$188)/(Data!P$187-Data!P$188)</f>
        <v>0.61573391152596246</v>
      </c>
      <c r="G48" s="1">
        <f>SUM(Table3[[#This Row],[R Scale]:[OBP Scale]])</f>
        <v>2.1411412491241673</v>
      </c>
      <c r="H48" s="1">
        <f>SUM(Table3[[#This Row],[R Scale]:[SB Scale]],Table3[[#This Row],[OB Scale]])</f>
        <v>2.2646285617827044</v>
      </c>
      <c r="I48" s="1">
        <f>Table3[[#This Row],[R Scale]]*Data!B$192+Table3[[#This Row],[HR Scale]]*Data!C$192+Table3[[#This Row],[RBI Scale]]*Data!D$192+Table3[[#This Row],[SB Scale]]*Data!E$192+Table3[[#This Row],[OBP Scale]]*Data!F$192</f>
        <v>2.2294793508487194</v>
      </c>
      <c r="J48" s="1">
        <f>Table3[[#This Row],[R Scale]]*Data!B$192+Table3[[#This Row],[HR Scale]]*Data!C$192+Table3[[#This Row],[RBI Scale]]*Data!D$192+Table3[[#This Row],[SB Scale]]*Data!E$192+Table3[[#This Row],[OB Scale]]*Data!F$192</f>
        <v>2.3776641260389635</v>
      </c>
      <c r="K4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1.4234402763784633</v>
      </c>
      <c r="L4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1.4192577320053168</v>
      </c>
      <c r="M48" s="1">
        <f ca="1">Table3[[#This Row],[Tot Scale]]*M$185+M$186</f>
        <v>12.615653475026804</v>
      </c>
      <c r="N48" s="1">
        <f ca="1">Table3[[#This Row],[OB Tot Scale]]*N$185+N$186</f>
        <v>15.071263375520502</v>
      </c>
      <c r="O48" s="1">
        <f ca="1">Table3[[#This Row],[Weighted Scale]]*O$185+O$186</f>
        <v>10.486494867468977</v>
      </c>
      <c r="P48" s="1">
        <f ca="1">Table3[[#This Row],[OB Weighted Scale]]*P$185+P$186</f>
        <v>13.283138774923287</v>
      </c>
      <c r="Q48" s="1">
        <f ca="1">Table3[[#This Row],[Z-score]]*Q$185+Q$186</f>
        <v>11.865326775675634</v>
      </c>
      <c r="R48" s="1">
        <f ca="1">Table3[[#This Row],[OBMod Z-Score]]*R$185+R$186</f>
        <v>11.984816964391614</v>
      </c>
      <c r="S48" s="1">
        <f ca="1">AVERAGE(Table3[[#This Row],[Tot Value]:[OB Z Value]])</f>
        <v>12.551115705501138</v>
      </c>
      <c r="T48" s="1">
        <f>IF(Table1[[#This Row],[Included?]], (Table1[[#This Row],[I R]]-Data!S$188)/(Data!S$187-Data!S$188), "")</f>
        <v>0.64201077199281886</v>
      </c>
      <c r="U48" s="1">
        <f>IF(Table1[[#This Row],[Included?]], (Table1[[#This Row],[I HR]]-Data!T$188)/(Data!T$187-Data!T$188), "")</f>
        <v>0.54118447923757651</v>
      </c>
      <c r="V48" s="1">
        <f>IF(Table1[[#This Row],[Included?]], (Table1[[#This Row],[I RBI]]-Data!U$188)/(Data!U$187-Data!U$188), "")</f>
        <v>0.12878787878787878</v>
      </c>
      <c r="W48" s="1">
        <f>IF(Table1[[#This Row],[Included?]], (Table1[[#This Row],[I SB]]-Data!V$188)/(Data!V$187-Data!V$188), "")</f>
        <v>8.3124215809284793E-2</v>
      </c>
      <c r="X48" s="1">
        <f>IF(Table1[[#This Row],[Included?]], (Table1[[#This Row],[I OBP]]-Data!W$188)/(Data!W$187-Data!W$188), "")</f>
        <v>0.38949715586099909</v>
      </c>
      <c r="Y48" s="1">
        <f>IF(Table1[[#This Row],[Included?]], (Table1[[#This Row],[I OB]]-Data!AA$188)/(Data!AA$187-Data!AA$188), "")</f>
        <v>0.40841323255886558</v>
      </c>
      <c r="Z48" s="1">
        <f>IF(Table1[[#This Row],[Included?]], SUM(Table35[[#This Row],[I R Scale]:[I OBP Scale]]), "")</f>
        <v>1.7846045016885581</v>
      </c>
      <c r="AA48" s="1">
        <f>IF(Table1[[#This Row],[Included?]], SUM(Table35[[#This Row],[I R Scale]:[I SB Scale]],Table35[[#This Row],[I OB Scale]]), "")</f>
        <v>1.8035205783864245</v>
      </c>
      <c r="AB4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1.8240604314190516</v>
      </c>
      <c r="AC4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1.8467597234564914</v>
      </c>
      <c r="AD4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-0.75588094754755564</v>
      </c>
      <c r="AE4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-0.76618056041044125</v>
      </c>
      <c r="AF48" s="1">
        <f ca="1">IF(Table1[[#This Row],[Included?]], Table35[[#This Row],[I Tot Scale]]*AF$185+AF$186, "")</f>
        <v>16.182709659571</v>
      </c>
      <c r="AG48" s="1">
        <f ca="1">IF(Table1[[#This Row],[Included?]], Table35[[#This Row],[I OB Tot Scale]]*AG$185+AG$186, "")</f>
        <v>19.176454470529492</v>
      </c>
      <c r="AH48" s="1">
        <f ca="1">IF(Table1[[#This Row],[Included?]], Table35[[#This Row],[I Weighted Scale]]*AH$185+AH$186, "")</f>
        <v>14.593202213795983</v>
      </c>
      <c r="AI48" s="1">
        <f ca="1">IF(Table1[[#This Row],[Included?]], Table35[[#This Row],[I OB Weighted Scale]]*AI$185+AI$186, "")</f>
        <v>18.233236148275374</v>
      </c>
      <c r="AJ48" s="1">
        <f ca="1">IF(Table1[[#This Row],[Included?]], Table35[[#This Row],[I Z-score]]*AJ$185+AJ$186, "")</f>
        <v>16.568377253390519</v>
      </c>
      <c r="AK48" s="1">
        <f ca="1">IF(Table1[[#This Row],[Included?]], Table35[[#This Row],[I OBMod Z-Score]]*AK$185+AK$186, "")</f>
        <v>16.527723080492017</v>
      </c>
      <c r="AL48" s="1">
        <f ca="1">IF(Table1[[#This Row],[Included?]], AVERAGE(Table35[[#This Row],[I Tot Value]:[I OB Z Value]]), "")</f>
        <v>16.880283804342398</v>
      </c>
    </row>
    <row r="49" spans="1:38" hidden="1" x14ac:dyDescent="0.25">
      <c r="A49" s="1">
        <f>(Table1[[#This Row],[R]]-Data!H$188)/(Data!H$187-Data!H$188)</f>
        <v>0.4542613636363636</v>
      </c>
      <c r="B49" s="1">
        <f>(Table1[[#This Row],[HR]]-Data!I$188)/(Data!I$187-Data!I$188)</f>
        <v>0.73315180394826418</v>
      </c>
      <c r="C49" s="1">
        <f>(Table1[[#This Row],[RBI]]-Data!J$188)/(Data!J$187-Data!J$188)</f>
        <v>0.65520206362854683</v>
      </c>
      <c r="D49" s="1">
        <f>(Table1[[#This Row],[SB]]-Data!K$188)/(Data!K$187-Data!K$188)</f>
        <v>4.9560853199498107E-2</v>
      </c>
      <c r="E49" s="1">
        <f>(Table1[[#This Row],[OBP]]-Data!L$188)/(Data!L$187-Data!L$188)</f>
        <v>0.47237088971235441</v>
      </c>
      <c r="F49" s="1">
        <f>(Table1[[#This Row],[OB]]-Data!P$188)/(Data!P$187-Data!P$188)</f>
        <v>0.51564316591786374</v>
      </c>
      <c r="G49" s="1">
        <f>SUM(Table3[[#This Row],[R Scale]:[OBP Scale]])</f>
        <v>2.3645469741250276</v>
      </c>
      <c r="H49" s="1">
        <f>SUM(Table3[[#This Row],[R Scale]:[SB Scale]],Table3[[#This Row],[OB Scale]])</f>
        <v>2.4078192503305367</v>
      </c>
      <c r="I49" s="1">
        <f>Table3[[#This Row],[R Scale]]*Data!B$192+Table3[[#This Row],[HR Scale]]*Data!C$192+Table3[[#This Row],[RBI Scale]]*Data!D$192+Table3[[#This Row],[SB Scale]]*Data!E$192+Table3[[#This Row],[OBP Scale]]*Data!F$192</f>
        <v>2.5446354284295709</v>
      </c>
      <c r="J49" s="1">
        <f>Table3[[#This Row],[R Scale]]*Data!B$192+Table3[[#This Row],[HR Scale]]*Data!C$192+Table3[[#This Row],[RBI Scale]]*Data!D$192+Table3[[#This Row],[SB Scale]]*Data!E$192+Table3[[#This Row],[OB Scale]]*Data!F$192</f>
        <v>2.5965621598761821</v>
      </c>
      <c r="K4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2.2954879708123239</v>
      </c>
      <c r="L4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2.2641909291487443</v>
      </c>
      <c r="M49" s="1">
        <f ca="1">Table3[[#This Row],[Tot Scale]]*M$185+M$186</f>
        <v>20.866438572768516</v>
      </c>
      <c r="N49" s="1">
        <f ca="1">Table3[[#This Row],[OB Tot Scale]]*N$185+N$186</f>
        <v>20.293139375720756</v>
      </c>
      <c r="O49" s="1">
        <f ca="1">Table3[[#This Row],[Weighted Scale]]*O$185+O$186</f>
        <v>21.326055385585562</v>
      </c>
      <c r="P49" s="1">
        <f ca="1">Table3[[#This Row],[OB Weighted Scale]]*P$185+P$186</f>
        <v>20.756454914608781</v>
      </c>
      <c r="Q49" s="1">
        <f ca="1">Table3[[#This Row],[Z-score]]*Q$185+Q$186</f>
        <v>18.272925659727044</v>
      </c>
      <c r="R49" s="1">
        <f ca="1">Table3[[#This Row],[OBMod Z-Score]]*R$185+R$186</f>
        <v>18.136362595027013</v>
      </c>
      <c r="S49" s="1">
        <f ca="1">AVERAGE(Table3[[#This Row],[Tot Value]:[OB Z Value]])</f>
        <v>19.941896083906276</v>
      </c>
      <c r="T49" s="1">
        <f>IF(Table1[[#This Row],[Included?]], (Table1[[#This Row],[I R]]-Data!S$188)/(Data!S$187-Data!S$188), "")</f>
        <v>0.31023339317773785</v>
      </c>
      <c r="U49" s="1">
        <f>IF(Table1[[#This Row],[Included?]], (Table1[[#This Row],[I HR]]-Data!T$188)/(Data!T$187-Data!T$188), "")</f>
        <v>0.73315180394826418</v>
      </c>
      <c r="V49" s="1">
        <f>IF(Table1[[#This Row],[Included?]], (Table1[[#This Row],[I RBI]]-Data!U$188)/(Data!U$187-Data!U$188), "")</f>
        <v>0.56601731601731609</v>
      </c>
      <c r="W49" s="1">
        <f>IF(Table1[[#This Row],[Included?]], (Table1[[#This Row],[I SB]]-Data!V$188)/(Data!V$187-Data!V$188), "")</f>
        <v>4.9560853199498107E-2</v>
      </c>
      <c r="X49" s="1">
        <f>IF(Table1[[#This Row],[Included?]], (Table1[[#This Row],[I OBP]]-Data!W$188)/(Data!W$187-Data!W$188), "")</f>
        <v>0.36559938000881476</v>
      </c>
      <c r="Y49" s="1">
        <f>IF(Table1[[#This Row],[Included?]], (Table1[[#This Row],[I OB]]-Data!AA$188)/(Data!AA$187-Data!AA$188), "")</f>
        <v>0.25432115308287861</v>
      </c>
      <c r="Z49" s="1">
        <f>IF(Table1[[#This Row],[Included?]], SUM(Table35[[#This Row],[I R Scale]:[I OBP Scale]]), "")</f>
        <v>2.0245627463516311</v>
      </c>
      <c r="AA49" s="1">
        <f>IF(Table1[[#This Row],[Included?]], SUM(Table35[[#This Row],[I R Scale]:[I SB Scale]],Table35[[#This Row],[I OB Scale]]), "")</f>
        <v>1.9132845194256949</v>
      </c>
      <c r="AB4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2.1798627462390838</v>
      </c>
      <c r="AC4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2.0463288739279601</v>
      </c>
      <c r="AD4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-8.3662557774791702E-2</v>
      </c>
      <c r="AE4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-5.3351676584175445E-2</v>
      </c>
      <c r="AF49" s="1">
        <f ca="1">IF(Table1[[#This Row],[Included?]], Table35[[#This Row],[I Tot Scale]]*AF$185+AF$186, "")</f>
        <v>21.264719278194629</v>
      </c>
      <c r="AG49" s="1">
        <f ca="1">IF(Table1[[#This Row],[Included?]], Table35[[#This Row],[I OB Tot Scale]]*AG$185+AG$186, "")</f>
        <v>20.902497374861269</v>
      </c>
      <c r="AH49" s="1">
        <f ca="1">IF(Table1[[#This Row],[Included?]], Table35[[#This Row],[I Weighted Scale]]*AH$185+AH$186, "")</f>
        <v>21.612071563450783</v>
      </c>
      <c r="AI49" s="1">
        <f ca="1">IF(Table1[[#This Row],[Included?]], Table35[[#This Row],[I OB Weighted Scale]]*AI$185+AI$186, "")</f>
        <v>21.155945994214807</v>
      </c>
      <c r="AJ49" s="1">
        <f ca="1">IF(Table1[[#This Row],[Included?]], Table35[[#This Row],[I Z-score]]*AJ$185+AJ$186, "")</f>
        <v>19.620180483142196</v>
      </c>
      <c r="AK49" s="1">
        <f ca="1">IF(Table1[[#This Row],[Included?]], Table35[[#This Row],[I OBMod Z-Score]]*AK$185+AK$186, "")</f>
        <v>19.758213918764923</v>
      </c>
      <c r="AL49" s="1">
        <f ca="1">IF(Table1[[#This Row],[Included?]], AVERAGE(Table35[[#This Row],[I Tot Value]:[I OB Z Value]]), "")</f>
        <v>20.718938102104769</v>
      </c>
    </row>
    <row r="50" spans="1:38" hidden="1" x14ac:dyDescent="0.25">
      <c r="A50" s="1">
        <f>(Table1[[#This Row],[R]]-Data!H$188)/(Data!H$187-Data!H$188)</f>
        <v>0.53835227272727293</v>
      </c>
      <c r="B50" s="1">
        <f>(Table1[[#This Row],[HR]]-Data!I$188)/(Data!I$187-Data!I$188)</f>
        <v>0.62627637848876783</v>
      </c>
      <c r="C50" s="1">
        <f>(Table1[[#This Row],[RBI]]-Data!J$188)/(Data!J$187-Data!J$188)</f>
        <v>0.72542275723703065</v>
      </c>
      <c r="D50" s="1">
        <f>(Table1[[#This Row],[SB]]-Data!K$188)/(Data!K$187-Data!K$188)</f>
        <v>4.203262233375156E-2</v>
      </c>
      <c r="E50" s="1">
        <f>(Table1[[#This Row],[OBP]]-Data!L$188)/(Data!L$187-Data!L$188)</f>
        <v>0.38582667316173747</v>
      </c>
      <c r="F50" s="1">
        <f>(Table1[[#This Row],[OB]]-Data!P$188)/(Data!P$187-Data!P$188)</f>
        <v>0.4786098065481883</v>
      </c>
      <c r="G50" s="1">
        <f>SUM(Table3[[#This Row],[R Scale]:[OBP Scale]])</f>
        <v>2.3179107039485602</v>
      </c>
      <c r="H50" s="1">
        <f>SUM(Table3[[#This Row],[R Scale]:[SB Scale]],Table3[[#This Row],[OB Scale]])</f>
        <v>2.4106938373350113</v>
      </c>
      <c r="I50" s="1">
        <f>Table3[[#This Row],[R Scale]]*Data!B$192+Table3[[#This Row],[HR Scale]]*Data!C$192+Table3[[#This Row],[RBI Scale]]*Data!D$192+Table3[[#This Row],[SB Scale]]*Data!E$192+Table3[[#This Row],[OBP Scale]]*Data!F$192</f>
        <v>2.4863253627555864</v>
      </c>
      <c r="J50" s="1">
        <f>Table3[[#This Row],[R Scale]]*Data!B$192+Table3[[#This Row],[HR Scale]]*Data!C$192+Table3[[#This Row],[RBI Scale]]*Data!D$192+Table3[[#This Row],[SB Scale]]*Data!E$192+Table3[[#This Row],[OB Scale]]*Data!F$192</f>
        <v>2.5976651228193273</v>
      </c>
      <c r="K5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2.0540574951237307</v>
      </c>
      <c r="L5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2.0187449784128204</v>
      </c>
      <c r="M50" s="1">
        <f ca="1">Table3[[#This Row],[Tot Scale]]*M$185+M$186</f>
        <v>19.144075177717781</v>
      </c>
      <c r="N50" s="1">
        <f ca="1">Table3[[#This Row],[OB Tot Scale]]*N$185+N$186</f>
        <v>20.397969773851983</v>
      </c>
      <c r="O50" s="1">
        <f ca="1">Table3[[#This Row],[Weighted Scale]]*O$185+O$186</f>
        <v>19.320523743802909</v>
      </c>
      <c r="P50" s="1">
        <f ca="1">Table3[[#This Row],[OB Weighted Scale]]*P$185+P$186</f>
        <v>20.794110761123193</v>
      </c>
      <c r="Q50" s="1">
        <f ca="1">Table3[[#This Row],[Z-score]]*Q$185+Q$186</f>
        <v>16.498951992377865</v>
      </c>
      <c r="R50" s="1">
        <f ca="1">Table3[[#This Row],[OBMod Z-Score]]*R$185+R$186</f>
        <v>16.349390594268446</v>
      </c>
      <c r="S50" s="1">
        <f ca="1">AVERAGE(Table3[[#This Row],[Tot Value]:[OB Z Value]])</f>
        <v>18.750837007190363</v>
      </c>
      <c r="T50" s="1">
        <f>IF(Table1[[#This Row],[Included?]], (Table1[[#This Row],[I R]]-Data!S$188)/(Data!S$187-Data!S$188), "")</f>
        <v>0.41651705565529645</v>
      </c>
      <c r="U50" s="1">
        <f>IF(Table1[[#This Row],[Included?]], (Table1[[#This Row],[I HR]]-Data!T$188)/(Data!T$187-Data!T$188), "")</f>
        <v>0.62627637848876783</v>
      </c>
      <c r="V50" s="1">
        <f>IF(Table1[[#This Row],[Included?]], (Table1[[#This Row],[I RBI]]-Data!U$188)/(Data!U$187-Data!U$188), "")</f>
        <v>0.65440115440115443</v>
      </c>
      <c r="W50" s="1">
        <f>IF(Table1[[#This Row],[Included?]], (Table1[[#This Row],[I SB]]-Data!V$188)/(Data!V$187-Data!V$188), "")</f>
        <v>4.203262233375156E-2</v>
      </c>
      <c r="X50" s="1">
        <f>IF(Table1[[#This Row],[Included?]], (Table1[[#This Row],[I OBP]]-Data!W$188)/(Data!W$187-Data!W$188), "")</f>
        <v>0.26154199658197702</v>
      </c>
      <c r="Y50" s="1">
        <f>IF(Table1[[#This Row],[Included?]], (Table1[[#This Row],[I OB]]-Data!AA$188)/(Data!AA$187-Data!AA$188), "")</f>
        <v>0.1973074169918459</v>
      </c>
      <c r="Z50" s="1">
        <f>IF(Table1[[#This Row],[Included?]], SUM(Table35[[#This Row],[I R Scale]:[I OBP Scale]]), "")</f>
        <v>2.0007692074609476</v>
      </c>
      <c r="AA50" s="1">
        <f>IF(Table1[[#This Row],[Included?]], SUM(Table35[[#This Row],[I R Scale]:[I SB Scale]],Table35[[#This Row],[I OB Scale]]), "")</f>
        <v>1.9365346278708162</v>
      </c>
      <c r="AB5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2.1423061320920436</v>
      </c>
      <c r="AC5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2.0652246365838862</v>
      </c>
      <c r="AD5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-0.29576660202632921</v>
      </c>
      <c r="AE5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-0.23185703432569693</v>
      </c>
      <c r="AF50" s="1">
        <f ca="1">IF(Table1[[#This Row],[Included?]], Table35[[#This Row],[I Tot Scale]]*AF$185+AF$186, "")</f>
        <v>20.76080246686217</v>
      </c>
      <c r="AG50" s="1">
        <f ca="1">IF(Table1[[#This Row],[Included?]], Table35[[#This Row],[I OB Tot Scale]]*AG$185+AG$186, "")</f>
        <v>21.268106374744839</v>
      </c>
      <c r="AH50" s="1">
        <f ca="1">IF(Table1[[#This Row],[Included?]], Table35[[#This Row],[I Weighted Scale]]*AH$185+AH$186, "")</f>
        <v>20.871196766031865</v>
      </c>
      <c r="AI50" s="1">
        <f ca="1">IF(Table1[[#This Row],[Included?]], Table35[[#This Row],[I OB Weighted Scale]]*AI$185+AI$186, "")</f>
        <v>21.432676297623626</v>
      </c>
      <c r="AJ50" s="1">
        <f ca="1">IF(Table1[[#This Row],[Included?]], Table35[[#This Row],[I Z-score]]*AJ$185+AJ$186, "")</f>
        <v>18.657249660156161</v>
      </c>
      <c r="AK50" s="1">
        <f ca="1">IF(Table1[[#This Row],[Included?]], Table35[[#This Row],[I OBMod Z-Score]]*AK$185+AK$186, "")</f>
        <v>18.949240074058654</v>
      </c>
      <c r="AL50" s="1">
        <f ca="1">IF(Table1[[#This Row],[Included?]], AVERAGE(Table35[[#This Row],[I Tot Value]:[I OB Z Value]]), "")</f>
        <v>20.323211939912884</v>
      </c>
    </row>
    <row r="51" spans="1:38" hidden="1" x14ac:dyDescent="0.25">
      <c r="A51" s="1">
        <f>(Table1[[#This Row],[R]]-Data!H$188)/(Data!H$187-Data!H$188)</f>
        <v>0.68721590909090935</v>
      </c>
      <c r="B51" s="1">
        <f>(Table1[[#This Row],[HR]]-Data!I$188)/(Data!I$187-Data!I$188)</f>
        <v>0.65554799183117773</v>
      </c>
      <c r="C51" s="1">
        <f>(Table1[[#This Row],[RBI]]-Data!J$188)/(Data!J$187-Data!J$188)</f>
        <v>0.470908569790771</v>
      </c>
      <c r="D51" s="1">
        <f>(Table1[[#This Row],[SB]]-Data!K$188)/(Data!K$187-Data!K$188)</f>
        <v>3.0740276035131738E-2</v>
      </c>
      <c r="E51" s="1">
        <f>(Table1[[#This Row],[OBP]]-Data!L$188)/(Data!L$187-Data!L$188)</f>
        <v>0.33794644366456372</v>
      </c>
      <c r="F51" s="1">
        <f>(Table1[[#This Row],[OB]]-Data!P$188)/(Data!P$187-Data!P$188)</f>
        <v>0.5020441377140521</v>
      </c>
      <c r="G51" s="1">
        <f>SUM(Table3[[#This Row],[R Scale]:[OBP Scale]])</f>
        <v>2.1823591904125532</v>
      </c>
      <c r="H51" s="1">
        <f>SUM(Table3[[#This Row],[R Scale]:[SB Scale]],Table3[[#This Row],[OB Scale]])</f>
        <v>2.3464568844620417</v>
      </c>
      <c r="I51" s="1">
        <f>Table3[[#This Row],[R Scale]]*Data!B$192+Table3[[#This Row],[HR Scale]]*Data!C$192+Table3[[#This Row],[RBI Scale]]*Data!D$192+Table3[[#This Row],[SB Scale]]*Data!E$192+Table3[[#This Row],[OBP Scale]]*Data!F$192</f>
        <v>2.2754086021945299</v>
      </c>
      <c r="J51" s="1">
        <f>Table3[[#This Row],[R Scale]]*Data!B$192+Table3[[#This Row],[HR Scale]]*Data!C$192+Table3[[#This Row],[RBI Scale]]*Data!D$192+Table3[[#This Row],[SB Scale]]*Data!E$192+Table3[[#This Row],[OB Scale]]*Data!F$192</f>
        <v>2.4723258350539159</v>
      </c>
      <c r="K5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1.3547354015952764</v>
      </c>
      <c r="L5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1.2898717804377113</v>
      </c>
      <c r="M51" s="1">
        <f ca="1">Table3[[#This Row],[Tot Scale]]*M$185+M$186</f>
        <v>14.137907999795573</v>
      </c>
      <c r="N51" s="1">
        <f ca="1">Table3[[#This Row],[OB Tot Scale]]*N$185+N$186</f>
        <v>18.055377487054628</v>
      </c>
      <c r="O51" s="1">
        <f ca="1">Table3[[#This Row],[Weighted Scale]]*O$185+O$186</f>
        <v>12.066197544746331</v>
      </c>
      <c r="P51" s="1">
        <f ca="1">Table3[[#This Row],[OB Weighted Scale]]*P$185+P$186</f>
        <v>16.514948880251751</v>
      </c>
      <c r="Q51" s="1">
        <f ca="1">Table3[[#This Row],[Z-score]]*Q$185+Q$186</f>
        <v>11.360499709679615</v>
      </c>
      <c r="R51" s="1">
        <f ca="1">Table3[[#This Row],[OBMod Z-Score]]*R$185+R$186</f>
        <v>11.042821090963766</v>
      </c>
      <c r="S51" s="1">
        <f ca="1">AVERAGE(Table3[[#This Row],[Tot Value]:[OB Z Value]])</f>
        <v>13.862958785415278</v>
      </c>
      <c r="T51" s="1" t="str">
        <f>IF(Table1[[#This Row],[Included?]], (Table1[[#This Row],[I R]]-Data!S$188)/(Data!S$187-Data!S$188), "")</f>
        <v/>
      </c>
      <c r="U51" s="1" t="str">
        <f>IF(Table1[[#This Row],[Included?]], (Table1[[#This Row],[I HR]]-Data!T$188)/(Data!T$187-Data!T$188), "")</f>
        <v/>
      </c>
      <c r="V51" s="1" t="str">
        <f>IF(Table1[[#This Row],[Included?]], (Table1[[#This Row],[I RBI]]-Data!U$188)/(Data!U$187-Data!U$188), "")</f>
        <v/>
      </c>
      <c r="W51" s="1" t="str">
        <f>IF(Table1[[#This Row],[Included?]], (Table1[[#This Row],[I SB]]-Data!V$188)/(Data!V$187-Data!V$188), "")</f>
        <v/>
      </c>
      <c r="X51" s="1" t="str">
        <f>IF(Table1[[#This Row],[Included?]], (Table1[[#This Row],[I OBP]]-Data!W$188)/(Data!W$187-Data!W$188), "")</f>
        <v/>
      </c>
      <c r="Y51" s="1" t="str">
        <f>IF(Table1[[#This Row],[Included?]], (Table1[[#This Row],[I OB]]-Data!AA$188)/(Data!AA$187-Data!AA$188), "")</f>
        <v/>
      </c>
      <c r="Z51" s="1" t="str">
        <f>IF(Table1[[#This Row],[Included?]], SUM(Table35[[#This Row],[I R Scale]:[I OBP Scale]]), "")</f>
        <v/>
      </c>
      <c r="AA51" s="1" t="str">
        <f>IF(Table1[[#This Row],[Included?]], SUM(Table35[[#This Row],[I R Scale]:[I SB Scale]],Table35[[#This Row],[I OB Scale]]), "")</f>
        <v/>
      </c>
      <c r="AB5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5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51" s="1" t="str">
        <f>IF(Table1[[#This Row],[Included?]], Table35[[#This Row],[I Tot Scale]]*AF$185+AF$186, "")</f>
        <v/>
      </c>
      <c r="AG51" s="1" t="str">
        <f>IF(Table1[[#This Row],[Included?]], Table35[[#This Row],[I OB Tot Scale]]*AG$185+AG$186, "")</f>
        <v/>
      </c>
      <c r="AH51" s="1" t="str">
        <f>IF(Table1[[#This Row],[Included?]], Table35[[#This Row],[I Weighted Scale]]*AH$185+AH$186, "")</f>
        <v/>
      </c>
      <c r="AI51" s="1" t="str">
        <f>IF(Table1[[#This Row],[Included?]], Table35[[#This Row],[I OB Weighted Scale]]*AI$185+AI$186, "")</f>
        <v/>
      </c>
      <c r="AJ51" s="1" t="str">
        <f>IF(Table1[[#This Row],[Included?]], Table35[[#This Row],[I Z-score]]*AJ$185+AJ$186, "")</f>
        <v/>
      </c>
      <c r="AK51" s="1" t="str">
        <f>IF(Table1[[#This Row],[Included?]], Table35[[#This Row],[I OBMod Z-Score]]*AK$185+AK$186, "")</f>
        <v/>
      </c>
      <c r="AL51" s="1" t="str">
        <f>IF(Table1[[#This Row],[Included?]], AVERAGE(Table35[[#This Row],[I Tot Value]:[I OB Z Value]]), "")</f>
        <v/>
      </c>
    </row>
    <row r="52" spans="1:38" hidden="1" x14ac:dyDescent="0.25">
      <c r="A52" s="1">
        <f>(Table1[[#This Row],[R]]-Data!H$188)/(Data!H$187-Data!H$188)</f>
        <v>0.61875000000000013</v>
      </c>
      <c r="B52" s="1">
        <f>(Table1[[#This Row],[HR]]-Data!I$188)/(Data!I$187-Data!I$188)</f>
        <v>0.63989108236895853</v>
      </c>
      <c r="C52" s="1">
        <f>(Table1[[#This Row],[RBI]]-Data!J$188)/(Data!J$187-Data!J$188)</f>
        <v>0.3886500429922613</v>
      </c>
      <c r="D52" s="1">
        <f>(Table1[[#This Row],[SB]]-Data!K$188)/(Data!K$187-Data!K$188)</f>
        <v>0.12421580928481805</v>
      </c>
      <c r="E52" s="1">
        <f>(Table1[[#This Row],[OBP]]-Data!L$188)/(Data!L$187-Data!L$188)</f>
        <v>0.35665845007728653</v>
      </c>
      <c r="F52" s="1">
        <f>(Table1[[#This Row],[OB]]-Data!P$188)/(Data!P$187-Data!P$188)</f>
        <v>0.52949076600918243</v>
      </c>
      <c r="G52" s="1">
        <f>SUM(Table3[[#This Row],[R Scale]:[OBP Scale]])</f>
        <v>2.1281653847233244</v>
      </c>
      <c r="H52" s="1">
        <f>SUM(Table3[[#This Row],[R Scale]:[SB Scale]],Table3[[#This Row],[OB Scale]])</f>
        <v>2.3009977006552202</v>
      </c>
      <c r="I52" s="1">
        <f>Table3[[#This Row],[R Scale]]*Data!B$192+Table3[[#This Row],[HR Scale]]*Data!C$192+Table3[[#This Row],[RBI Scale]]*Data!D$192+Table3[[#This Row],[SB Scale]]*Data!E$192+Table3[[#This Row],[OBP Scale]]*Data!F$192</f>
        <v>2.2153520833372338</v>
      </c>
      <c r="J52" s="1">
        <f>Table3[[#This Row],[R Scale]]*Data!B$192+Table3[[#This Row],[HR Scale]]*Data!C$192+Table3[[#This Row],[RBI Scale]]*Data!D$192+Table3[[#This Row],[SB Scale]]*Data!E$192+Table3[[#This Row],[OB Scale]]*Data!F$192</f>
        <v>2.422750862455509</v>
      </c>
      <c r="K5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1.2889168711796302</v>
      </c>
      <c r="L5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1.2203388804653565</v>
      </c>
      <c r="M52" s="1">
        <f ca="1">Table3[[#This Row],[Tot Scale]]*M$185+M$186</f>
        <v>12.136430891861679</v>
      </c>
      <c r="N52" s="1">
        <f ca="1">Table3[[#This Row],[OB Tot Scale]]*N$185+N$186</f>
        <v>16.39757261638222</v>
      </c>
      <c r="O52" s="1">
        <f ca="1">Table3[[#This Row],[Weighted Scale]]*O$185+O$186</f>
        <v>10.000597935631816</v>
      </c>
      <c r="P52" s="1">
        <f ca="1">Table3[[#This Row],[OB Weighted Scale]]*P$185+P$186</f>
        <v>14.822428228743064</v>
      </c>
      <c r="Q52" s="1">
        <f ca="1">Table3[[#This Row],[Z-score]]*Q$185+Q$186</f>
        <v>10.876880815055973</v>
      </c>
      <c r="R52" s="1">
        <f ca="1">Table3[[#This Row],[OBMod Z-Score]]*R$185+R$186</f>
        <v>10.536586031841408</v>
      </c>
      <c r="S52" s="1">
        <f ca="1">AVERAGE(Table3[[#This Row],[Tot Value]:[OB Z Value]])</f>
        <v>12.461749419919359</v>
      </c>
      <c r="T52" s="1" t="str">
        <f>IF(Table1[[#This Row],[Included?]], (Table1[[#This Row],[I R]]-Data!S$188)/(Data!S$187-Data!S$188), "")</f>
        <v/>
      </c>
      <c r="U52" s="1" t="str">
        <f>IF(Table1[[#This Row],[Included?]], (Table1[[#This Row],[I HR]]-Data!T$188)/(Data!T$187-Data!T$188), "")</f>
        <v/>
      </c>
      <c r="V52" s="1" t="str">
        <f>IF(Table1[[#This Row],[Included?]], (Table1[[#This Row],[I RBI]]-Data!U$188)/(Data!U$187-Data!U$188), "")</f>
        <v/>
      </c>
      <c r="W52" s="1" t="str">
        <f>IF(Table1[[#This Row],[Included?]], (Table1[[#This Row],[I SB]]-Data!V$188)/(Data!V$187-Data!V$188), "")</f>
        <v/>
      </c>
      <c r="X52" s="1" t="str">
        <f>IF(Table1[[#This Row],[Included?]], (Table1[[#This Row],[I OBP]]-Data!W$188)/(Data!W$187-Data!W$188), "")</f>
        <v/>
      </c>
      <c r="Y52" s="1" t="str">
        <f>IF(Table1[[#This Row],[Included?]], (Table1[[#This Row],[I OB]]-Data!AA$188)/(Data!AA$187-Data!AA$188), "")</f>
        <v/>
      </c>
      <c r="Z52" s="1" t="str">
        <f>IF(Table1[[#This Row],[Included?]], SUM(Table35[[#This Row],[I R Scale]:[I OBP Scale]]), "")</f>
        <v/>
      </c>
      <c r="AA52" s="1" t="str">
        <f>IF(Table1[[#This Row],[Included?]], SUM(Table35[[#This Row],[I R Scale]:[I SB Scale]],Table35[[#This Row],[I OB Scale]]), "")</f>
        <v/>
      </c>
      <c r="AB5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5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52" s="1" t="str">
        <f>IF(Table1[[#This Row],[Included?]], Table35[[#This Row],[I Tot Scale]]*AF$185+AF$186, "")</f>
        <v/>
      </c>
      <c r="AG52" s="1" t="str">
        <f>IF(Table1[[#This Row],[Included?]], Table35[[#This Row],[I OB Tot Scale]]*AG$185+AG$186, "")</f>
        <v/>
      </c>
      <c r="AH52" s="1" t="str">
        <f>IF(Table1[[#This Row],[Included?]], Table35[[#This Row],[I Weighted Scale]]*AH$185+AH$186, "")</f>
        <v/>
      </c>
      <c r="AI52" s="1" t="str">
        <f>IF(Table1[[#This Row],[Included?]], Table35[[#This Row],[I OB Weighted Scale]]*AI$185+AI$186, "")</f>
        <v/>
      </c>
      <c r="AJ52" s="1" t="str">
        <f>IF(Table1[[#This Row],[Included?]], Table35[[#This Row],[I Z-score]]*AJ$185+AJ$186, "")</f>
        <v/>
      </c>
      <c r="AK52" s="1" t="str">
        <f>IF(Table1[[#This Row],[Included?]], Table35[[#This Row],[I OBMod Z-Score]]*AK$185+AK$186, "")</f>
        <v/>
      </c>
      <c r="AL52" s="1" t="str">
        <f>IF(Table1[[#This Row],[Included?]], AVERAGE(Table35[[#This Row],[I Tot Value]:[I OB Z Value]]), "")</f>
        <v/>
      </c>
    </row>
    <row r="53" spans="1:38" hidden="1" x14ac:dyDescent="0.25">
      <c r="A53" s="1">
        <f>(Table1[[#This Row],[R]]-Data!H$188)/(Data!H$187-Data!H$188)</f>
        <v>0.59232954545454564</v>
      </c>
      <c r="B53" s="1">
        <f>(Table1[[#This Row],[HR]]-Data!I$188)/(Data!I$187-Data!I$188)</f>
        <v>0.51735874744724297</v>
      </c>
      <c r="C53" s="1">
        <f>(Table1[[#This Row],[RBI]]-Data!J$188)/(Data!J$187-Data!J$188)</f>
        <v>0.49441100601891658</v>
      </c>
      <c r="D53" s="1">
        <f>(Table1[[#This Row],[SB]]-Data!K$188)/(Data!K$187-Data!K$188)</f>
        <v>7.8105395232120442E-2</v>
      </c>
      <c r="E53" s="1">
        <f>(Table1[[#This Row],[OBP]]-Data!L$188)/(Data!L$187-Data!L$188)</f>
        <v>0.42321469856049809</v>
      </c>
      <c r="F53" s="1">
        <f>(Table1[[#This Row],[OB]]-Data!P$188)/(Data!P$187-Data!P$188)</f>
        <v>0.5540814428592431</v>
      </c>
      <c r="G53" s="1">
        <f>SUM(Table3[[#This Row],[R Scale]:[OBP Scale]])</f>
        <v>2.1054193927133236</v>
      </c>
      <c r="H53" s="1">
        <f>SUM(Table3[[#This Row],[R Scale]:[SB Scale]],Table3[[#This Row],[OB Scale]])</f>
        <v>2.236286137012069</v>
      </c>
      <c r="I53" s="1">
        <f>Table3[[#This Row],[R Scale]]*Data!B$192+Table3[[#This Row],[HR Scale]]*Data!C$192+Table3[[#This Row],[RBI Scale]]*Data!D$192+Table3[[#This Row],[SB Scale]]*Data!E$192+Table3[[#This Row],[OBP Scale]]*Data!F$192</f>
        <v>2.2297115790837521</v>
      </c>
      <c r="J53" s="1">
        <f>Table3[[#This Row],[R Scale]]*Data!B$192+Table3[[#This Row],[HR Scale]]*Data!C$192+Table3[[#This Row],[RBI Scale]]*Data!D$192+Table3[[#This Row],[SB Scale]]*Data!E$192+Table3[[#This Row],[OB Scale]]*Data!F$192</f>
        <v>2.3867516722422462</v>
      </c>
      <c r="K5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1.1707773245945146</v>
      </c>
      <c r="L5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1.1310723795490358</v>
      </c>
      <c r="M53" s="1">
        <f ca="1">Table3[[#This Row],[Tot Scale]]*M$185+M$186</f>
        <v>11.29637949251304</v>
      </c>
      <c r="N53" s="1">
        <f ca="1">Table3[[#This Row],[OB Tot Scale]]*N$185+N$186</f>
        <v>14.037672230745599</v>
      </c>
      <c r="O53" s="1">
        <f ca="1">Table3[[#This Row],[Weighted Scale]]*O$185+O$186</f>
        <v>10.4944821860921</v>
      </c>
      <c r="P53" s="1">
        <f ca="1">Table3[[#This Row],[OB Weighted Scale]]*P$185+P$186</f>
        <v>13.593393300834805</v>
      </c>
      <c r="Q53" s="1">
        <f ca="1">Table3[[#This Row],[Z-score]]*Q$185+Q$186</f>
        <v>10.0088195476587</v>
      </c>
      <c r="R53" s="1">
        <f ca="1">Table3[[#This Row],[OBMod Z-Score]]*R$185+R$186</f>
        <v>9.8866802694327252</v>
      </c>
      <c r="S53" s="1">
        <f ca="1">AVERAGE(Table3[[#This Row],[Tot Value]:[OB Z Value]])</f>
        <v>11.552904504546163</v>
      </c>
      <c r="T53" s="1">
        <f>IF(Table1[[#This Row],[Included?]], (Table1[[#This Row],[I R]]-Data!S$188)/(Data!S$187-Data!S$188), "")</f>
        <v>0.48473967684021568</v>
      </c>
      <c r="U53" s="1">
        <f>IF(Table1[[#This Row],[Included?]], (Table1[[#This Row],[I HR]]-Data!T$188)/(Data!T$187-Data!T$188), "")</f>
        <v>0.51735874744724297</v>
      </c>
      <c r="V53" s="1">
        <f>IF(Table1[[#This Row],[Included?]], (Table1[[#This Row],[I RBI]]-Data!U$188)/(Data!U$187-Data!U$188), "")</f>
        <v>0.3636363636363637</v>
      </c>
      <c r="W53" s="1">
        <f>IF(Table1[[#This Row],[Included?]], (Table1[[#This Row],[I SB]]-Data!V$188)/(Data!V$187-Data!V$188), "")</f>
        <v>7.8105395232120442E-2</v>
      </c>
      <c r="X53" s="1">
        <f>IF(Table1[[#This Row],[Included?]], (Table1[[#This Row],[I OBP]]-Data!W$188)/(Data!W$187-Data!W$188), "")</f>
        <v>0.30649589702217289</v>
      </c>
      <c r="Y53" s="1">
        <f>IF(Table1[[#This Row],[Included?]], (Table1[[#This Row],[I OB]]-Data!AA$188)/(Data!AA$187-Data!AA$188), "")</f>
        <v>0.31349779313472137</v>
      </c>
      <c r="Z53" s="1">
        <f>IF(Table1[[#This Row],[Included?]], SUM(Table35[[#This Row],[I R Scale]:[I OBP Scale]]), "")</f>
        <v>1.7503360801781158</v>
      </c>
      <c r="AA53" s="1">
        <f>IF(Table1[[#This Row],[Included?]], SUM(Table35[[#This Row],[I R Scale]:[I SB Scale]],Table35[[#This Row],[I OB Scale]]), "")</f>
        <v>1.7573379762906642</v>
      </c>
      <c r="AB5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1.8358885646258014</v>
      </c>
      <c r="AC5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1.8442908399608597</v>
      </c>
      <c r="AD5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-1.1742848325209805</v>
      </c>
      <c r="AE5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-1.1737789496421491</v>
      </c>
      <c r="AF53" s="1">
        <f ca="1">IF(Table1[[#This Row],[Included?]], Table35[[#This Row],[I Tot Scale]]*AF$185+AF$186, "")</f>
        <v>15.456948192297201</v>
      </c>
      <c r="AG53" s="1">
        <f ca="1">IF(Table1[[#This Row],[Included?]], Table35[[#This Row],[I OB Tot Scale]]*AG$185+AG$186, "")</f>
        <v>18.450230977675439</v>
      </c>
      <c r="AH53" s="1">
        <f ca="1">IF(Table1[[#This Row],[Included?]], Table35[[#This Row],[I Weighted Scale]]*AH$185+AH$186, "")</f>
        <v>14.826534370925096</v>
      </c>
      <c r="AI53" s="1">
        <f ca="1">IF(Table1[[#This Row],[Included?]], Table35[[#This Row],[I OB Weighted Scale]]*AI$185+AI$186, "")</f>
        <v>18.197079106547665</v>
      </c>
      <c r="AJ53" s="1">
        <f ca="1">IF(Table1[[#This Row],[Included?]], Table35[[#This Row],[I Z-score]]*AJ$185+AJ$186, "")</f>
        <v>14.668866102060392</v>
      </c>
      <c r="AK53" s="1">
        <f ca="1">IF(Table1[[#This Row],[Included?]], Table35[[#This Row],[I OBMod Z-Score]]*AK$185+AK$186, "")</f>
        <v>14.680515578124941</v>
      </c>
      <c r="AL53" s="1">
        <f ca="1">IF(Table1[[#This Row],[Included?]], AVERAGE(Table35[[#This Row],[I Tot Value]:[I OB Z Value]]), "")</f>
        <v>16.046695721271789</v>
      </c>
    </row>
    <row r="54" spans="1:38" hidden="1" x14ac:dyDescent="0.25">
      <c r="A54" s="1">
        <f>(Table1[[#This Row],[R]]-Data!H$188)/(Data!H$187-Data!H$188)</f>
        <v>0.82556818181818181</v>
      </c>
      <c r="B54" s="1">
        <f>(Table1[[#This Row],[HR]]-Data!I$188)/(Data!I$187-Data!I$188)</f>
        <v>0.14363512593601085</v>
      </c>
      <c r="C54" s="1">
        <f>(Table1[[#This Row],[RBI]]-Data!J$188)/(Data!J$187-Data!J$188)</f>
        <v>0.36228145600458589</v>
      </c>
      <c r="D54" s="1">
        <f>(Table1[[#This Row],[SB]]-Data!K$188)/(Data!K$187-Data!K$188)</f>
        <v>0.14805520702634878</v>
      </c>
      <c r="E54" s="1">
        <f>(Table1[[#This Row],[OBP]]-Data!L$188)/(Data!L$187-Data!L$188)</f>
        <v>0.39500067436230296</v>
      </c>
      <c r="F54" s="1">
        <f>(Table1[[#This Row],[OB]]-Data!P$188)/(Data!P$187-Data!P$188)</f>
        <v>0.59378460837370595</v>
      </c>
      <c r="G54" s="1">
        <f>SUM(Table3[[#This Row],[R Scale]:[OBP Scale]])</f>
        <v>1.8745406451474302</v>
      </c>
      <c r="H54" s="1">
        <f>SUM(Table3[[#This Row],[R Scale]:[SB Scale]],Table3[[#This Row],[OB Scale]])</f>
        <v>2.0733245791588333</v>
      </c>
      <c r="I54" s="1">
        <f>Table3[[#This Row],[R Scale]]*Data!B$192+Table3[[#This Row],[HR Scale]]*Data!C$192+Table3[[#This Row],[RBI Scale]]*Data!D$192+Table3[[#This Row],[SB Scale]]*Data!E$192+Table3[[#This Row],[OBP Scale]]*Data!F$192</f>
        <v>1.9434402530389896</v>
      </c>
      <c r="J54" s="1">
        <f>Table3[[#This Row],[R Scale]]*Data!B$192+Table3[[#This Row],[HR Scale]]*Data!C$192+Table3[[#This Row],[RBI Scale]]*Data!D$192+Table3[[#This Row],[SB Scale]]*Data!E$192+Table3[[#This Row],[OB Scale]]*Data!F$192</f>
        <v>2.1819809738526734</v>
      </c>
      <c r="K5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0.37278606039768403</v>
      </c>
      <c r="L5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0.30808836802610334</v>
      </c>
      <c r="M54" s="1">
        <f ca="1">Table3[[#This Row],[Tot Scale]]*M$185+M$186</f>
        <v>2.7696019007811969</v>
      </c>
      <c r="N54" s="1">
        <f ca="1">Table3[[#This Row],[OB Tot Scale]]*N$185+N$186</f>
        <v>8.0947924489726688</v>
      </c>
      <c r="O54" s="1">
        <f ca="1">Table3[[#This Row],[Weighted Scale]]*O$185+O$186</f>
        <v>0.64839136314860468</v>
      </c>
      <c r="P54" s="1">
        <f ca="1">Table3[[#This Row],[OB Weighted Scale]]*P$185+P$186</f>
        <v>6.6023932521661663</v>
      </c>
      <c r="Q54" s="1">
        <f ca="1">Table3[[#This Row],[Z-score]]*Q$185+Q$186</f>
        <v>4.1453696852404374</v>
      </c>
      <c r="R54" s="1">
        <f ca="1">Table3[[#This Row],[OBMod Z-Score]]*R$185+R$186</f>
        <v>3.8949359312027445</v>
      </c>
      <c r="S54" s="1">
        <f ca="1">AVERAGE(Table3[[#This Row],[Tot Value]:[OB Z Value]])</f>
        <v>4.3592474302519699</v>
      </c>
      <c r="T54" s="1">
        <f>IF(Table1[[#This Row],[Included?]], (Table1[[#This Row],[I R]]-Data!S$188)/(Data!S$187-Data!S$188), "")</f>
        <v>0.77953321364452421</v>
      </c>
      <c r="U54" s="1">
        <f>IF(Table1[[#This Row],[Included?]], (Table1[[#This Row],[I HR]]-Data!T$188)/(Data!T$187-Data!T$188), "")</f>
        <v>0.14363512593601085</v>
      </c>
      <c r="V54" s="1">
        <f>IF(Table1[[#This Row],[Included?]], (Table1[[#This Row],[I RBI]]-Data!U$188)/(Data!U$187-Data!U$188), "")</f>
        <v>0.19733044733044744</v>
      </c>
      <c r="W54" s="1">
        <f>IF(Table1[[#This Row],[Included?]], (Table1[[#This Row],[I SB]]-Data!V$188)/(Data!V$187-Data!V$188), "")</f>
        <v>0.14805520702634878</v>
      </c>
      <c r="X54" s="1">
        <f>IF(Table1[[#This Row],[Included?]], (Table1[[#This Row],[I OBP]]-Data!W$188)/(Data!W$187-Data!W$188), "")</f>
        <v>0.27257245706257066</v>
      </c>
      <c r="Y54" s="1">
        <f>IF(Table1[[#This Row],[Included?]], (Table1[[#This Row],[I OB]]-Data!AA$188)/(Data!AA$187-Data!AA$188), "")</f>
        <v>0.37462175917906926</v>
      </c>
      <c r="Z54" s="1">
        <f>IF(Table1[[#This Row],[Included?]], SUM(Table35[[#This Row],[I R Scale]:[I OBP Scale]]), "")</f>
        <v>1.5411264509999019</v>
      </c>
      <c r="AA54" s="1">
        <f>IF(Table1[[#This Row],[Included?]], SUM(Table35[[#This Row],[I R Scale]:[I SB Scale]],Table35[[#This Row],[I OB Scale]]), "")</f>
        <v>1.6431757531164004</v>
      </c>
      <c r="AB5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1.5571537105140534</v>
      </c>
      <c r="AC5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1.6796128730538515</v>
      </c>
      <c r="AD5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-1.8517677673568818</v>
      </c>
      <c r="AE5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-1.9040768881337504</v>
      </c>
      <c r="AF54" s="1">
        <f ca="1">IF(Table1[[#This Row],[Included?]], Table35[[#This Row],[I Tot Scale]]*AF$185+AF$186, "")</f>
        <v>11.026155037908108</v>
      </c>
      <c r="AG54" s="1">
        <f ca="1">IF(Table1[[#This Row],[Included?]], Table35[[#This Row],[I OB Tot Scale]]*AG$185+AG$186, "")</f>
        <v>16.655024889164267</v>
      </c>
      <c r="AH54" s="1">
        <f ca="1">IF(Table1[[#This Row],[Included?]], Table35[[#This Row],[I Weighted Scale]]*AH$185+AH$186, "")</f>
        <v>9.327965523235008</v>
      </c>
      <c r="AI54" s="1">
        <f ca="1">IF(Table1[[#This Row],[Included?]], Table35[[#This Row],[I OB Weighted Scale]]*AI$185+AI$186, "")</f>
        <v>15.785354077146337</v>
      </c>
      <c r="AJ54" s="1">
        <f ca="1">IF(Table1[[#This Row],[Included?]], Table35[[#This Row],[I Z-score]]*AJ$185+AJ$186, "")</f>
        <v>11.593162372305601</v>
      </c>
      <c r="AK54" s="1">
        <f ca="1">IF(Table1[[#This Row],[Included?]], Table35[[#This Row],[I OBMod Z-Score]]*AK$185+AK$186, "")</f>
        <v>11.370856201188539</v>
      </c>
      <c r="AL54" s="1">
        <f ca="1">IF(Table1[[#This Row],[Included?]], AVERAGE(Table35[[#This Row],[I Tot Value]:[I OB Z Value]]), "")</f>
        <v>12.626419683491312</v>
      </c>
    </row>
    <row r="55" spans="1:38" hidden="1" x14ac:dyDescent="0.25">
      <c r="A55" s="1">
        <f>(Table1[[#This Row],[R]]-Data!H$188)/(Data!H$187-Data!H$188)</f>
        <v>0.67642045454545474</v>
      </c>
      <c r="B55" s="1">
        <f>(Table1[[#This Row],[HR]]-Data!I$188)/(Data!I$187-Data!I$188)</f>
        <v>8.3730428863172224E-2</v>
      </c>
      <c r="C55" s="1">
        <f>(Table1[[#This Row],[RBI]]-Data!J$188)/(Data!J$187-Data!J$188)</f>
        <v>0.39036973344797937</v>
      </c>
      <c r="D55" s="1">
        <f>(Table1[[#This Row],[SB]]-Data!K$188)/(Data!K$187-Data!K$188)</f>
        <v>0.20075282308657458</v>
      </c>
      <c r="E55" s="1">
        <f>(Table1[[#This Row],[OBP]]-Data!L$188)/(Data!L$187-Data!L$188)</f>
        <v>0.34333410507012713</v>
      </c>
      <c r="F55" s="1">
        <f>(Table1[[#This Row],[OB]]-Data!P$188)/(Data!P$187-Data!P$188)</f>
        <v>0.67016676135107611</v>
      </c>
      <c r="G55" s="1">
        <f>SUM(Table3[[#This Row],[R Scale]:[OBP Scale]])</f>
        <v>1.694607545013308</v>
      </c>
      <c r="H55" s="1">
        <f>SUM(Table3[[#This Row],[R Scale]:[SB Scale]],Table3[[#This Row],[OB Scale]])</f>
        <v>2.0214402012942569</v>
      </c>
      <c r="I55" s="1">
        <f>Table3[[#This Row],[R Scale]]*Data!B$192+Table3[[#This Row],[HR Scale]]*Data!C$192+Table3[[#This Row],[RBI Scale]]*Data!D$192+Table3[[#This Row],[SB Scale]]*Data!E$192+Table3[[#This Row],[OBP Scale]]*Data!F$192</f>
        <v>1.7737062672623838</v>
      </c>
      <c r="J55" s="1">
        <f>Table3[[#This Row],[R Scale]]*Data!B$192+Table3[[#This Row],[HR Scale]]*Data!C$192+Table3[[#This Row],[RBI Scale]]*Data!D$192+Table3[[#This Row],[SB Scale]]*Data!E$192+Table3[[#This Row],[OB Scale]]*Data!F$192</f>
        <v>2.1659054547995225</v>
      </c>
      <c r="K5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-0.4447424514983967</v>
      </c>
      <c r="L5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-0.60284846912397927</v>
      </c>
      <c r="M55" s="1">
        <f ca="1">Table3[[#This Row],[Tot Scale]]*M$185+M$186</f>
        <v>-3.8756590529001258</v>
      </c>
      <c r="N55" s="1">
        <f ca="1">Table3[[#This Row],[OB Tot Scale]]*N$185+N$186</f>
        <v>6.2026736924807153</v>
      </c>
      <c r="O55" s="1">
        <f ca="1">Table3[[#This Row],[Weighted Scale]]*O$185+O$186</f>
        <v>-5.189483714271276</v>
      </c>
      <c r="P55" s="1">
        <f ca="1">Table3[[#This Row],[OB Weighted Scale]]*P$185+P$186</f>
        <v>6.0535649512090544</v>
      </c>
      <c r="Q55" s="1">
        <f ca="1">Table3[[#This Row],[Z-score]]*Q$185+Q$186</f>
        <v>-1.8616352227953987</v>
      </c>
      <c r="R55" s="1">
        <f ca="1">Table3[[#This Row],[OBMod Z-Score]]*R$185+R$186</f>
        <v>-2.7371499417401757</v>
      </c>
      <c r="S55" s="1">
        <f ca="1">AVERAGE(Table3[[#This Row],[Tot Value]:[OB Z Value]])</f>
        <v>-0.23461488133620109</v>
      </c>
      <c r="T55" s="1">
        <f>IF(Table1[[#This Row],[Included?]], (Table1[[#This Row],[I R]]-Data!S$188)/(Data!S$187-Data!S$188), "")</f>
        <v>0.59102333931777395</v>
      </c>
      <c r="U55" s="1">
        <f>IF(Table1[[#This Row],[Included?]], (Table1[[#This Row],[I HR]]-Data!T$188)/(Data!T$187-Data!T$188), "")</f>
        <v>8.3730428863172224E-2</v>
      </c>
      <c r="V55" s="1">
        <f>IF(Table1[[#This Row],[Included?]], (Table1[[#This Row],[I RBI]]-Data!U$188)/(Data!U$187-Data!U$188), "")</f>
        <v>0.23268398268398274</v>
      </c>
      <c r="W55" s="1">
        <f>IF(Table1[[#This Row],[Included?]], (Table1[[#This Row],[I SB]]-Data!V$188)/(Data!V$187-Data!V$188), "")</f>
        <v>0.20075282308657458</v>
      </c>
      <c r="X55" s="1">
        <f>IF(Table1[[#This Row],[Included?]], (Table1[[#This Row],[I OBP]]-Data!W$188)/(Data!W$187-Data!W$188), "")</f>
        <v>0.21045059351735265</v>
      </c>
      <c r="Y55" s="1">
        <f>IF(Table1[[#This Row],[Included?]], (Table1[[#This Row],[I OB]]-Data!AA$188)/(Data!AA$187-Data!AA$188), "")</f>
        <v>0.49221389734956922</v>
      </c>
      <c r="Z55" s="1">
        <f>IF(Table1[[#This Row],[Included?]], SUM(Table35[[#This Row],[I R Scale]:[I OBP Scale]]), "")</f>
        <v>1.3186411674688561</v>
      </c>
      <c r="AA55" s="1">
        <f>IF(Table1[[#This Row],[Included?]], SUM(Table35[[#This Row],[I R Scale]:[I SB Scale]],Table35[[#This Row],[I OB Scale]]), "")</f>
        <v>1.6004044713010726</v>
      </c>
      <c r="AB5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1.3481657487773457</v>
      </c>
      <c r="AC5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1.6862817133760055</v>
      </c>
      <c r="AD5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-2.9546228339019116</v>
      </c>
      <c r="AE5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-3.1612972963738737</v>
      </c>
      <c r="AF55" s="1">
        <f ca="1">IF(Table1[[#This Row],[Included?]], Table35[[#This Row],[I Tot Scale]]*AF$185+AF$186, "")</f>
        <v>6.3142004539155288</v>
      </c>
      <c r="AG55" s="1">
        <f ca="1">IF(Table1[[#This Row],[Included?]], Table35[[#This Row],[I OB Tot Scale]]*AG$185+AG$186, "")</f>
        <v>15.982444560984272</v>
      </c>
      <c r="AH55" s="1">
        <f ca="1">IF(Table1[[#This Row],[Included?]], Table35[[#This Row],[I Weighted Scale]]*AH$185+AH$186, "")</f>
        <v>5.2052852089639892</v>
      </c>
      <c r="AI55" s="1">
        <f ca="1">IF(Table1[[#This Row],[Included?]], Table35[[#This Row],[I OB Weighted Scale]]*AI$185+AI$186, "")</f>
        <v>15.883019899867492</v>
      </c>
      <c r="AJ55" s="1">
        <f ca="1">IF(Table1[[#This Row],[Included?]], Table35[[#This Row],[I Z-score]]*AJ$185+AJ$186, "")</f>
        <v>6.586312358624987</v>
      </c>
      <c r="AK55" s="1">
        <f ca="1">IF(Table1[[#This Row],[Included?]], Table35[[#This Row],[I OBMod Z-Score]]*AK$185+AK$186, "")</f>
        <v>5.6732209023651041</v>
      </c>
      <c r="AL55" s="1">
        <f ca="1">IF(Table1[[#This Row],[Included?]], AVERAGE(Table35[[#This Row],[I Tot Value]:[I OB Z Value]]), "")</f>
        <v>9.2740805641202293</v>
      </c>
    </row>
    <row r="56" spans="1:38" hidden="1" x14ac:dyDescent="0.25">
      <c r="A56" s="1">
        <f>(Table1[[#This Row],[R]]-Data!H$188)/(Data!H$187-Data!H$188)</f>
        <v>0.43522727272727268</v>
      </c>
      <c r="B56" s="1">
        <f>(Table1[[#This Row],[HR]]-Data!I$188)/(Data!I$187-Data!I$188)</f>
        <v>0.57590197413206257</v>
      </c>
      <c r="C56" s="1">
        <f>(Table1[[#This Row],[RBI]]-Data!J$188)/(Data!J$187-Data!J$188)</f>
        <v>0.57953568357695617</v>
      </c>
      <c r="D56" s="1">
        <f>(Table1[[#This Row],[SB]]-Data!K$188)/(Data!K$187-Data!K$188)</f>
        <v>0.10664993726474276</v>
      </c>
      <c r="E56" s="1">
        <f>(Table1[[#This Row],[OBP]]-Data!L$188)/(Data!L$187-Data!L$188)</f>
        <v>0.58701159473260145</v>
      </c>
      <c r="F56" s="1">
        <f>(Table1[[#This Row],[OB]]-Data!P$188)/(Data!P$187-Data!P$188)</f>
        <v>0.5542616984823372</v>
      </c>
      <c r="G56" s="1">
        <f>SUM(Table3[[#This Row],[R Scale]:[OBP Scale]])</f>
        <v>2.2843264624336355</v>
      </c>
      <c r="H56" s="1">
        <f>SUM(Table3[[#This Row],[R Scale]:[SB Scale]],Table3[[#This Row],[OB Scale]])</f>
        <v>2.2515765661833713</v>
      </c>
      <c r="I56" s="1">
        <f>Table3[[#This Row],[R Scale]]*Data!B$192+Table3[[#This Row],[HR Scale]]*Data!C$192+Table3[[#This Row],[RBI Scale]]*Data!D$192+Table3[[#This Row],[SB Scale]]*Data!E$192+Table3[[#This Row],[OBP Scale]]*Data!F$192</f>
        <v>2.4741131908228198</v>
      </c>
      <c r="J56" s="1">
        <f>Table3[[#This Row],[R Scale]]*Data!B$192+Table3[[#This Row],[HR Scale]]*Data!C$192+Table3[[#This Row],[RBI Scale]]*Data!D$192+Table3[[#This Row],[SB Scale]]*Data!E$192+Table3[[#This Row],[OB Scale]]*Data!F$192</f>
        <v>2.4348133153225024</v>
      </c>
      <c r="K5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2.1615971323710004</v>
      </c>
      <c r="L5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2.1275876014563098</v>
      </c>
      <c r="M56" s="1">
        <f ca="1">Table3[[#This Row],[Tot Scale]]*M$185+M$186</f>
        <v>17.903747252328969</v>
      </c>
      <c r="N56" s="1">
        <f ca="1">Table3[[#This Row],[OB Tot Scale]]*N$185+N$186</f>
        <v>14.595283385019172</v>
      </c>
      <c r="O56" s="1">
        <f ca="1">Table3[[#This Row],[Weighted Scale]]*O$185+O$186</f>
        <v>18.900495109930503</v>
      </c>
      <c r="P56" s="1">
        <f ca="1">Table3[[#This Row],[OB Weighted Scale]]*P$185+P$186</f>
        <v>15.234247933629646</v>
      </c>
      <c r="Q56" s="1">
        <f ca="1">Table3[[#This Row],[Z-score]]*Q$185+Q$186</f>
        <v>17.289127649070874</v>
      </c>
      <c r="R56" s="1">
        <f ca="1">Table3[[#This Row],[OBMod Z-Score]]*R$185+R$186</f>
        <v>17.141820533669222</v>
      </c>
      <c r="S56" s="1">
        <f ca="1">AVERAGE(Table3[[#This Row],[Tot Value]:[OB Z Value]])</f>
        <v>16.844120310608066</v>
      </c>
      <c r="T56" s="1">
        <f>IF(Table1[[#This Row],[Included?]], (Table1[[#This Row],[I R]]-Data!S$188)/(Data!S$187-Data!S$188), "")</f>
        <v>0.28617594254937151</v>
      </c>
      <c r="U56" s="1">
        <f>IF(Table1[[#This Row],[Included?]], (Table1[[#This Row],[I HR]]-Data!T$188)/(Data!T$187-Data!T$188), "")</f>
        <v>0.57590197413206257</v>
      </c>
      <c r="V56" s="1">
        <f>IF(Table1[[#This Row],[Included?]], (Table1[[#This Row],[I RBI]]-Data!U$188)/(Data!U$187-Data!U$188), "")</f>
        <v>0.47077922077922085</v>
      </c>
      <c r="W56" s="1">
        <f>IF(Table1[[#This Row],[Included?]], (Table1[[#This Row],[I SB]]-Data!V$188)/(Data!V$187-Data!V$188), "")</f>
        <v>0.10664993726474276</v>
      </c>
      <c r="X56" s="1">
        <f>IF(Table1[[#This Row],[Included?]], (Table1[[#This Row],[I OBP]]-Data!W$188)/(Data!W$187-Data!W$188), "")</f>
        <v>0.50343888302907525</v>
      </c>
      <c r="Y56" s="1">
        <f>IF(Table1[[#This Row],[Included?]], (Table1[[#This Row],[I OB]]-Data!AA$188)/(Data!AA$187-Data!AA$188), "")</f>
        <v>0.31377530094656819</v>
      </c>
      <c r="Z56" s="1">
        <f>IF(Table1[[#This Row],[Included?]], SUM(Table35[[#This Row],[I R Scale]:[I OBP Scale]]), "")</f>
        <v>1.942945957754473</v>
      </c>
      <c r="AA56" s="1">
        <f>IF(Table1[[#This Row],[Included?]], SUM(Table35[[#This Row],[I R Scale]:[I SB Scale]],Table35[[#This Row],[I OB Scale]]), "")</f>
        <v>1.753282375671966</v>
      </c>
      <c r="AB5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2.1091719842611947</v>
      </c>
      <c r="AC5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1.8815756857621864</v>
      </c>
      <c r="AD5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-0.20216842431138421</v>
      </c>
      <c r="AE5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-0.2184912827205861</v>
      </c>
      <c r="AF56" s="1">
        <f ca="1">IF(Table1[[#This Row],[Included?]], Table35[[#This Row],[I Tot Scale]]*AF$185+AF$186, "")</f>
        <v>19.53617977635621</v>
      </c>
      <c r="AG56" s="1">
        <f ca="1">IF(Table1[[#This Row],[Included?]], Table35[[#This Row],[I OB Tot Scale]]*AG$185+AG$186, "")</f>
        <v>18.386456475735834</v>
      </c>
      <c r="AH56" s="1">
        <f ca="1">IF(Table1[[#This Row],[Included?]], Table35[[#This Row],[I Weighted Scale]]*AH$185+AH$186, "")</f>
        <v>20.217563428220366</v>
      </c>
      <c r="AI56" s="1">
        <f ca="1">IF(Table1[[#This Row],[Included?]], Table35[[#This Row],[I OB Weighted Scale]]*AI$185+AI$186, "")</f>
        <v>18.743119342077208</v>
      </c>
      <c r="AJ56" s="1">
        <f ca="1">IF(Table1[[#This Row],[Included?]], Table35[[#This Row],[I Z-score]]*AJ$185+AJ$186, "")</f>
        <v>19.082175882638559</v>
      </c>
      <c r="AK56" s="1">
        <f ca="1">IF(Table1[[#This Row],[Included?]], Table35[[#This Row],[I OBMod Z-Score]]*AK$185+AK$186, "")</f>
        <v>19.009812729132864</v>
      </c>
      <c r="AL56" s="1">
        <f ca="1">IF(Table1[[#This Row],[Included?]], AVERAGE(Table35[[#This Row],[I Tot Value]:[I OB Z Value]]), "")</f>
        <v>19.162551272360172</v>
      </c>
    </row>
    <row r="57" spans="1:38" hidden="1" x14ac:dyDescent="0.25">
      <c r="A57" s="1">
        <f>(Table1[[#This Row],[R]]-Data!H$188)/(Data!H$187-Data!H$188)</f>
        <v>0.5480113636363636</v>
      </c>
      <c r="B57" s="1">
        <f>(Table1[[#This Row],[HR]]-Data!I$188)/(Data!I$187-Data!I$188)</f>
        <v>0.70251872021783512</v>
      </c>
      <c r="C57" s="1">
        <f>(Table1[[#This Row],[RBI]]-Data!J$188)/(Data!J$187-Data!J$188)</f>
        <v>0.61335626253940956</v>
      </c>
      <c r="D57" s="1">
        <f>(Table1[[#This Row],[SB]]-Data!K$188)/(Data!K$187-Data!K$188)</f>
        <v>2.88582183186951E-2</v>
      </c>
      <c r="E57" s="1">
        <f>(Table1[[#This Row],[OBP]]-Data!L$188)/(Data!L$187-Data!L$188)</f>
        <v>0.36136847265741645</v>
      </c>
      <c r="F57" s="1">
        <f>(Table1[[#This Row],[OB]]-Data!P$188)/(Data!P$187-Data!P$188)</f>
        <v>0.47114881944063425</v>
      </c>
      <c r="G57" s="1">
        <f>SUM(Table3[[#This Row],[R Scale]:[OBP Scale]])</f>
        <v>2.25411303736972</v>
      </c>
      <c r="H57" s="1">
        <f>SUM(Table3[[#This Row],[R Scale]:[SB Scale]],Table3[[#This Row],[OB Scale]])</f>
        <v>2.3638933841529375</v>
      </c>
      <c r="I57" s="1">
        <f>Table3[[#This Row],[R Scale]]*Data!B$192+Table3[[#This Row],[HR Scale]]*Data!C$192+Table3[[#This Row],[RBI Scale]]*Data!D$192+Table3[[#This Row],[SB Scale]]*Data!E$192+Table3[[#This Row],[OBP Scale]]*Data!F$192</f>
        <v>2.3942568480454489</v>
      </c>
      <c r="J57" s="1">
        <f>Table3[[#This Row],[R Scale]]*Data!B$192+Table3[[#This Row],[HR Scale]]*Data!C$192+Table3[[#This Row],[RBI Scale]]*Data!D$192+Table3[[#This Row],[SB Scale]]*Data!E$192+Table3[[#This Row],[OB Scale]]*Data!F$192</f>
        <v>2.5259932641853102</v>
      </c>
      <c r="K5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1.667538181839527</v>
      </c>
      <c r="L5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1.6296783571555511</v>
      </c>
      <c r="M57" s="1">
        <f ca="1">Table3[[#This Row],[Tot Scale]]*M$185+M$186</f>
        <v>16.787909789935696</v>
      </c>
      <c r="N57" s="1">
        <f ca="1">Table3[[#This Row],[OB Tot Scale]]*N$185+N$186</f>
        <v>18.691251510615672</v>
      </c>
      <c r="O57" s="1">
        <f ca="1">Table3[[#This Row],[Weighted Scale]]*O$185+O$186</f>
        <v>16.15389518098354</v>
      </c>
      <c r="P57" s="1">
        <f ca="1">Table3[[#This Row],[OB Weighted Scale]]*P$185+P$186</f>
        <v>18.347188564055088</v>
      </c>
      <c r="Q57" s="1">
        <f ca="1">Table3[[#This Row],[Z-score]]*Q$185+Q$186</f>
        <v>13.658900082061141</v>
      </c>
      <c r="R57" s="1">
        <f ca="1">Table3[[#This Row],[OBMod Z-Score]]*R$185+R$186</f>
        <v>13.51678668887951</v>
      </c>
      <c r="S57" s="1">
        <f ca="1">AVERAGE(Table3[[#This Row],[Tot Value]:[OB Z Value]])</f>
        <v>16.192655302755107</v>
      </c>
      <c r="T57" s="1">
        <f>IF(Table1[[#This Row],[Included?]], (Table1[[#This Row],[I R]]-Data!S$188)/(Data!S$187-Data!S$188), "")</f>
        <v>0.42872531418312387</v>
      </c>
      <c r="U57" s="1">
        <f>IF(Table1[[#This Row],[Included?]], (Table1[[#This Row],[I HR]]-Data!T$188)/(Data!T$187-Data!T$188), "")</f>
        <v>0.70251872021783512</v>
      </c>
      <c r="V57" s="1">
        <f>IF(Table1[[#This Row],[Included?]], (Table1[[#This Row],[I RBI]]-Data!U$188)/(Data!U$187-Data!U$188), "")</f>
        <v>0.51334776334776344</v>
      </c>
      <c r="W57" s="1">
        <f>IF(Table1[[#This Row],[Included?]], (Table1[[#This Row],[I SB]]-Data!V$188)/(Data!V$187-Data!V$188), "")</f>
        <v>2.88582183186951E-2</v>
      </c>
      <c r="X57" s="1">
        <f>IF(Table1[[#This Row],[Included?]], (Table1[[#This Row],[I OBP]]-Data!W$188)/(Data!W$187-Data!W$188), "")</f>
        <v>0.23213441223669518</v>
      </c>
      <c r="Y57" s="1">
        <f>IF(Table1[[#This Row],[Included?]], (Table1[[#This Row],[I OB]]-Data!AA$188)/(Data!AA$187-Data!AA$188), "")</f>
        <v>0.18582105018179079</v>
      </c>
      <c r="Z57" s="1">
        <f>IF(Table1[[#This Row],[Included?]], SUM(Table35[[#This Row],[I R Scale]:[I OBP Scale]]), "")</f>
        <v>1.9055844283041128</v>
      </c>
      <c r="AA57" s="1">
        <f>IF(Table1[[#This Row],[Included?]], SUM(Table35[[#This Row],[I R Scale]:[I SB Scale]],Table35[[#This Row],[I OB Scale]]), "")</f>
        <v>1.8592710662492085</v>
      </c>
      <c r="AB5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2.0118083320026923</v>
      </c>
      <c r="AC5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1.9562322975368069</v>
      </c>
      <c r="AD5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-0.70813750686150023</v>
      </c>
      <c r="AE5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-0.63852212454998025</v>
      </c>
      <c r="AF57" s="1">
        <f ca="1">IF(Table1[[#This Row],[Included?]], Table35[[#This Row],[I Tot Scale]]*AF$185+AF$186, "")</f>
        <v>18.744910227356879</v>
      </c>
      <c r="AG57" s="1">
        <f ca="1">IF(Table1[[#This Row],[Included?]], Table35[[#This Row],[I OB Tot Scale]]*AG$185+AG$186, "")</f>
        <v>20.053133396937262</v>
      </c>
      <c r="AH57" s="1">
        <f ca="1">IF(Table1[[#This Row],[Included?]], Table35[[#This Row],[I Weighted Scale]]*AH$185+AH$186, "")</f>
        <v>18.296882403552743</v>
      </c>
      <c r="AI57" s="1">
        <f ca="1">IF(Table1[[#This Row],[Included?]], Table35[[#This Row],[I OB Weighted Scale]]*AI$185+AI$186, "")</f>
        <v>19.836472767607553</v>
      </c>
      <c r="AJ57" s="1">
        <f ca="1">IF(Table1[[#This Row],[Included?]], Table35[[#This Row],[I Z-score]]*AJ$185+AJ$186, "")</f>
        <v>16.785127626040119</v>
      </c>
      <c r="AK57" s="1">
        <f ca="1">IF(Table1[[#This Row],[Included?]], Table35[[#This Row],[I OBMod Z-Score]]*AK$185+AK$186, "")</f>
        <v>17.106262217769711</v>
      </c>
      <c r="AL57" s="1">
        <f ca="1">IF(Table1[[#This Row],[Included?]], AVERAGE(Table35[[#This Row],[I Tot Value]:[I OB Z Value]]), "")</f>
        <v>18.470464773210711</v>
      </c>
    </row>
    <row r="58" spans="1:38" hidden="1" x14ac:dyDescent="0.25">
      <c r="A58" s="1">
        <f>(Table1[[#This Row],[R]]-Data!H$188)/(Data!H$187-Data!H$188)</f>
        <v>0.53806818181818195</v>
      </c>
      <c r="B58" s="1">
        <f>(Table1[[#This Row],[HR]]-Data!I$188)/(Data!I$187-Data!I$188)</f>
        <v>0.24982981620149763</v>
      </c>
      <c r="C58" s="1">
        <f>(Table1[[#This Row],[RBI]]-Data!J$188)/(Data!J$187-Data!J$188)</f>
        <v>0.63141301232444846</v>
      </c>
      <c r="D58" s="1">
        <f>(Table1[[#This Row],[SB]]-Data!K$188)/(Data!K$187-Data!K$188)</f>
        <v>5.6148055207026336E-2</v>
      </c>
      <c r="E58" s="1">
        <f>(Table1[[#This Row],[OBP]]-Data!L$188)/(Data!L$187-Data!L$188)</f>
        <v>0.57211787303236949</v>
      </c>
      <c r="F58" s="1">
        <f>(Table1[[#This Row],[OB]]-Data!P$188)/(Data!P$187-Data!P$188)</f>
        <v>0.59589844410319071</v>
      </c>
      <c r="G58" s="1">
        <f>SUM(Table3[[#This Row],[R Scale]:[OBP Scale]])</f>
        <v>2.0475769385835241</v>
      </c>
      <c r="H58" s="1">
        <f>SUM(Table3[[#This Row],[R Scale]:[SB Scale]],Table3[[#This Row],[OB Scale]])</f>
        <v>2.0713575096543453</v>
      </c>
      <c r="I58" s="1">
        <f>Table3[[#This Row],[R Scale]]*Data!B$192+Table3[[#This Row],[HR Scale]]*Data!C$192+Table3[[#This Row],[RBI Scale]]*Data!D$192+Table3[[#This Row],[SB Scale]]*Data!E$192+Table3[[#This Row],[OBP Scale]]*Data!F$192</f>
        <v>2.2344762974730692</v>
      </c>
      <c r="J58" s="1">
        <f>Table3[[#This Row],[R Scale]]*Data!B$192+Table3[[#This Row],[HR Scale]]*Data!C$192+Table3[[#This Row],[RBI Scale]]*Data!D$192+Table3[[#This Row],[SB Scale]]*Data!E$192+Table3[[#This Row],[OB Scale]]*Data!F$192</f>
        <v>2.2630129827580547</v>
      </c>
      <c r="K5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1.0413741335451854</v>
      </c>
      <c r="L5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1.0415000215822046</v>
      </c>
      <c r="M58" s="1">
        <f ca="1">Table3[[#This Row],[Tot Scale]]*M$185+M$186</f>
        <v>9.1601510742434584</v>
      </c>
      <c r="N58" s="1">
        <f ca="1">Table3[[#This Row],[OB Tot Scale]]*N$185+N$186</f>
        <v>8.0230573861666841</v>
      </c>
      <c r="O58" s="1">
        <f ca="1">Table3[[#This Row],[Weighted Scale]]*O$185+O$186</f>
        <v>10.65836115593217</v>
      </c>
      <c r="P58" s="1">
        <f ca="1">Table3[[#This Row],[OB Weighted Scale]]*P$185+P$186</f>
        <v>9.3688768489720502</v>
      </c>
      <c r="Q58" s="1">
        <f ca="1">Table3[[#This Row],[Z-score]]*Q$185+Q$186</f>
        <v>9.057995701838351</v>
      </c>
      <c r="R58" s="1">
        <f ca="1">Table3[[#This Row],[OBMod Z-Score]]*R$185+R$186</f>
        <v>9.2345477113329437</v>
      </c>
      <c r="S58" s="1">
        <f ca="1">AVERAGE(Table3[[#This Row],[Tot Value]:[OB Z Value]])</f>
        <v>9.2504983130809428</v>
      </c>
      <c r="T58" s="1">
        <f>IF(Table1[[#This Row],[Included?]], (Table1[[#This Row],[I R]]-Data!S$188)/(Data!S$187-Data!S$188), "")</f>
        <v>0.41615798922800729</v>
      </c>
      <c r="U58" s="1">
        <f>IF(Table1[[#This Row],[Included?]], (Table1[[#This Row],[I HR]]-Data!T$188)/(Data!T$187-Data!T$188), "")</f>
        <v>0.24982981620149763</v>
      </c>
      <c r="V58" s="1">
        <f>IF(Table1[[#This Row],[Included?]], (Table1[[#This Row],[I RBI]]-Data!U$188)/(Data!U$187-Data!U$188), "")</f>
        <v>0.53607503607503637</v>
      </c>
      <c r="W58" s="1">
        <f>IF(Table1[[#This Row],[Included?]], (Table1[[#This Row],[I SB]]-Data!V$188)/(Data!V$187-Data!V$188), "")</f>
        <v>5.6148055207026336E-2</v>
      </c>
      <c r="X58" s="1">
        <f>IF(Table1[[#This Row],[Included?]], (Table1[[#This Row],[I OBP]]-Data!W$188)/(Data!W$187-Data!W$188), "")</f>
        <v>0.48553125417316878</v>
      </c>
      <c r="Y58" s="1">
        <f>IF(Table1[[#This Row],[Included?]], (Table1[[#This Row],[I OB]]-Data!AA$188)/(Data!AA$187-Data!AA$188), "")</f>
        <v>0.37787605947674408</v>
      </c>
      <c r="Z58" s="1">
        <f>IF(Table1[[#This Row],[Included?]], SUM(Table35[[#This Row],[I R Scale]:[I OBP Scale]]), "")</f>
        <v>1.7437421508847364</v>
      </c>
      <c r="AA58" s="1">
        <f>IF(Table1[[#This Row],[Included?]], SUM(Table35[[#This Row],[I R Scale]:[I SB Scale]],Table35[[#This Row],[I OB Scale]]), "")</f>
        <v>1.6360869561883118</v>
      </c>
      <c r="AB5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1.9064476100115766</v>
      </c>
      <c r="AC5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1.7772613763758669</v>
      </c>
      <c r="AD5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-1.1359520865919452</v>
      </c>
      <c r="AE5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-1.1390534804068091</v>
      </c>
      <c r="AF58" s="1">
        <f ca="1">IF(Table1[[#This Row],[Included?]], Table35[[#This Row],[I Tot Scale]]*AF$185+AF$186, "")</f>
        <v>15.317297178678015</v>
      </c>
      <c r="AG58" s="1">
        <f ca="1">IF(Table1[[#This Row],[Included?]], Table35[[#This Row],[I OB Tot Scale]]*AG$185+AG$186, "")</f>
        <v>16.543553238983641</v>
      </c>
      <c r="AH58" s="1">
        <f ca="1">IF(Table1[[#This Row],[Included?]], Table35[[#This Row],[I Weighted Scale]]*AH$185+AH$186, "")</f>
        <v>16.218444148829768</v>
      </c>
      <c r="AI58" s="1">
        <f ca="1">IF(Table1[[#This Row],[Included?]], Table35[[#This Row],[I OB Weighted Scale]]*AI$185+AI$186, "")</f>
        <v>17.215426016753586</v>
      </c>
      <c r="AJ58" s="1">
        <f ca="1">IF(Table1[[#This Row],[Included?]], Table35[[#This Row],[I Z-score]]*AJ$185+AJ$186, "")</f>
        <v>14.842892876113723</v>
      </c>
      <c r="AK58" s="1">
        <f ca="1">IF(Table1[[#This Row],[Included?]], Table35[[#This Row],[I OBMod Z-Score]]*AK$185+AK$186, "")</f>
        <v>14.837888985354656</v>
      </c>
      <c r="AL58" s="1">
        <f ca="1">IF(Table1[[#This Row],[Included?]], AVERAGE(Table35[[#This Row],[I Tot Value]:[I OB Z Value]]), "")</f>
        <v>15.82925040745223</v>
      </c>
    </row>
    <row r="59" spans="1:38" hidden="1" x14ac:dyDescent="0.25">
      <c r="A59" s="1">
        <f>(Table1[[#This Row],[R]]-Data!H$188)/(Data!H$187-Data!H$188)</f>
        <v>0.49715909090909099</v>
      </c>
      <c r="B59" s="1">
        <f>(Table1[[#This Row],[HR]]-Data!I$188)/(Data!I$187-Data!I$188)</f>
        <v>0.30905377808032669</v>
      </c>
      <c r="C59" s="1">
        <f>(Table1[[#This Row],[RBI]]-Data!J$188)/(Data!J$187-Data!J$188)</f>
        <v>0.62224132989395231</v>
      </c>
      <c r="D59" s="1">
        <f>(Table1[[#This Row],[SB]]-Data!K$188)/(Data!K$187-Data!K$188)</f>
        <v>6.8067754077791712E-2</v>
      </c>
      <c r="E59" s="1">
        <f>(Table1[[#This Row],[OBP]]-Data!L$188)/(Data!L$187-Data!L$188)</f>
        <v>0.5454995257139954</v>
      </c>
      <c r="F59" s="1">
        <f>(Table1[[#This Row],[OB]]-Data!P$188)/(Data!P$187-Data!P$188)</f>
        <v>0.59589844410319137</v>
      </c>
      <c r="G59" s="1">
        <f>SUM(Table3[[#This Row],[R Scale]:[OBP Scale]])</f>
        <v>2.0420214786751574</v>
      </c>
      <c r="H59" s="1">
        <f>SUM(Table3[[#This Row],[R Scale]:[SB Scale]],Table3[[#This Row],[OB Scale]])</f>
        <v>2.0924203970643531</v>
      </c>
      <c r="I59" s="1">
        <f>Table3[[#This Row],[R Scale]]*Data!B$192+Table3[[#This Row],[HR Scale]]*Data!C$192+Table3[[#This Row],[RBI Scale]]*Data!D$192+Table3[[#This Row],[SB Scale]]*Data!E$192+Table3[[#This Row],[OBP Scale]]*Data!F$192</f>
        <v>2.2258537407058374</v>
      </c>
      <c r="J59" s="1">
        <f>Table3[[#This Row],[R Scale]]*Data!B$192+Table3[[#This Row],[HR Scale]]*Data!C$192+Table3[[#This Row],[RBI Scale]]*Data!D$192+Table3[[#This Row],[SB Scale]]*Data!E$192+Table3[[#This Row],[OB Scale]]*Data!F$192</f>
        <v>2.2863324427728724</v>
      </c>
      <c r="K5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0.9869847569790926</v>
      </c>
      <c r="L5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0.98715055705817023</v>
      </c>
      <c r="M59" s="1">
        <f ca="1">Table3[[#This Row],[Tot Scale]]*M$185+M$186</f>
        <v>8.9549777026887369</v>
      </c>
      <c r="N59" s="1">
        <f ca="1">Table3[[#This Row],[OB Tot Scale]]*N$185+N$186</f>
        <v>8.7911784656634069</v>
      </c>
      <c r="O59" s="1">
        <f ca="1">Table3[[#This Row],[Weighted Scale]]*O$185+O$186</f>
        <v>10.361794684434159</v>
      </c>
      <c r="P59" s="1">
        <f ca="1">Table3[[#This Row],[OB Weighted Scale]]*P$185+P$186</f>
        <v>10.165017836821605</v>
      </c>
      <c r="Q59" s="1">
        <f ca="1">Table3[[#This Row],[Z-score]]*Q$185+Q$186</f>
        <v>8.6583555092048492</v>
      </c>
      <c r="R59" s="1">
        <f ca="1">Table3[[#This Row],[OBMod Z-Score]]*R$185+R$186</f>
        <v>8.8388558245062452</v>
      </c>
      <c r="S59" s="1">
        <f ca="1">AVERAGE(Table3[[#This Row],[Tot Value]:[OB Z Value]])</f>
        <v>9.2950300038865006</v>
      </c>
      <c r="T59" s="1">
        <f>IF(Table1[[#This Row],[Included?]], (Table1[[#This Row],[I R]]-Data!S$188)/(Data!S$187-Data!S$188), "")</f>
        <v>0.36445242369838426</v>
      </c>
      <c r="U59" s="1">
        <f>IF(Table1[[#This Row],[Included?]], (Table1[[#This Row],[I HR]]-Data!T$188)/(Data!T$187-Data!T$188), "")</f>
        <v>0.30905377808032669</v>
      </c>
      <c r="V59" s="1">
        <f>IF(Table1[[#This Row],[Included?]], (Table1[[#This Row],[I RBI]]-Data!U$188)/(Data!U$187-Data!U$188), "")</f>
        <v>0.52453102453102451</v>
      </c>
      <c r="W59" s="1">
        <f>IF(Table1[[#This Row],[Included?]], (Table1[[#This Row],[I SB]]-Data!V$188)/(Data!V$187-Data!V$188), "")</f>
        <v>6.8067754077791712E-2</v>
      </c>
      <c r="X59" s="1">
        <f>IF(Table1[[#This Row],[Included?]], (Table1[[#This Row],[I OBP]]-Data!W$188)/(Data!W$187-Data!W$188), "")</f>
        <v>0.45352639372733178</v>
      </c>
      <c r="Y59" s="1">
        <f>IF(Table1[[#This Row],[Included?]], (Table1[[#This Row],[I OB]]-Data!AA$188)/(Data!AA$187-Data!AA$188), "")</f>
        <v>0.37787605947674524</v>
      </c>
      <c r="Z59" s="1">
        <f>IF(Table1[[#This Row],[Included?]], SUM(Table35[[#This Row],[I R Scale]:[I OBP Scale]]), "")</f>
        <v>1.719631374114859</v>
      </c>
      <c r="AA59" s="1">
        <f>IF(Table1[[#This Row],[Included?]], SUM(Table35[[#This Row],[I R Scale]:[I SB Scale]],Table35[[#This Row],[I OB Scale]]), "")</f>
        <v>1.6439810398642725</v>
      </c>
      <c r="AB5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1.8787976153966914</v>
      </c>
      <c r="AC5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1.7880172142959876</v>
      </c>
      <c r="AD5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-1.2846660333340774</v>
      </c>
      <c r="AE5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-1.2838740658922483</v>
      </c>
      <c r="AF59" s="1">
        <f ca="1">IF(Table1[[#This Row],[Included?]], Table35[[#This Row],[I Tot Scale]]*AF$185+AF$186, "")</f>
        <v>14.806661673617331</v>
      </c>
      <c r="AG59" s="1">
        <f ca="1">IF(Table1[[#This Row],[Included?]], Table35[[#This Row],[I OB Tot Scale]]*AG$185+AG$186, "")</f>
        <v>16.667688059454584</v>
      </c>
      <c r="AH59" s="1">
        <f ca="1">IF(Table1[[#This Row],[Included?]], Table35[[#This Row],[I Weighted Scale]]*AH$185+AH$186, "")</f>
        <v>15.67299604004301</v>
      </c>
      <c r="AI59" s="1">
        <f ca="1">IF(Table1[[#This Row],[Included?]], Table35[[#This Row],[I OB Weighted Scale]]*AI$185+AI$186, "")</f>
        <v>17.372946321450979</v>
      </c>
      <c r="AJ59" s="1">
        <f ca="1">IF(Table1[[#This Row],[Included?]], Table35[[#This Row],[I Z-score]]*AJ$185+AJ$186, "")</f>
        <v>14.167746658929492</v>
      </c>
      <c r="AK59" s="1">
        <f ca="1">IF(Table1[[#This Row],[Included?]], Table35[[#This Row],[I OBMod Z-Score]]*AK$185+AK$186, "")</f>
        <v>14.181572181674104</v>
      </c>
      <c r="AL59" s="1">
        <f ca="1">IF(Table1[[#This Row],[Included?]], AVERAGE(Table35[[#This Row],[I Tot Value]:[I OB Z Value]]), "")</f>
        <v>15.478268489194916</v>
      </c>
    </row>
    <row r="60" spans="1:38" hidden="1" x14ac:dyDescent="0.25">
      <c r="A60" s="1">
        <f>(Table1[[#This Row],[R]]-Data!H$188)/(Data!H$187-Data!H$188)</f>
        <v>0.43664772727272744</v>
      </c>
      <c r="B60" s="1">
        <f>(Table1[[#This Row],[HR]]-Data!I$188)/(Data!I$187-Data!I$188)</f>
        <v>0.6358066712049012</v>
      </c>
      <c r="C60" s="1">
        <f>(Table1[[#This Row],[RBI]]-Data!J$188)/(Data!J$187-Data!J$188)</f>
        <v>0.56405846947549443</v>
      </c>
      <c r="D60" s="1">
        <f>(Table1[[#This Row],[SB]]-Data!K$188)/(Data!K$187-Data!K$188)</f>
        <v>6.7440401505646161E-2</v>
      </c>
      <c r="E60" s="1">
        <f>(Table1[[#This Row],[OBP]]-Data!L$188)/(Data!L$187-Data!L$188)</f>
        <v>0.78677527281177484</v>
      </c>
      <c r="F60" s="1">
        <f>(Table1[[#This Row],[OB]]-Data!P$188)/(Data!P$187-Data!P$188)</f>
        <v>0.52758096859206727</v>
      </c>
      <c r="G60" s="1">
        <f>SUM(Table3[[#This Row],[R Scale]:[OBP Scale]])</f>
        <v>2.4907285422705443</v>
      </c>
      <c r="H60" s="1">
        <f>SUM(Table3[[#This Row],[R Scale]:[SB Scale]],Table3[[#This Row],[OB Scale]])</f>
        <v>2.2315342380508367</v>
      </c>
      <c r="I60" s="1">
        <f>Table3[[#This Row],[R Scale]]*Data!B$192+Table3[[#This Row],[HR Scale]]*Data!C$192+Table3[[#This Row],[RBI Scale]]*Data!D$192+Table3[[#This Row],[SB Scale]]*Data!E$192+Table3[[#This Row],[OBP Scale]]*Data!F$192</f>
        <v>2.7172305180007252</v>
      </c>
      <c r="J60" s="1">
        <f>Table3[[#This Row],[R Scale]]*Data!B$192+Table3[[#This Row],[HR Scale]]*Data!C$192+Table3[[#This Row],[RBI Scale]]*Data!D$192+Table3[[#This Row],[SB Scale]]*Data!E$192+Table3[[#This Row],[OB Scale]]*Data!F$192</f>
        <v>2.4061973529370762</v>
      </c>
      <c r="K6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3.2059678921341295</v>
      </c>
      <c r="L6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2.9779434086890495</v>
      </c>
      <c r="M60" s="1">
        <f ca="1">Table3[[#This Row],[Tot Scale]]*M$185+M$186</f>
        <v>25.526556401265083</v>
      </c>
      <c r="N60" s="1">
        <f ca="1">Table3[[#This Row],[OB Tot Scale]]*N$185+N$186</f>
        <v>13.864380046786678</v>
      </c>
      <c r="O60" s="1">
        <f ca="1">Table3[[#This Row],[Weighted Scale]]*O$185+O$186</f>
        <v>27.26233601484401</v>
      </c>
      <c r="P60" s="1">
        <f ca="1">Table3[[#This Row],[OB Weighted Scale]]*P$185+P$186</f>
        <v>14.257281033567537</v>
      </c>
      <c r="Q60" s="1">
        <f ca="1">Table3[[#This Row],[Z-score]]*Q$185+Q$186</f>
        <v>24.962915398878046</v>
      </c>
      <c r="R60" s="1">
        <f ca="1">Table3[[#This Row],[OBMod Z-Score]]*R$185+R$186</f>
        <v>23.332845537957265</v>
      </c>
      <c r="S60" s="1">
        <f ca="1">AVERAGE(Table3[[#This Row],[Tot Value]:[OB Z Value]])</f>
        <v>21.534385738883103</v>
      </c>
      <c r="T60" s="1">
        <f>IF(Table1[[#This Row],[Included?]], (Table1[[#This Row],[I R]]-Data!S$188)/(Data!S$187-Data!S$188), "")</f>
        <v>0.28797127468581707</v>
      </c>
      <c r="U60" s="1">
        <f>IF(Table1[[#This Row],[Included?]], (Table1[[#This Row],[I HR]]-Data!T$188)/(Data!T$187-Data!T$188), "")</f>
        <v>0.6358066712049012</v>
      </c>
      <c r="V60" s="1">
        <f>IF(Table1[[#This Row],[Included?]], (Table1[[#This Row],[I RBI]]-Data!U$188)/(Data!U$187-Data!U$188), "")</f>
        <v>0.45129870129870148</v>
      </c>
      <c r="W60" s="1">
        <f>IF(Table1[[#This Row],[Included?]], (Table1[[#This Row],[I SB]]-Data!V$188)/(Data!V$187-Data!V$188), "")</f>
        <v>6.7440401505646161E-2</v>
      </c>
      <c r="X60" s="1">
        <f>IF(Table1[[#This Row],[Included?]], (Table1[[#This Row],[I OBP]]-Data!W$188)/(Data!W$187-Data!W$188), "")</f>
        <v>0.74362692185062185</v>
      </c>
      <c r="Y60" s="1">
        <f>IF(Table1[[#This Row],[Included?]], (Table1[[#This Row],[I OB]]-Data!AA$188)/(Data!AA$187-Data!AA$188), "")</f>
        <v>0.27269968375787812</v>
      </c>
      <c r="Z60" s="1">
        <f>IF(Table1[[#This Row],[Included?]], SUM(Table35[[#This Row],[I R Scale]:[I OBP Scale]]), "")</f>
        <v>2.1861439705456878</v>
      </c>
      <c r="AA60" s="1">
        <f>IF(Table1[[#This Row],[Included?]], SUM(Table35[[#This Row],[I R Scale]:[I SB Scale]],Table35[[#This Row],[I OB Scale]]), "")</f>
        <v>1.7152167324529441</v>
      </c>
      <c r="AB6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2.396331967706971</v>
      </c>
      <c r="AC6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1.8312192819956783</v>
      </c>
      <c r="AD6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1.1072286933136892</v>
      </c>
      <c r="AE6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0.85333901217132313</v>
      </c>
      <c r="AF60" s="1">
        <f ca="1">IF(Table1[[#This Row],[Included?]], Table35[[#This Row],[I Tot Scale]]*AF$185+AF$186, "")</f>
        <v>24.68680355246563</v>
      </c>
      <c r="AG60" s="1">
        <f ca="1">IF(Table1[[#This Row],[Included?]], Table35[[#This Row],[I OB Tot Scale]]*AG$185+AG$186, "")</f>
        <v>17.787872525898322</v>
      </c>
      <c r="AH60" s="1">
        <f ca="1">IF(Table1[[#This Row],[Included?]], Table35[[#This Row],[I Weighted Scale]]*AH$185+AH$186, "")</f>
        <v>25.882333786092865</v>
      </c>
      <c r="AI60" s="1">
        <f ca="1">IF(Table1[[#This Row],[Included?]], Table35[[#This Row],[I OB Weighted Scale]]*AI$185+AI$186, "")</f>
        <v>18.005644853927215</v>
      </c>
      <c r="AJ60" s="1">
        <f ca="1">IF(Table1[[#This Row],[Included?]], Table35[[#This Row],[I Z-score]]*AJ$185+AJ$186, "")</f>
        <v>25.026705835094262</v>
      </c>
      <c r="AK60" s="1">
        <f ca="1">IF(Table1[[#This Row],[Included?]], Table35[[#This Row],[I OBMod Z-Score]]*AK$185+AK$186, "")</f>
        <v>23.867272950505665</v>
      </c>
      <c r="AL60" s="1">
        <f ca="1">IF(Table1[[#This Row],[Included?]], AVERAGE(Table35[[#This Row],[I Tot Value]:[I OB Z Value]]), "")</f>
        <v>22.54277225066399</v>
      </c>
    </row>
    <row r="61" spans="1:38" hidden="1" x14ac:dyDescent="0.25">
      <c r="A61" s="1">
        <f>(Table1[[#This Row],[R]]-Data!H$188)/(Data!H$187-Data!H$188)</f>
        <v>0.53749999999999987</v>
      </c>
      <c r="B61" s="1">
        <f>(Table1[[#This Row],[HR]]-Data!I$188)/(Data!I$187-Data!I$188)</f>
        <v>0.45200816882232803</v>
      </c>
      <c r="C61" s="1">
        <f>(Table1[[#This Row],[RBI]]-Data!J$188)/(Data!J$187-Data!J$188)</f>
        <v>0.43192891946116363</v>
      </c>
      <c r="D61" s="1">
        <f>(Table1[[#This Row],[SB]]-Data!K$188)/(Data!K$187-Data!K$188)</f>
        <v>1.7252195734002509E-2</v>
      </c>
      <c r="E61" s="1">
        <f>(Table1[[#This Row],[OBP]]-Data!L$188)/(Data!L$187-Data!L$188)</f>
        <v>0.55334616898102629</v>
      </c>
      <c r="F61" s="1">
        <f>(Table1[[#This Row],[OB]]-Data!P$188)/(Data!P$187-Data!P$188)</f>
        <v>0.60978066322682323</v>
      </c>
      <c r="G61" s="1">
        <f>SUM(Table3[[#This Row],[R Scale]:[OBP Scale]])</f>
        <v>1.9920354529985205</v>
      </c>
      <c r="H61" s="1">
        <f>SUM(Table3[[#This Row],[R Scale]:[SB Scale]],Table3[[#This Row],[OB Scale]])</f>
        <v>2.0484699472443175</v>
      </c>
      <c r="I61" s="1">
        <f>Table3[[#This Row],[R Scale]]*Data!B$192+Table3[[#This Row],[HR Scale]]*Data!C$192+Table3[[#This Row],[RBI Scale]]*Data!D$192+Table3[[#This Row],[SB Scale]]*Data!E$192+Table3[[#This Row],[OBP Scale]]*Data!F$192</f>
        <v>2.1353404706869585</v>
      </c>
      <c r="J61" s="1">
        <f>Table3[[#This Row],[R Scale]]*Data!B$192+Table3[[#This Row],[HR Scale]]*Data!C$192+Table3[[#This Row],[RBI Scale]]*Data!D$192+Table3[[#This Row],[SB Scale]]*Data!E$192+Table3[[#This Row],[OB Scale]]*Data!F$192</f>
        <v>2.2030618637819148</v>
      </c>
      <c r="K6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0.59133026057781723</v>
      </c>
      <c r="L6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0.60025815550205364</v>
      </c>
      <c r="M61" s="1">
        <f ca="1">Table3[[#This Row],[Tot Scale]]*M$185+M$186</f>
        <v>7.1089016643663427</v>
      </c>
      <c r="N61" s="1">
        <f ca="1">Table3[[#This Row],[OB Tot Scale]]*N$185+N$186</f>
        <v>7.1883940846344387</v>
      </c>
      <c r="O61" s="1">
        <f ca="1">Table3[[#This Row],[Weighted Scale]]*O$185+O$186</f>
        <v>7.248657614086639</v>
      </c>
      <c r="P61" s="1">
        <f ca="1">Table3[[#This Row],[OB Weighted Scale]]*P$185+P$186</f>
        <v>7.3221080535530518</v>
      </c>
      <c r="Q61" s="1">
        <f ca="1">Table3[[#This Row],[Z-score]]*Q$185+Q$186</f>
        <v>5.7511804478034207</v>
      </c>
      <c r="R61" s="1">
        <f ca="1">Table3[[#This Row],[OBMod Z-Score]]*R$185+R$186</f>
        <v>6.022081350068639</v>
      </c>
      <c r="S61" s="1">
        <f ca="1">AVERAGE(Table3[[#This Row],[Tot Value]:[OB Z Value]])</f>
        <v>6.773553869085422</v>
      </c>
      <c r="T61" s="1">
        <f>IF(Table1[[#This Row],[Included?]], (Table1[[#This Row],[I R]]-Data!S$188)/(Data!S$187-Data!S$188), "")</f>
        <v>0.41543985637342895</v>
      </c>
      <c r="U61" s="1">
        <f>IF(Table1[[#This Row],[Included?]], (Table1[[#This Row],[I HR]]-Data!T$188)/(Data!T$187-Data!T$188), "")</f>
        <v>0.45200816882232803</v>
      </c>
      <c r="V61" s="1">
        <f>IF(Table1[[#This Row],[Included?]], (Table1[[#This Row],[I RBI]]-Data!U$188)/(Data!U$187-Data!U$188), "")</f>
        <v>0.28499278499278508</v>
      </c>
      <c r="W61" s="1">
        <f>IF(Table1[[#This Row],[Included?]], (Table1[[#This Row],[I SB]]-Data!V$188)/(Data!V$187-Data!V$188), "")</f>
        <v>1.7252195734002509E-2</v>
      </c>
      <c r="X61" s="1">
        <f>IF(Table1[[#This Row],[Included?]], (Table1[[#This Row],[I OBP]]-Data!W$188)/(Data!W$187-Data!W$188), "")</f>
        <v>0.4629608909080129</v>
      </c>
      <c r="Y61" s="1">
        <f>IF(Table1[[#This Row],[Included?]], (Table1[[#This Row],[I OB]]-Data!AA$188)/(Data!AA$187-Data!AA$188), "")</f>
        <v>0.39924806544498392</v>
      </c>
      <c r="Z61" s="1">
        <f>IF(Table1[[#This Row],[Included?]], SUM(Table35[[#This Row],[I R Scale]:[I OBP Scale]]), "")</f>
        <v>1.6326538968305577</v>
      </c>
      <c r="AA61" s="1">
        <f>IF(Table1[[#This Row],[Included?]], SUM(Table35[[#This Row],[I R Scale]:[I SB Scale]],Table35[[#This Row],[I OB Scale]]), "")</f>
        <v>1.5689410713675287</v>
      </c>
      <c r="AB6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1.7407006463733743</v>
      </c>
      <c r="AC6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1.6642452558177394</v>
      </c>
      <c r="AD6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-1.6066408223519457</v>
      </c>
      <c r="AE6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-1.6062870735729295</v>
      </c>
      <c r="AF61" s="1">
        <f ca="1">IF(Table1[[#This Row],[Included?]], Table35[[#This Row],[I Tot Scale]]*AF$185+AF$186, "")</f>
        <v>12.964589621527264</v>
      </c>
      <c r="AG61" s="1">
        <f ca="1">IF(Table1[[#This Row],[Included?]], Table35[[#This Row],[I OB Tot Scale]]*AG$185+AG$186, "")</f>
        <v>15.487681183437386</v>
      </c>
      <c r="AH61" s="1">
        <f ca="1">IF(Table1[[#This Row],[Included?]], Table35[[#This Row],[I Weighted Scale]]*AH$185+AH$186, "")</f>
        <v>12.948773788570975</v>
      </c>
      <c r="AI61" s="1">
        <f ca="1">IF(Table1[[#This Row],[Included?]], Table35[[#This Row],[I OB Weighted Scale]]*AI$185+AI$186, "")</f>
        <v>15.560293810574553</v>
      </c>
      <c r="AJ61" s="1">
        <f ca="1">IF(Table1[[#This Row],[Included?]], Table35[[#This Row],[I Z-score]]*AJ$185+AJ$186, "")</f>
        <v>12.70601381143107</v>
      </c>
      <c r="AK61" s="1">
        <f ca="1">IF(Table1[[#This Row],[Included?]], Table35[[#This Row],[I OBMod Z-Score]]*AK$185+AK$186, "")</f>
        <v>12.720418893578239</v>
      </c>
      <c r="AL61" s="1">
        <f ca="1">IF(Table1[[#This Row],[Included?]], AVERAGE(Table35[[#This Row],[I Tot Value]:[I OB Z Value]]), "")</f>
        <v>13.73129518485325</v>
      </c>
    </row>
    <row r="62" spans="1:38" hidden="1" x14ac:dyDescent="0.25">
      <c r="A62" s="1">
        <f>(Table1[[#This Row],[R]]-Data!H$188)/(Data!H$187-Data!H$188)</f>
        <v>0.4568181818181819</v>
      </c>
      <c r="B62" s="1">
        <f>(Table1[[#This Row],[HR]]-Data!I$188)/(Data!I$187-Data!I$188)</f>
        <v>0.58951667801225316</v>
      </c>
      <c r="C62" s="1">
        <f>(Table1[[#This Row],[RBI]]-Data!J$188)/(Data!J$187-Data!J$188)</f>
        <v>0.56549154485525921</v>
      </c>
      <c r="D62" s="1">
        <f>(Table1[[#This Row],[SB]]-Data!K$188)/(Data!K$187-Data!K$188)</f>
        <v>0</v>
      </c>
      <c r="E62" s="1">
        <f>(Table1[[#This Row],[OBP]]-Data!L$188)/(Data!L$187-Data!L$188)</f>
        <v>0.54229428372397837</v>
      </c>
      <c r="F62" s="1">
        <f>(Table1[[#This Row],[OB]]-Data!P$188)/(Data!P$187-Data!P$188)</f>
        <v>0.54611055809599207</v>
      </c>
      <c r="G62" s="1">
        <f>SUM(Table3[[#This Row],[R Scale]:[OBP Scale]])</f>
        <v>2.1541206884096731</v>
      </c>
      <c r="H62" s="1">
        <f>SUM(Table3[[#This Row],[R Scale]:[SB Scale]],Table3[[#This Row],[OB Scale]])</f>
        <v>2.1579369627816867</v>
      </c>
      <c r="I62" s="1">
        <f>Table3[[#This Row],[R Scale]]*Data!B$192+Table3[[#This Row],[HR Scale]]*Data!C$192+Table3[[#This Row],[RBI Scale]]*Data!D$192+Table3[[#This Row],[SB Scale]]*Data!E$192+Table3[[#This Row],[OBP Scale]]*Data!F$192</f>
        <v>2.3299960359437017</v>
      </c>
      <c r="J62" s="1">
        <f>Table3[[#This Row],[R Scale]]*Data!B$192+Table3[[#This Row],[HR Scale]]*Data!C$192+Table3[[#This Row],[RBI Scale]]*Data!D$192+Table3[[#This Row],[SB Scale]]*Data!E$192+Table3[[#This Row],[OB Scale]]*Data!F$192</f>
        <v>2.3345755651901183</v>
      </c>
      <c r="K6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1.2673591197814216</v>
      </c>
      <c r="L6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1.2397076808871619</v>
      </c>
      <c r="M62" s="1">
        <f ca="1">Table3[[#This Row],[Tot Scale]]*M$185+M$186</f>
        <v>13.095008085270038</v>
      </c>
      <c r="N62" s="1">
        <f ca="1">Table3[[#This Row],[OB Tot Scale]]*N$185+N$186</f>
        <v>11.180435655530204</v>
      </c>
      <c r="O62" s="1">
        <f ca="1">Table3[[#This Row],[Weighted Scale]]*O$185+O$186</f>
        <v>13.943692010963716</v>
      </c>
      <c r="P62" s="1">
        <f ca="1">Table3[[#This Row],[OB Weighted Scale]]*P$185+P$186</f>
        <v>11.812068287981603</v>
      </c>
      <c r="Q62" s="1">
        <f ca="1">Table3[[#This Row],[Z-score]]*Q$185+Q$186</f>
        <v>10.718479589201582</v>
      </c>
      <c r="R62" s="1">
        <f ca="1">Table3[[#This Row],[OBMod Z-Score]]*R$185+R$186</f>
        <v>10.677600800829328</v>
      </c>
      <c r="S62" s="1">
        <f ca="1">AVERAGE(Table3[[#This Row],[Tot Value]:[OB Z Value]])</f>
        <v>11.904547404962743</v>
      </c>
      <c r="T62" s="1">
        <f>IF(Table1[[#This Row],[Included?]], (Table1[[#This Row],[I R]]-Data!S$188)/(Data!S$187-Data!S$188), "")</f>
        <v>0.31346499102333941</v>
      </c>
      <c r="U62" s="1">
        <f>IF(Table1[[#This Row],[Included?]], (Table1[[#This Row],[I HR]]-Data!T$188)/(Data!T$187-Data!T$188), "")</f>
        <v>0.58951667801225316</v>
      </c>
      <c r="V62" s="1">
        <f>IF(Table1[[#This Row],[Included?]], (Table1[[#This Row],[I RBI]]-Data!U$188)/(Data!U$187-Data!U$188), "")</f>
        <v>0.4531024531024529</v>
      </c>
      <c r="W62" s="1">
        <f>IF(Table1[[#This Row],[Included?]], (Table1[[#This Row],[I SB]]-Data!V$188)/(Data!V$187-Data!V$188), "")</f>
        <v>0</v>
      </c>
      <c r="X62" s="1">
        <f>IF(Table1[[#This Row],[Included?]], (Table1[[#This Row],[I OBP]]-Data!W$188)/(Data!W$187-Data!W$188), "")</f>
        <v>0.44967253603441554</v>
      </c>
      <c r="Y62" s="1">
        <f>IF(Table1[[#This Row],[Included?]], (Table1[[#This Row],[I OB]]-Data!AA$188)/(Data!AA$187-Data!AA$188), "")</f>
        <v>0.3012264267764172</v>
      </c>
      <c r="Z62" s="1">
        <f>IF(Table1[[#This Row],[Included?]], SUM(Table35[[#This Row],[I R Scale]:[I OBP Scale]]), "")</f>
        <v>1.8057566581724611</v>
      </c>
      <c r="AA62" s="1">
        <f>IF(Table1[[#This Row],[Included?]], SUM(Table35[[#This Row],[I R Scale]:[I SB Scale]],Table35[[#This Row],[I OB Scale]]), "")</f>
        <v>1.6573105489144626</v>
      </c>
      <c r="AB6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1.9549651568975008</v>
      </c>
      <c r="AC6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1.7768298257879027</v>
      </c>
      <c r="AD6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-0.98435475836516739</v>
      </c>
      <c r="AE6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-0.9811006165779852</v>
      </c>
      <c r="AF62" s="1">
        <f ca="1">IF(Table1[[#This Row],[Included?]], Table35[[#This Row],[I Tot Scale]]*AF$185+AF$186, "")</f>
        <v>16.630685359913205</v>
      </c>
      <c r="AG62" s="1">
        <f ca="1">IF(Table1[[#This Row],[Included?]], Table35[[#This Row],[I OB Tot Scale]]*AG$185+AG$186, "")</f>
        <v>16.877295188138817</v>
      </c>
      <c r="AH62" s="1">
        <f ca="1">IF(Table1[[#This Row],[Included?]], Table35[[#This Row],[I Weighted Scale]]*AH$185+AH$186, "")</f>
        <v>17.175543944344874</v>
      </c>
      <c r="AI62" s="1">
        <f ca="1">IF(Table1[[#This Row],[Included?]], Table35[[#This Row],[I OB Weighted Scale]]*AI$185+AI$186, "")</f>
        <v>17.209105915928962</v>
      </c>
      <c r="AJ62" s="1">
        <f ca="1">IF(Table1[[#This Row],[Included?]], Table35[[#This Row],[I Z-score]]*AJ$185+AJ$186, "")</f>
        <v>15.531129352447849</v>
      </c>
      <c r="AK62" s="1">
        <f ca="1">IF(Table1[[#This Row],[Included?]], Table35[[#This Row],[I OBMod Z-Score]]*AK$185+AK$186, "")</f>
        <v>15.553720359553498</v>
      </c>
      <c r="AL62" s="1">
        <f ca="1">IF(Table1[[#This Row],[Included?]], AVERAGE(Table35[[#This Row],[I Tot Value]:[I OB Z Value]]), "")</f>
        <v>16.4962466867212</v>
      </c>
    </row>
    <row r="63" spans="1:38" hidden="1" x14ac:dyDescent="0.25">
      <c r="A63" s="1">
        <f>(Table1[[#This Row],[R]]-Data!H$188)/(Data!H$187-Data!H$188)</f>
        <v>0.55653409090909101</v>
      </c>
      <c r="B63" s="1">
        <f>(Table1[[#This Row],[HR]]-Data!I$188)/(Data!I$187-Data!I$188)</f>
        <v>0.62968005445881547</v>
      </c>
      <c r="C63" s="1">
        <f>(Table1[[#This Row],[RBI]]-Data!J$188)/(Data!J$187-Data!J$188)</f>
        <v>0.48638578389223258</v>
      </c>
      <c r="D63" s="1">
        <f>(Table1[[#This Row],[SB]]-Data!K$188)/(Data!K$187-Data!K$188)</f>
        <v>9.4730238393977401E-2</v>
      </c>
      <c r="E63" s="1">
        <f>(Table1[[#This Row],[OBP]]-Data!L$188)/(Data!L$187-Data!L$188)</f>
        <v>0.28768957310043453</v>
      </c>
      <c r="F63" s="1">
        <f>(Table1[[#This Row],[OB]]-Data!P$188)/(Data!P$187-Data!P$188)</f>
        <v>0.47970159574493876</v>
      </c>
      <c r="G63" s="1">
        <f>SUM(Table3[[#This Row],[R Scale]:[OBP Scale]])</f>
        <v>2.0550197407545507</v>
      </c>
      <c r="H63" s="1">
        <f>SUM(Table3[[#This Row],[R Scale]:[SB Scale]],Table3[[#This Row],[OB Scale]])</f>
        <v>2.2470317633990553</v>
      </c>
      <c r="I63" s="1">
        <f>Table3[[#This Row],[R Scale]]*Data!B$192+Table3[[#This Row],[HR Scale]]*Data!C$192+Table3[[#This Row],[RBI Scale]]*Data!D$192+Table3[[#This Row],[SB Scale]]*Data!E$192+Table3[[#This Row],[OBP Scale]]*Data!F$192</f>
        <v>2.1541814030621751</v>
      </c>
      <c r="J63" s="1">
        <f>Table3[[#This Row],[R Scale]]*Data!B$192+Table3[[#This Row],[HR Scale]]*Data!C$192+Table3[[#This Row],[RBI Scale]]*Data!D$192+Table3[[#This Row],[SB Scale]]*Data!E$192+Table3[[#This Row],[OB Scale]]*Data!F$192</f>
        <v>2.3845958302355803</v>
      </c>
      <c r="K6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0.81016793417131938</v>
      </c>
      <c r="L6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0.72943582499807158</v>
      </c>
      <c r="M63" s="1">
        <f ca="1">Table3[[#This Row],[Tot Scale]]*M$185+M$186</f>
        <v>9.4350274733953228</v>
      </c>
      <c r="N63" s="1">
        <f ca="1">Table3[[#This Row],[OB Tot Scale]]*N$185+N$186</f>
        <v>14.429543581504404</v>
      </c>
      <c r="O63" s="1">
        <f ca="1">Table3[[#This Row],[Weighted Scale]]*O$185+O$186</f>
        <v>7.8966775674588234</v>
      </c>
      <c r="P63" s="1">
        <f ca="1">Table3[[#This Row],[OB Weighted Scale]]*P$185+P$186</f>
        <v>13.519791502862475</v>
      </c>
      <c r="Q63" s="1">
        <f ca="1">Table3[[#This Row],[Z-score]]*Q$185+Q$186</f>
        <v>7.3591475831519801</v>
      </c>
      <c r="R63" s="1">
        <f ca="1">Table3[[#This Row],[OBMod Z-Score]]*R$185+R$186</f>
        <v>6.9625608235352274</v>
      </c>
      <c r="S63" s="1">
        <f ca="1">AVERAGE(Table3[[#This Row],[Tot Value]:[OB Z Value]])</f>
        <v>9.9337914219847061</v>
      </c>
      <c r="T63" s="1" t="str">
        <f>IF(Table1[[#This Row],[Included?]], (Table1[[#This Row],[I R]]-Data!S$188)/(Data!S$187-Data!S$188), "")</f>
        <v/>
      </c>
      <c r="U63" s="1" t="str">
        <f>IF(Table1[[#This Row],[Included?]], (Table1[[#This Row],[I HR]]-Data!T$188)/(Data!T$187-Data!T$188), "")</f>
        <v/>
      </c>
      <c r="V63" s="1" t="str">
        <f>IF(Table1[[#This Row],[Included?]], (Table1[[#This Row],[I RBI]]-Data!U$188)/(Data!U$187-Data!U$188), "")</f>
        <v/>
      </c>
      <c r="W63" s="1" t="str">
        <f>IF(Table1[[#This Row],[Included?]], (Table1[[#This Row],[I SB]]-Data!V$188)/(Data!V$187-Data!V$188), "")</f>
        <v/>
      </c>
      <c r="X63" s="1" t="str">
        <f>IF(Table1[[#This Row],[Included?]], (Table1[[#This Row],[I OBP]]-Data!W$188)/(Data!W$187-Data!W$188), "")</f>
        <v/>
      </c>
      <c r="Y63" s="1" t="str">
        <f>IF(Table1[[#This Row],[Included?]], (Table1[[#This Row],[I OB]]-Data!AA$188)/(Data!AA$187-Data!AA$188), "")</f>
        <v/>
      </c>
      <c r="Z63" s="1" t="str">
        <f>IF(Table1[[#This Row],[Included?]], SUM(Table35[[#This Row],[I R Scale]:[I OBP Scale]]), "")</f>
        <v/>
      </c>
      <c r="AA63" s="1" t="str">
        <f>IF(Table1[[#This Row],[Included?]], SUM(Table35[[#This Row],[I R Scale]:[I SB Scale]],Table35[[#This Row],[I OB Scale]]), "")</f>
        <v/>
      </c>
      <c r="AB6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3" s="1" t="str">
        <f>IF(Table1[[#This Row],[Included?]], Table35[[#This Row],[I Tot Scale]]*AF$185+AF$186, "")</f>
        <v/>
      </c>
      <c r="AG63" s="1" t="str">
        <f>IF(Table1[[#This Row],[Included?]], Table35[[#This Row],[I OB Tot Scale]]*AG$185+AG$186, "")</f>
        <v/>
      </c>
      <c r="AH63" s="1" t="str">
        <f>IF(Table1[[#This Row],[Included?]], Table35[[#This Row],[I Weighted Scale]]*AH$185+AH$186, "")</f>
        <v/>
      </c>
      <c r="AI63" s="1" t="str">
        <f>IF(Table1[[#This Row],[Included?]], Table35[[#This Row],[I OB Weighted Scale]]*AI$185+AI$186, "")</f>
        <v/>
      </c>
      <c r="AJ63" s="1" t="str">
        <f>IF(Table1[[#This Row],[Included?]], Table35[[#This Row],[I Z-score]]*AJ$185+AJ$186, "")</f>
        <v/>
      </c>
      <c r="AK63" s="1" t="str">
        <f>IF(Table1[[#This Row],[Included?]], Table35[[#This Row],[I OBMod Z-Score]]*AK$185+AK$186, "")</f>
        <v/>
      </c>
      <c r="AL63" s="1" t="str">
        <f>IF(Table1[[#This Row],[Included?]], AVERAGE(Table35[[#This Row],[I Tot Value]:[I OB Z Value]]), "")</f>
        <v/>
      </c>
    </row>
    <row r="64" spans="1:38" hidden="1" x14ac:dyDescent="0.25">
      <c r="A64" s="1">
        <f>(Table1[[#This Row],[R]]-Data!H$188)/(Data!H$187-Data!H$188)</f>
        <v>0.41647727272727281</v>
      </c>
      <c r="B64" s="1">
        <f>(Table1[[#This Row],[HR]]-Data!I$188)/(Data!I$187-Data!I$188)</f>
        <v>0.62219196732471072</v>
      </c>
      <c r="C64" s="1">
        <f>(Table1[[#This Row],[RBI]]-Data!J$188)/(Data!J$187-Data!J$188)</f>
        <v>0.55144740613356258</v>
      </c>
      <c r="D64" s="1">
        <f>(Table1[[#This Row],[SB]]-Data!K$188)/(Data!K$187-Data!K$188)</f>
        <v>4.6737766624843149E-2</v>
      </c>
      <c r="E64" s="1">
        <f>(Table1[[#This Row],[OBP]]-Data!L$188)/(Data!L$187-Data!L$188)</f>
        <v>0.50070392503094374</v>
      </c>
      <c r="F64" s="1">
        <f>(Table1[[#This Row],[OB]]-Data!P$188)/(Data!P$187-Data!P$188)</f>
        <v>0.52811570939644159</v>
      </c>
      <c r="G64" s="1">
        <f>SUM(Table3[[#This Row],[R Scale]:[OBP Scale]])</f>
        <v>2.137558337841333</v>
      </c>
      <c r="H64" s="1">
        <f>SUM(Table3[[#This Row],[R Scale]:[SB Scale]],Table3[[#This Row],[OB Scale]])</f>
        <v>2.1649701222068307</v>
      </c>
      <c r="I64" s="1">
        <f>Table3[[#This Row],[R Scale]]*Data!B$192+Table3[[#This Row],[HR Scale]]*Data!C$192+Table3[[#This Row],[RBI Scale]]*Data!D$192+Table3[[#This Row],[SB Scale]]*Data!E$192+Table3[[#This Row],[OBP Scale]]*Data!F$192</f>
        <v>2.306340876801507</v>
      </c>
      <c r="J64" s="1">
        <f>Table3[[#This Row],[R Scale]]*Data!B$192+Table3[[#This Row],[HR Scale]]*Data!C$192+Table3[[#This Row],[RBI Scale]]*Data!D$192+Table3[[#This Row],[SB Scale]]*Data!E$192+Table3[[#This Row],[OB Scale]]*Data!F$192</f>
        <v>2.3392350180401045</v>
      </c>
      <c r="K6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1.2327415124565522</v>
      </c>
      <c r="L6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1.2029052521296961</v>
      </c>
      <c r="M64" s="1">
        <f ca="1">Table3[[#This Row],[Tot Scale]]*M$185+M$186</f>
        <v>12.48332995906128</v>
      </c>
      <c r="N64" s="1">
        <f ca="1">Table3[[#This Row],[OB Tot Scale]]*N$185+N$186</f>
        <v>11.436920813749651</v>
      </c>
      <c r="O64" s="1">
        <f ca="1">Table3[[#This Row],[Weighted Scale]]*O$185+O$186</f>
        <v>13.130090283668082</v>
      </c>
      <c r="P64" s="1">
        <f ca="1">Table3[[#This Row],[OB Weighted Scale]]*P$185+P$186</f>
        <v>11.971144930085202</v>
      </c>
      <c r="Q64" s="1">
        <f ca="1">Table3[[#This Row],[Z-score]]*Q$185+Q$186</f>
        <v>10.464117650652604</v>
      </c>
      <c r="R64" s="1">
        <f ca="1">Table3[[#This Row],[OBMod Z-Score]]*R$185+R$186</f>
        <v>10.40966030495918</v>
      </c>
      <c r="S64" s="1">
        <f ca="1">AVERAGE(Table3[[#This Row],[Tot Value]:[OB Z Value]])</f>
        <v>11.649210657029334</v>
      </c>
      <c r="T64" s="1">
        <f>IF(Table1[[#This Row],[Included?]], (Table1[[#This Row],[I R]]-Data!S$188)/(Data!S$187-Data!S$188), "")</f>
        <v>0.26247755834829456</v>
      </c>
      <c r="U64" s="1">
        <f>IF(Table1[[#This Row],[Included?]], (Table1[[#This Row],[I HR]]-Data!T$188)/(Data!T$187-Data!T$188), "")</f>
        <v>0.62219196732471072</v>
      </c>
      <c r="V64" s="1">
        <f>IF(Table1[[#This Row],[Included?]], (Table1[[#This Row],[I RBI]]-Data!U$188)/(Data!U$187-Data!U$188), "")</f>
        <v>0.43542568542568544</v>
      </c>
      <c r="W64" s="1">
        <f>IF(Table1[[#This Row],[Included?]], (Table1[[#This Row],[I SB]]-Data!V$188)/(Data!V$187-Data!V$188), "")</f>
        <v>4.6737766624843149E-2</v>
      </c>
      <c r="X64" s="1">
        <f>IF(Table1[[#This Row],[Included?]], (Table1[[#This Row],[I OBP]]-Data!W$188)/(Data!W$187-Data!W$188), "")</f>
        <v>0.39966591428806653</v>
      </c>
      <c r="Y64" s="1">
        <f>IF(Table1[[#This Row],[Included?]], (Table1[[#This Row],[I OB]]-Data!AA$188)/(Data!AA$187-Data!AA$188), "")</f>
        <v>0.27352292992340616</v>
      </c>
      <c r="Z64" s="1">
        <f>IF(Table1[[#This Row],[Included?]], SUM(Table35[[#This Row],[I R Scale]:[I OBP Scale]]), "")</f>
        <v>1.7664988920116005</v>
      </c>
      <c r="AA64" s="1">
        <f>IF(Table1[[#This Row],[Included?]], SUM(Table35[[#This Row],[I R Scale]:[I SB Scale]],Table35[[#This Row],[I OB Scale]]), "")</f>
        <v>1.6403559076469401</v>
      </c>
      <c r="AB64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1.9072694561195214</v>
      </c>
      <c r="AC64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1.7558978748819289</v>
      </c>
      <c r="AD6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-1.1749832454425635</v>
      </c>
      <c r="AE64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-1.1557448761219222</v>
      </c>
      <c r="AF64" s="1">
        <f ca="1">IF(Table1[[#This Row],[Included?]], Table35[[#This Row],[I Tot Scale]]*AF$185+AF$186, "")</f>
        <v>15.799255935534386</v>
      </c>
      <c r="AG64" s="1">
        <f ca="1">IF(Table1[[#This Row],[Included?]], Table35[[#This Row],[I OB Tot Scale]]*AG$185+AG$186, "")</f>
        <v>16.610682692466597</v>
      </c>
      <c r="AH64" s="1">
        <f ca="1">IF(Table1[[#This Row],[Included?]], Table35[[#This Row],[I Weighted Scale]]*AH$185+AH$186, "")</f>
        <v>16.234656607874911</v>
      </c>
      <c r="AI64" s="1">
        <f ca="1">IF(Table1[[#This Row],[Included?]], Table35[[#This Row],[I OB Weighted Scale]]*AI$185+AI$186, "")</f>
        <v>16.902555435240533</v>
      </c>
      <c r="AJ64" s="1">
        <f ca="1">IF(Table1[[#This Row],[Included?]], Table35[[#This Row],[I Z-score]]*AJ$185+AJ$186, "")</f>
        <v>14.665695378316121</v>
      </c>
      <c r="AK64" s="1">
        <f ca="1">IF(Table1[[#This Row],[Included?]], Table35[[#This Row],[I OBMod Z-Score]]*AK$185+AK$186, "")</f>
        <v>14.762244742873591</v>
      </c>
      <c r="AL64" s="1">
        <f ca="1">IF(Table1[[#This Row],[Included?]], AVERAGE(Table35[[#This Row],[I Tot Value]:[I OB Z Value]]), "")</f>
        <v>15.829181798717689</v>
      </c>
    </row>
    <row r="65" spans="1:38" hidden="1" x14ac:dyDescent="0.25">
      <c r="A65" s="1">
        <f>(Table1[[#This Row],[R]]-Data!H$188)/(Data!H$187-Data!H$188)</f>
        <v>0.45170454545454558</v>
      </c>
      <c r="B65" s="1">
        <f>(Table1[[#This Row],[HR]]-Data!I$188)/(Data!I$187-Data!I$188)</f>
        <v>0.52552756977535731</v>
      </c>
      <c r="C65" s="1">
        <f>(Table1[[#This Row],[RBI]]-Data!J$188)/(Data!J$187-Data!J$188)</f>
        <v>0.54600171969045563</v>
      </c>
      <c r="D65" s="1">
        <f>(Table1[[#This Row],[SB]]-Data!K$188)/(Data!K$187-Data!K$188)</f>
        <v>0</v>
      </c>
      <c r="E65" s="1">
        <f>(Table1[[#This Row],[OBP]]-Data!L$188)/(Data!L$187-Data!L$188)</f>
        <v>0.36445032102450731</v>
      </c>
      <c r="F65" s="1">
        <f>(Table1[[#This Row],[OB]]-Data!P$188)/(Data!P$187-Data!P$188)</f>
        <v>0.57761376504314466</v>
      </c>
      <c r="G65" s="1">
        <f>SUM(Table3[[#This Row],[R Scale]:[OBP Scale]])</f>
        <v>1.8876841559448658</v>
      </c>
      <c r="H65" s="1">
        <f>SUM(Table3[[#This Row],[R Scale]:[SB Scale]],Table3[[#This Row],[OB Scale]])</f>
        <v>2.1008475999635032</v>
      </c>
      <c r="I65" s="1">
        <f>Table3[[#This Row],[R Scale]]*Data!B$192+Table3[[#This Row],[HR Scale]]*Data!C$192+Table3[[#This Row],[RBI Scale]]*Data!D$192+Table3[[#This Row],[SB Scale]]*Data!E$192+Table3[[#This Row],[OBP Scale]]*Data!F$192</f>
        <v>2.0246041095424037</v>
      </c>
      <c r="J65" s="1">
        <f>Table3[[#This Row],[R Scale]]*Data!B$192+Table3[[#This Row],[HR Scale]]*Data!C$192+Table3[[#This Row],[RBI Scale]]*Data!D$192+Table3[[#This Row],[SB Scale]]*Data!E$192+Table3[[#This Row],[OB Scale]]*Data!F$192</f>
        <v>2.2804002423647685</v>
      </c>
      <c r="K6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-0.13776288941944942</v>
      </c>
      <c r="L6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-0.22303902861276181</v>
      </c>
      <c r="M65" s="1">
        <f ca="1">Table3[[#This Row],[Tot Scale]]*M$185+M$186</f>
        <v>3.2550159742973079</v>
      </c>
      <c r="N65" s="1">
        <f ca="1">Table3[[#This Row],[OB Tot Scale]]*N$185+N$186</f>
        <v>9.0985015815320054</v>
      </c>
      <c r="O65" s="1">
        <f ca="1">Table3[[#This Row],[Weighted Scale]]*O$185+O$186</f>
        <v>3.4399622609898017</v>
      </c>
      <c r="P65" s="1">
        <f ca="1">Table3[[#This Row],[OB Weighted Scale]]*P$185+P$186</f>
        <v>9.9624887949815104</v>
      </c>
      <c r="Q65" s="1">
        <f ca="1">Table3[[#This Row],[Z-score]]*Q$185+Q$186</f>
        <v>0.39397752861568525</v>
      </c>
      <c r="R65" s="1">
        <f ca="1">Table3[[#This Row],[OBMod Z-Score]]*R$185+R$186</f>
        <v>2.8056955266438921E-2</v>
      </c>
      <c r="S65" s="1">
        <f ca="1">AVERAGE(Table3[[#This Row],[Tot Value]:[OB Z Value]])</f>
        <v>4.3630005159471255</v>
      </c>
      <c r="T65" s="1" t="str">
        <f>IF(Table1[[#This Row],[Included?]], (Table1[[#This Row],[I R]]-Data!S$188)/(Data!S$187-Data!S$188), "")</f>
        <v/>
      </c>
      <c r="U65" s="1" t="str">
        <f>IF(Table1[[#This Row],[Included?]], (Table1[[#This Row],[I HR]]-Data!T$188)/(Data!T$187-Data!T$188), "")</f>
        <v/>
      </c>
      <c r="V65" s="1" t="str">
        <f>IF(Table1[[#This Row],[Included?]], (Table1[[#This Row],[I RBI]]-Data!U$188)/(Data!U$187-Data!U$188), "")</f>
        <v/>
      </c>
      <c r="W65" s="1" t="str">
        <f>IF(Table1[[#This Row],[Included?]], (Table1[[#This Row],[I SB]]-Data!V$188)/(Data!V$187-Data!V$188), "")</f>
        <v/>
      </c>
      <c r="X65" s="1" t="str">
        <f>IF(Table1[[#This Row],[Included?]], (Table1[[#This Row],[I OBP]]-Data!W$188)/(Data!W$187-Data!W$188), "")</f>
        <v/>
      </c>
      <c r="Y65" s="1" t="str">
        <f>IF(Table1[[#This Row],[Included?]], (Table1[[#This Row],[I OB]]-Data!AA$188)/(Data!AA$187-Data!AA$188), "")</f>
        <v/>
      </c>
      <c r="Z65" s="1" t="str">
        <f>IF(Table1[[#This Row],[Included?]], SUM(Table35[[#This Row],[I R Scale]:[I OBP Scale]]), "")</f>
        <v/>
      </c>
      <c r="AA65" s="1" t="str">
        <f>IF(Table1[[#This Row],[Included?]], SUM(Table35[[#This Row],[I R Scale]:[I SB Scale]],Table35[[#This Row],[I OB Scale]]), "")</f>
        <v/>
      </c>
      <c r="AB6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5" s="1" t="str">
        <f>IF(Table1[[#This Row],[Included?]], Table35[[#This Row],[I Tot Scale]]*AF$185+AF$186, "")</f>
        <v/>
      </c>
      <c r="AG65" s="1" t="str">
        <f>IF(Table1[[#This Row],[Included?]], Table35[[#This Row],[I OB Tot Scale]]*AG$185+AG$186, "")</f>
        <v/>
      </c>
      <c r="AH65" s="1" t="str">
        <f>IF(Table1[[#This Row],[Included?]], Table35[[#This Row],[I Weighted Scale]]*AH$185+AH$186, "")</f>
        <v/>
      </c>
      <c r="AI65" s="1" t="str">
        <f>IF(Table1[[#This Row],[Included?]], Table35[[#This Row],[I OB Weighted Scale]]*AI$185+AI$186, "")</f>
        <v/>
      </c>
      <c r="AJ65" s="1" t="str">
        <f>IF(Table1[[#This Row],[Included?]], Table35[[#This Row],[I Z-score]]*AJ$185+AJ$186, "")</f>
        <v/>
      </c>
      <c r="AK65" s="1" t="str">
        <f>IF(Table1[[#This Row],[Included?]], Table35[[#This Row],[I OBMod Z-Score]]*AK$185+AK$186, "")</f>
        <v/>
      </c>
      <c r="AL65" s="1" t="str">
        <f>IF(Table1[[#This Row],[Included?]], AVERAGE(Table35[[#This Row],[I Tot Value]:[I OB Z Value]]), "")</f>
        <v/>
      </c>
    </row>
    <row r="66" spans="1:38" hidden="1" x14ac:dyDescent="0.25">
      <c r="A66" s="1">
        <f>(Table1[[#This Row],[R]]-Data!H$188)/(Data!H$187-Data!H$188)</f>
        <v>0.49261363636363642</v>
      </c>
      <c r="B66" s="1">
        <f>(Table1[[#This Row],[HR]]-Data!I$188)/(Data!I$187-Data!I$188)</f>
        <v>0.33628318584070788</v>
      </c>
      <c r="C66" s="1">
        <f>(Table1[[#This Row],[RBI]]-Data!J$188)/(Data!J$187-Data!J$188)</f>
        <v>0.68873602751504726</v>
      </c>
      <c r="D66" s="1">
        <f>(Table1[[#This Row],[SB]]-Data!K$188)/(Data!K$187-Data!K$188)</f>
        <v>0.13048933500627352</v>
      </c>
      <c r="E66" s="1">
        <f>(Table1[[#This Row],[OBP]]-Data!L$188)/(Data!L$187-Data!L$188)</f>
        <v>0.36146075486731155</v>
      </c>
      <c r="F66" s="1">
        <f>(Table1[[#This Row],[OB]]-Data!P$188)/(Data!P$187-Data!P$188)</f>
        <v>0.46512438603566497</v>
      </c>
      <c r="G66" s="1">
        <f>SUM(Table3[[#This Row],[R Scale]:[OBP Scale]])</f>
        <v>2.0095829395929767</v>
      </c>
      <c r="H66" s="1">
        <f>SUM(Table3[[#This Row],[R Scale]:[SB Scale]],Table3[[#This Row],[OB Scale]])</f>
        <v>2.1132465707613299</v>
      </c>
      <c r="I66" s="1">
        <f>Table3[[#This Row],[R Scale]]*Data!B$192+Table3[[#This Row],[HR Scale]]*Data!C$192+Table3[[#This Row],[RBI Scale]]*Data!D$192+Table3[[#This Row],[SB Scale]]*Data!E$192+Table3[[#This Row],[OBP Scale]]*Data!F$192</f>
        <v>2.1703609324330846</v>
      </c>
      <c r="J66" s="1">
        <f>Table3[[#This Row],[R Scale]]*Data!B$192+Table3[[#This Row],[HR Scale]]*Data!C$192+Table3[[#This Row],[RBI Scale]]*Data!D$192+Table3[[#This Row],[SB Scale]]*Data!E$192+Table3[[#This Row],[OB Scale]]*Data!F$192</f>
        <v>2.2947572898351085</v>
      </c>
      <c r="K6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0.81904468975917666</v>
      </c>
      <c r="L6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0.78409165626736921</v>
      </c>
      <c r="M66" s="1">
        <f ca="1">Table3[[#This Row],[Tot Scale]]*M$185+M$186</f>
        <v>7.7569626793461737</v>
      </c>
      <c r="N66" s="1">
        <f ca="1">Table3[[#This Row],[OB Tot Scale]]*N$185+N$186</f>
        <v>9.5506670728287872</v>
      </c>
      <c r="O66" s="1">
        <f ca="1">Table3[[#This Row],[Weighted Scale]]*O$185+O$186</f>
        <v>8.4531605301763193</v>
      </c>
      <c r="P66" s="1">
        <f ca="1">Table3[[#This Row],[OB Weighted Scale]]*P$185+P$186</f>
        <v>10.452647398498769</v>
      </c>
      <c r="Q66" s="1">
        <f ca="1">Table3[[#This Row],[Z-score]]*Q$185+Q$186</f>
        <v>7.4243718702658601</v>
      </c>
      <c r="R66" s="1">
        <f ca="1">Table3[[#This Row],[OBMod Z-Score]]*R$185+R$186</f>
        <v>7.3604832168913976</v>
      </c>
      <c r="S66" s="1">
        <f ca="1">AVERAGE(Table3[[#This Row],[Tot Value]:[OB Z Value]])</f>
        <v>8.4997154613345511</v>
      </c>
      <c r="T66" s="1" t="str">
        <f>IF(Table1[[#This Row],[Included?]], (Table1[[#This Row],[I R]]-Data!S$188)/(Data!S$187-Data!S$188), "")</f>
        <v/>
      </c>
      <c r="U66" s="1" t="str">
        <f>IF(Table1[[#This Row],[Included?]], (Table1[[#This Row],[I HR]]-Data!T$188)/(Data!T$187-Data!T$188), "")</f>
        <v/>
      </c>
      <c r="V66" s="1" t="str">
        <f>IF(Table1[[#This Row],[Included?]], (Table1[[#This Row],[I RBI]]-Data!U$188)/(Data!U$187-Data!U$188), "")</f>
        <v/>
      </c>
      <c r="W66" s="1" t="str">
        <f>IF(Table1[[#This Row],[Included?]], (Table1[[#This Row],[I SB]]-Data!V$188)/(Data!V$187-Data!V$188), "")</f>
        <v/>
      </c>
      <c r="X66" s="1" t="str">
        <f>IF(Table1[[#This Row],[Included?]], (Table1[[#This Row],[I OBP]]-Data!W$188)/(Data!W$187-Data!W$188), "")</f>
        <v/>
      </c>
      <c r="Y66" s="1" t="str">
        <f>IF(Table1[[#This Row],[Included?]], (Table1[[#This Row],[I OB]]-Data!AA$188)/(Data!AA$187-Data!AA$188), "")</f>
        <v/>
      </c>
      <c r="Z66" s="1" t="str">
        <f>IF(Table1[[#This Row],[Included?]], SUM(Table35[[#This Row],[I R Scale]:[I OBP Scale]]), "")</f>
        <v/>
      </c>
      <c r="AA66" s="1" t="str">
        <f>IF(Table1[[#This Row],[Included?]], SUM(Table35[[#This Row],[I R Scale]:[I SB Scale]],Table35[[#This Row],[I OB Scale]]), "")</f>
        <v/>
      </c>
      <c r="AB6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6" s="1" t="str">
        <f>IF(Table1[[#This Row],[Included?]], Table35[[#This Row],[I Tot Scale]]*AF$185+AF$186, "")</f>
        <v/>
      </c>
      <c r="AG66" s="1" t="str">
        <f>IF(Table1[[#This Row],[Included?]], Table35[[#This Row],[I OB Tot Scale]]*AG$185+AG$186, "")</f>
        <v/>
      </c>
      <c r="AH66" s="1" t="str">
        <f>IF(Table1[[#This Row],[Included?]], Table35[[#This Row],[I Weighted Scale]]*AH$185+AH$186, "")</f>
        <v/>
      </c>
      <c r="AI66" s="1" t="str">
        <f>IF(Table1[[#This Row],[Included?]], Table35[[#This Row],[I OB Weighted Scale]]*AI$185+AI$186, "")</f>
        <v/>
      </c>
      <c r="AJ66" s="1" t="str">
        <f>IF(Table1[[#This Row],[Included?]], Table35[[#This Row],[I Z-score]]*AJ$185+AJ$186, "")</f>
        <v/>
      </c>
      <c r="AK66" s="1" t="str">
        <f>IF(Table1[[#This Row],[Included?]], Table35[[#This Row],[I OBMod Z-Score]]*AK$185+AK$186, "")</f>
        <v/>
      </c>
      <c r="AL66" s="1" t="str">
        <f>IF(Table1[[#This Row],[Included?]], AVERAGE(Table35[[#This Row],[I Tot Value]:[I OB Z Value]]), "")</f>
        <v/>
      </c>
    </row>
    <row r="67" spans="1:38" hidden="1" x14ac:dyDescent="0.25">
      <c r="A67" s="1">
        <f>(Table1[[#This Row],[R]]-Data!H$188)/(Data!H$187-Data!H$188)</f>
        <v>0.45454545454545464</v>
      </c>
      <c r="B67" s="1">
        <f>(Table1[[#This Row],[HR]]-Data!I$188)/(Data!I$187-Data!I$188)</f>
        <v>0.60381211708645344</v>
      </c>
      <c r="C67" s="1">
        <f>(Table1[[#This Row],[RBI]]-Data!J$188)/(Data!J$187-Data!J$188)</f>
        <v>0.58813413585554597</v>
      </c>
      <c r="D67" s="1">
        <f>(Table1[[#This Row],[SB]]-Data!K$188)/(Data!K$187-Data!K$188)</f>
        <v>1.0351317440401504E-2</v>
      </c>
      <c r="E67" s="1">
        <f>(Table1[[#This Row],[OBP]]-Data!L$188)/(Data!L$187-Data!L$188)</f>
        <v>0.42546240084480641</v>
      </c>
      <c r="F67" s="1">
        <f>(Table1[[#This Row],[OB]]-Data!P$188)/(Data!P$187-Data!P$188)</f>
        <v>0.47258808221379595</v>
      </c>
      <c r="G67" s="1">
        <f>SUM(Table3[[#This Row],[R Scale]:[OBP Scale]])</f>
        <v>2.0823054257726619</v>
      </c>
      <c r="H67" s="1">
        <f>SUM(Table3[[#This Row],[R Scale]:[SB Scale]],Table3[[#This Row],[OB Scale]])</f>
        <v>2.1294311071416514</v>
      </c>
      <c r="I67" s="1">
        <f>Table3[[#This Row],[R Scale]]*Data!B$192+Table3[[#This Row],[HR Scale]]*Data!C$192+Table3[[#This Row],[RBI Scale]]*Data!D$192+Table3[[#This Row],[SB Scale]]*Data!E$192+Table3[[#This Row],[OBP Scale]]*Data!F$192</f>
        <v>2.2395701876581868</v>
      </c>
      <c r="J67" s="1">
        <f>Table3[[#This Row],[R Scale]]*Data!B$192+Table3[[#This Row],[HR Scale]]*Data!C$192+Table3[[#This Row],[RBI Scale]]*Data!D$192+Table3[[#This Row],[SB Scale]]*Data!E$192+Table3[[#This Row],[OB Scale]]*Data!F$192</f>
        <v>2.2961210053009742</v>
      </c>
      <c r="K6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0.84940728084458361</v>
      </c>
      <c r="L6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0.81799883938937457</v>
      </c>
      <c r="M67" s="1">
        <f ca="1">Table3[[#This Row],[Tot Scale]]*M$185+M$186</f>
        <v>10.442738100901565</v>
      </c>
      <c r="N67" s="1">
        <f ca="1">Table3[[#This Row],[OB Tot Scale]]*N$185+N$186</f>
        <v>10.14088451612669</v>
      </c>
      <c r="O67" s="1">
        <f ca="1">Table3[[#This Row],[Weighted Scale]]*O$185+O$186</f>
        <v>10.833561746566687</v>
      </c>
      <c r="P67" s="1">
        <f ca="1">Table3[[#This Row],[OB Weighted Scale]]*P$185+P$186</f>
        <v>10.499205499649051</v>
      </c>
      <c r="Q67" s="1">
        <f ca="1">Table3[[#This Row],[Z-score]]*Q$185+Q$186</f>
        <v>7.647468962314325</v>
      </c>
      <c r="R67" s="1">
        <f ca="1">Table3[[#This Row],[OBMod Z-Score]]*R$185+R$186</f>
        <v>7.6073448443981704</v>
      </c>
      <c r="S67" s="1">
        <f ca="1">AVERAGE(Table3[[#This Row],[Tot Value]:[OB Z Value]])</f>
        <v>9.5285339449927484</v>
      </c>
      <c r="T67" s="1" t="str">
        <f>IF(Table1[[#This Row],[Included?]], (Table1[[#This Row],[I R]]-Data!S$188)/(Data!S$187-Data!S$188), "")</f>
        <v/>
      </c>
      <c r="U67" s="1" t="str">
        <f>IF(Table1[[#This Row],[Included?]], (Table1[[#This Row],[I HR]]-Data!T$188)/(Data!T$187-Data!T$188), "")</f>
        <v/>
      </c>
      <c r="V67" s="1" t="str">
        <f>IF(Table1[[#This Row],[Included?]], (Table1[[#This Row],[I RBI]]-Data!U$188)/(Data!U$187-Data!U$188), "")</f>
        <v/>
      </c>
      <c r="W67" s="1" t="str">
        <f>IF(Table1[[#This Row],[Included?]], (Table1[[#This Row],[I SB]]-Data!V$188)/(Data!V$187-Data!V$188), "")</f>
        <v/>
      </c>
      <c r="X67" s="1" t="str">
        <f>IF(Table1[[#This Row],[Included?]], (Table1[[#This Row],[I OBP]]-Data!W$188)/(Data!W$187-Data!W$188), "")</f>
        <v/>
      </c>
      <c r="Y67" s="1" t="str">
        <f>IF(Table1[[#This Row],[Included?]], (Table1[[#This Row],[I OB]]-Data!AA$188)/(Data!AA$187-Data!AA$188), "")</f>
        <v/>
      </c>
      <c r="Z67" s="1" t="str">
        <f>IF(Table1[[#This Row],[Included?]], SUM(Table35[[#This Row],[I R Scale]:[I OBP Scale]]), "")</f>
        <v/>
      </c>
      <c r="AA67" s="1" t="str">
        <f>IF(Table1[[#This Row],[Included?]], SUM(Table35[[#This Row],[I R Scale]:[I SB Scale]],Table35[[#This Row],[I OB Scale]]), "")</f>
        <v/>
      </c>
      <c r="AB6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7" s="1" t="str">
        <f>IF(Table1[[#This Row],[Included?]], Table35[[#This Row],[I Tot Scale]]*AF$185+AF$186, "")</f>
        <v/>
      </c>
      <c r="AG67" s="1" t="str">
        <f>IF(Table1[[#This Row],[Included?]], Table35[[#This Row],[I OB Tot Scale]]*AG$185+AG$186, "")</f>
        <v/>
      </c>
      <c r="AH67" s="1" t="str">
        <f>IF(Table1[[#This Row],[Included?]], Table35[[#This Row],[I Weighted Scale]]*AH$185+AH$186, "")</f>
        <v/>
      </c>
      <c r="AI67" s="1" t="str">
        <f>IF(Table1[[#This Row],[Included?]], Table35[[#This Row],[I OB Weighted Scale]]*AI$185+AI$186, "")</f>
        <v/>
      </c>
      <c r="AJ67" s="1" t="str">
        <f>IF(Table1[[#This Row],[Included?]], Table35[[#This Row],[I Z-score]]*AJ$185+AJ$186, "")</f>
        <v/>
      </c>
      <c r="AK67" s="1" t="str">
        <f>IF(Table1[[#This Row],[Included?]], Table35[[#This Row],[I OBMod Z-Score]]*AK$185+AK$186, "")</f>
        <v/>
      </c>
      <c r="AL67" s="1" t="str">
        <f>IF(Table1[[#This Row],[Included?]], AVERAGE(Table35[[#This Row],[I Tot Value]:[I OB Z Value]]), "")</f>
        <v/>
      </c>
    </row>
    <row r="68" spans="1:38" hidden="1" x14ac:dyDescent="0.25">
      <c r="A68" s="1">
        <f>(Table1[[#This Row],[R]]-Data!H$188)/(Data!H$187-Data!H$188)</f>
        <v>0.40142045454545466</v>
      </c>
      <c r="B68" s="1">
        <f>(Table1[[#This Row],[HR]]-Data!I$188)/(Data!I$187-Data!I$188)</f>
        <v>0.28795098706603128</v>
      </c>
      <c r="C68" s="1">
        <f>(Table1[[#This Row],[RBI]]-Data!J$188)/(Data!J$187-Data!J$188)</f>
        <v>0.57552307251361412</v>
      </c>
      <c r="D68" s="1">
        <f>(Table1[[#This Row],[SB]]-Data!K$188)/(Data!K$187-Data!K$188)</f>
        <v>0.22239648682559596</v>
      </c>
      <c r="E68" s="1">
        <f>(Table1[[#This Row],[OBP]]-Data!L$188)/(Data!L$187-Data!L$188)</f>
        <v>0.69540990725911511</v>
      </c>
      <c r="F68" s="1">
        <f>(Table1[[#This Row],[OB]]-Data!P$188)/(Data!P$187-Data!P$188)</f>
        <v>0.50904744506911659</v>
      </c>
      <c r="G68" s="1">
        <f>SUM(Table3[[#This Row],[R Scale]:[OBP Scale]])</f>
        <v>2.182700908209811</v>
      </c>
      <c r="H68" s="1">
        <f>SUM(Table3[[#This Row],[R Scale]:[SB Scale]],Table3[[#This Row],[OB Scale]])</f>
        <v>1.9963384460198128</v>
      </c>
      <c r="I68" s="1">
        <f>Table3[[#This Row],[R Scale]]*Data!B$192+Table3[[#This Row],[HR Scale]]*Data!C$192+Table3[[#This Row],[RBI Scale]]*Data!D$192+Table3[[#This Row],[SB Scale]]*Data!E$192+Table3[[#This Row],[OBP Scale]]*Data!F$192</f>
        <v>2.3967454587098116</v>
      </c>
      <c r="J68" s="1">
        <f>Table3[[#This Row],[R Scale]]*Data!B$192+Table3[[#This Row],[HR Scale]]*Data!C$192+Table3[[#This Row],[RBI Scale]]*Data!D$192+Table3[[#This Row],[SB Scale]]*Data!E$192+Table3[[#This Row],[OB Scale]]*Data!F$192</f>
        <v>2.1731105040818131</v>
      </c>
      <c r="K6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2.0917269305689494</v>
      </c>
      <c r="L6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1.936380450785756</v>
      </c>
      <c r="M68" s="1">
        <f ca="1">Table3[[#This Row],[Tot Scale]]*M$185+M$186</f>
        <v>14.1505282677374</v>
      </c>
      <c r="N68" s="1">
        <f ca="1">Table3[[#This Row],[OB Tot Scale]]*N$185+N$186</f>
        <v>5.2872632369556385</v>
      </c>
      <c r="O68" s="1">
        <f ca="1">Table3[[#This Row],[Weighted Scale]]*O$185+O$186</f>
        <v>16.239489106728058</v>
      </c>
      <c r="P68" s="1">
        <f ca="1">Table3[[#This Row],[OB Weighted Scale]]*P$185+P$186</f>
        <v>6.2995498517797586</v>
      </c>
      <c r="Q68" s="1">
        <f ca="1">Table3[[#This Row],[Z-score]]*Q$185+Q$186</f>
        <v>16.775738037524548</v>
      </c>
      <c r="R68" s="1">
        <f ca="1">Table3[[#This Row],[OBMod Z-Score]]*R$185+R$186</f>
        <v>15.749734725903258</v>
      </c>
      <c r="S68" s="1">
        <f ca="1">AVERAGE(Table3[[#This Row],[Tot Value]:[OB Z Value]])</f>
        <v>12.417050537771443</v>
      </c>
      <c r="T68" s="1">
        <f>IF(Table1[[#This Row],[Included?]], (Table1[[#This Row],[I R]]-Data!S$188)/(Data!S$187-Data!S$188), "")</f>
        <v>0.24344703770197498</v>
      </c>
      <c r="U68" s="1">
        <f>IF(Table1[[#This Row],[Included?]], (Table1[[#This Row],[I HR]]-Data!T$188)/(Data!T$187-Data!T$188), "")</f>
        <v>0.28795098706603128</v>
      </c>
      <c r="V68" s="1">
        <f>IF(Table1[[#This Row],[Included?]], (Table1[[#This Row],[I RBI]]-Data!U$188)/(Data!U$187-Data!U$188), "")</f>
        <v>0.46572871572871571</v>
      </c>
      <c r="W68" s="1">
        <f>IF(Table1[[#This Row],[Included?]], (Table1[[#This Row],[I SB]]-Data!V$188)/(Data!V$187-Data!V$188), "")</f>
        <v>0.22239648682559596</v>
      </c>
      <c r="X68" s="1">
        <f>IF(Table1[[#This Row],[Included?]], (Table1[[#This Row],[I OBP]]-Data!W$188)/(Data!W$187-Data!W$188), "")</f>
        <v>0.63377277729682813</v>
      </c>
      <c r="Y68" s="1">
        <f>IF(Table1[[#This Row],[Included?]], (Table1[[#This Row],[I OB]]-Data!AA$188)/(Data!AA$187-Data!AA$188), "")</f>
        <v>0.24416688422363714</v>
      </c>
      <c r="Z68" s="1">
        <f>IF(Table1[[#This Row],[Included?]], SUM(Table35[[#This Row],[I R Scale]:[I OBP Scale]]), "")</f>
        <v>1.8532960046191458</v>
      </c>
      <c r="AA68" s="1">
        <f>IF(Table1[[#This Row],[Included?]], SUM(Table35[[#This Row],[I R Scale]:[I SB Scale]],Table35[[#This Row],[I OB Scale]]), "")</f>
        <v>1.4636901115459549</v>
      </c>
      <c r="AB6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2.048851599454057</v>
      </c>
      <c r="AC6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1.581324527766228</v>
      </c>
      <c r="AD6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-0.33726774574991381</v>
      </c>
      <c r="AE6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-0.47961487940649961</v>
      </c>
      <c r="AF68" s="1">
        <f ca="1">IF(Table1[[#This Row],[Included?]], Table35[[#This Row],[I Tot Scale]]*AF$185+AF$186, "")</f>
        <v>17.637508093778248</v>
      </c>
      <c r="AG68" s="1">
        <f ca="1">IF(Table1[[#This Row],[Included?]], Table35[[#This Row],[I OB Tot Scale]]*AG$185+AG$186, "")</f>
        <v>13.832605111513717</v>
      </c>
      <c r="AH68" s="1">
        <f ca="1">IF(Table1[[#This Row],[Included?]], Table35[[#This Row],[I Weighted Scale]]*AH$185+AH$186, "")</f>
        <v>19.027630472622953</v>
      </c>
      <c r="AI68" s="1">
        <f ca="1">IF(Table1[[#This Row],[Included?]], Table35[[#This Row],[I OB Weighted Scale]]*AI$185+AI$186, "")</f>
        <v>14.345911588993335</v>
      </c>
      <c r="AJ68" s="1">
        <f ca="1">IF(Table1[[#This Row],[Included?]], Table35[[#This Row],[I Z-score]]*AJ$185+AJ$186, "")</f>
        <v>18.4688386818477</v>
      </c>
      <c r="AK68" s="1">
        <f ca="1">IF(Table1[[#This Row],[Included?]], Table35[[#This Row],[I OBMod Z-Score]]*AK$185+AK$186, "")</f>
        <v>17.826418781594242</v>
      </c>
      <c r="AL68" s="1">
        <f ca="1">IF(Table1[[#This Row],[Included?]], AVERAGE(Table35[[#This Row],[I Tot Value]:[I OB Z Value]]), "")</f>
        <v>16.856485455058365</v>
      </c>
    </row>
    <row r="69" spans="1:38" hidden="1" x14ac:dyDescent="0.25">
      <c r="A69" s="1">
        <f>(Table1[[#This Row],[R]]-Data!H$188)/(Data!H$187-Data!H$188)</f>
        <v>0.54460227272727291</v>
      </c>
      <c r="B69" s="1">
        <f>(Table1[[#This Row],[HR]]-Data!I$188)/(Data!I$187-Data!I$188)</f>
        <v>0.23757658270932608</v>
      </c>
      <c r="C69" s="1">
        <f>(Table1[[#This Row],[RBI]]-Data!J$188)/(Data!J$187-Data!J$188)</f>
        <v>0.40613356262539402</v>
      </c>
      <c r="D69" s="1">
        <f>(Table1[[#This Row],[SB]]-Data!K$188)/(Data!K$187-Data!K$188)</f>
        <v>0.31838143036386446</v>
      </c>
      <c r="E69" s="1">
        <f>(Table1[[#This Row],[OBP]]-Data!L$188)/(Data!L$187-Data!L$188)</f>
        <v>0.28409904178466339</v>
      </c>
      <c r="F69" s="1">
        <f>(Table1[[#This Row],[OB]]-Data!P$188)/(Data!P$187-Data!P$188)</f>
        <v>0.49978291254144297</v>
      </c>
      <c r="G69" s="1">
        <f>SUM(Table3[[#This Row],[R Scale]:[OBP Scale]])</f>
        <v>1.7907928902105208</v>
      </c>
      <c r="H69" s="1">
        <f>SUM(Table3[[#This Row],[R Scale]:[SB Scale]],Table3[[#This Row],[OB Scale]])</f>
        <v>2.0064767609673004</v>
      </c>
      <c r="I69" s="1">
        <f>Table3[[#This Row],[R Scale]]*Data!B$192+Table3[[#This Row],[HR Scale]]*Data!C$192+Table3[[#This Row],[RBI Scale]]*Data!D$192+Table3[[#This Row],[SB Scale]]*Data!E$192+Table3[[#This Row],[OBP Scale]]*Data!F$192</f>
        <v>1.874379183819805</v>
      </c>
      <c r="J69" s="1">
        <f>Table3[[#This Row],[R Scale]]*Data!B$192+Table3[[#This Row],[HR Scale]]*Data!C$192+Table3[[#This Row],[RBI Scale]]*Data!D$192+Table3[[#This Row],[SB Scale]]*Data!E$192+Table3[[#This Row],[OB Scale]]*Data!F$192</f>
        <v>2.1331998287279403</v>
      </c>
      <c r="K6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0.13949797919177664</v>
      </c>
      <c r="L6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3.664290411092852E-2</v>
      </c>
      <c r="M69" s="1">
        <f ca="1">Table3[[#This Row],[Tot Scale]]*M$185+M$186</f>
        <v>-0.32335701242533332</v>
      </c>
      <c r="N69" s="1">
        <f ca="1">Table3[[#This Row],[OB Tot Scale]]*N$185+N$186</f>
        <v>5.6569871627475976</v>
      </c>
      <c r="O69" s="1">
        <f ca="1">Table3[[#This Row],[Weighted Scale]]*O$185+O$186</f>
        <v>-1.7269131050165214</v>
      </c>
      <c r="P69" s="1">
        <f ca="1">Table3[[#This Row],[OB Weighted Scale]]*P$185+P$186</f>
        <v>4.9369743683944307</v>
      </c>
      <c r="Q69" s="1">
        <f ca="1">Table3[[#This Row],[Z-score]]*Q$185+Q$186</f>
        <v>2.4312243944052705</v>
      </c>
      <c r="R69" s="1">
        <f ca="1">Table3[[#This Row],[OBMod Z-Score]]*R$185+R$186</f>
        <v>1.9186741827609415</v>
      </c>
      <c r="S69" s="1">
        <f ca="1">AVERAGE(Table3[[#This Row],[Tot Value]:[OB Z Value]])</f>
        <v>2.1489316651443975</v>
      </c>
      <c r="T69" s="1" t="str">
        <f>IF(Table1[[#This Row],[Included?]], (Table1[[#This Row],[I R]]-Data!S$188)/(Data!S$187-Data!S$188), "")</f>
        <v/>
      </c>
      <c r="U69" s="1" t="str">
        <f>IF(Table1[[#This Row],[Included?]], (Table1[[#This Row],[I HR]]-Data!T$188)/(Data!T$187-Data!T$188), "")</f>
        <v/>
      </c>
      <c r="V69" s="1" t="str">
        <f>IF(Table1[[#This Row],[Included?]], (Table1[[#This Row],[I RBI]]-Data!U$188)/(Data!U$187-Data!U$188), "")</f>
        <v/>
      </c>
      <c r="W69" s="1" t="str">
        <f>IF(Table1[[#This Row],[Included?]], (Table1[[#This Row],[I SB]]-Data!V$188)/(Data!V$187-Data!V$188), "")</f>
        <v/>
      </c>
      <c r="X69" s="1" t="str">
        <f>IF(Table1[[#This Row],[Included?]], (Table1[[#This Row],[I OBP]]-Data!W$188)/(Data!W$187-Data!W$188), "")</f>
        <v/>
      </c>
      <c r="Y69" s="1" t="str">
        <f>IF(Table1[[#This Row],[Included?]], (Table1[[#This Row],[I OB]]-Data!AA$188)/(Data!AA$187-Data!AA$188), "")</f>
        <v/>
      </c>
      <c r="Z69" s="1" t="str">
        <f>IF(Table1[[#This Row],[Included?]], SUM(Table35[[#This Row],[I R Scale]:[I OBP Scale]]), "")</f>
        <v/>
      </c>
      <c r="AA69" s="1" t="str">
        <f>IF(Table1[[#This Row],[Included?]], SUM(Table35[[#This Row],[I R Scale]:[I SB Scale]],Table35[[#This Row],[I OB Scale]]), "")</f>
        <v/>
      </c>
      <c r="AB6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6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69" s="1" t="str">
        <f>IF(Table1[[#This Row],[Included?]], Table35[[#This Row],[I Tot Scale]]*AF$185+AF$186, "")</f>
        <v/>
      </c>
      <c r="AG69" s="1" t="str">
        <f>IF(Table1[[#This Row],[Included?]], Table35[[#This Row],[I OB Tot Scale]]*AG$185+AG$186, "")</f>
        <v/>
      </c>
      <c r="AH69" s="1" t="str">
        <f>IF(Table1[[#This Row],[Included?]], Table35[[#This Row],[I Weighted Scale]]*AH$185+AH$186, "")</f>
        <v/>
      </c>
      <c r="AI69" s="1" t="str">
        <f>IF(Table1[[#This Row],[Included?]], Table35[[#This Row],[I OB Weighted Scale]]*AI$185+AI$186, "")</f>
        <v/>
      </c>
      <c r="AJ69" s="1" t="str">
        <f>IF(Table1[[#This Row],[Included?]], Table35[[#This Row],[I Z-score]]*AJ$185+AJ$186, "")</f>
        <v/>
      </c>
      <c r="AK69" s="1" t="str">
        <f>IF(Table1[[#This Row],[Included?]], Table35[[#This Row],[I OBMod Z-Score]]*AK$185+AK$186, "")</f>
        <v/>
      </c>
      <c r="AL69" s="1" t="str">
        <f>IF(Table1[[#This Row],[Included?]], AVERAGE(Table35[[#This Row],[I Tot Value]:[I OB Z Value]]), "")</f>
        <v/>
      </c>
    </row>
    <row r="70" spans="1:38" hidden="1" x14ac:dyDescent="0.25">
      <c r="A70" s="1">
        <f>(Table1[[#This Row],[R]]-Data!H$188)/(Data!H$187-Data!H$188)</f>
        <v>0.66534090909090904</v>
      </c>
      <c r="B70" s="1">
        <f>(Table1[[#This Row],[HR]]-Data!I$188)/(Data!I$187-Data!I$188)</f>
        <v>0.42409802586793727</v>
      </c>
      <c r="C70" s="1">
        <f>(Table1[[#This Row],[RBI]]-Data!J$188)/(Data!J$187-Data!J$188)</f>
        <v>0.25422757237030669</v>
      </c>
      <c r="D70" s="1">
        <f>(Table1[[#This Row],[SB]]-Data!K$188)/(Data!K$187-Data!K$188)</f>
        <v>0.28607277289836885</v>
      </c>
      <c r="E70" s="1">
        <f>(Table1[[#This Row],[OBP]]-Data!L$188)/(Data!L$187-Data!L$188)</f>
        <v>0.19688602220723347</v>
      </c>
      <c r="F70" s="1">
        <f>(Table1[[#This Row],[OB]]-Data!P$188)/(Data!P$187-Data!P$188)</f>
        <v>0.44626938215227274</v>
      </c>
      <c r="G70" s="1">
        <f>SUM(Table3[[#This Row],[R Scale]:[OBP Scale]])</f>
        <v>1.8266253024347554</v>
      </c>
      <c r="H70" s="1">
        <f>SUM(Table3[[#This Row],[R Scale]:[SB Scale]],Table3[[#This Row],[OB Scale]])</f>
        <v>2.0760086623797944</v>
      </c>
      <c r="I70" s="1">
        <f>Table3[[#This Row],[R Scale]]*Data!B$192+Table3[[#This Row],[HR Scale]]*Data!C$192+Table3[[#This Row],[RBI Scale]]*Data!D$192+Table3[[#This Row],[SB Scale]]*Data!E$192+Table3[[#This Row],[OBP Scale]]*Data!F$192</f>
        <v>1.8503139304411726</v>
      </c>
      <c r="J70" s="1">
        <f>Table3[[#This Row],[R Scale]]*Data!B$192+Table3[[#This Row],[HR Scale]]*Data!C$192+Table3[[#This Row],[RBI Scale]]*Data!D$192+Table3[[#This Row],[SB Scale]]*Data!E$192+Table3[[#This Row],[OB Scale]]*Data!F$192</f>
        <v>2.1495739623752197</v>
      </c>
      <c r="K7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0.1383238451420794</v>
      </c>
      <c r="L7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1.7541571729379424E-2</v>
      </c>
      <c r="M70" s="1">
        <f ca="1">Table3[[#This Row],[Tot Scale]]*M$185+M$186</f>
        <v>1</v>
      </c>
      <c r="N70" s="1">
        <f ca="1">Table3[[#This Row],[OB Tot Scale]]*N$185+N$186</f>
        <v>8.1926755578271724</v>
      </c>
      <c r="O70" s="1">
        <f ca="1">Table3[[#This Row],[Weighted Scale]]*O$185+O$186</f>
        <v>-2.5546197206840304</v>
      </c>
      <c r="P70" s="1">
        <f ca="1">Table3[[#This Row],[OB Weighted Scale]]*P$185+P$186</f>
        <v>5.4959975588474776</v>
      </c>
      <c r="Q70" s="1">
        <f ca="1">Table3[[#This Row],[Z-score]]*Q$185+Q$186</f>
        <v>2.4225971368887524</v>
      </c>
      <c r="R70" s="1">
        <f ca="1">Table3[[#This Row],[OBMod Z-Score]]*R$185+R$186</f>
        <v>1.7796067178438462</v>
      </c>
      <c r="S70" s="1">
        <f ca="1">AVERAGE(Table3[[#This Row],[Tot Value]:[OB Z Value]])</f>
        <v>2.7227095417872031</v>
      </c>
      <c r="T70" s="1" t="str">
        <f>IF(Table1[[#This Row],[Included?]], (Table1[[#This Row],[I R]]-Data!S$188)/(Data!S$187-Data!S$188), "")</f>
        <v/>
      </c>
      <c r="U70" s="1" t="str">
        <f>IF(Table1[[#This Row],[Included?]], (Table1[[#This Row],[I HR]]-Data!T$188)/(Data!T$187-Data!T$188), "")</f>
        <v/>
      </c>
      <c r="V70" s="1" t="str">
        <f>IF(Table1[[#This Row],[Included?]], (Table1[[#This Row],[I RBI]]-Data!U$188)/(Data!U$187-Data!U$188), "")</f>
        <v/>
      </c>
      <c r="W70" s="1" t="str">
        <f>IF(Table1[[#This Row],[Included?]], (Table1[[#This Row],[I SB]]-Data!V$188)/(Data!V$187-Data!V$188), "")</f>
        <v/>
      </c>
      <c r="X70" s="1" t="str">
        <f>IF(Table1[[#This Row],[Included?]], (Table1[[#This Row],[I OBP]]-Data!W$188)/(Data!W$187-Data!W$188), "")</f>
        <v/>
      </c>
      <c r="Y70" s="1" t="str">
        <f>IF(Table1[[#This Row],[Included?]], (Table1[[#This Row],[I OB]]-Data!AA$188)/(Data!AA$187-Data!AA$188), "")</f>
        <v/>
      </c>
      <c r="Z70" s="1" t="str">
        <f>IF(Table1[[#This Row],[Included?]], SUM(Table35[[#This Row],[I R Scale]:[I OBP Scale]]), "")</f>
        <v/>
      </c>
      <c r="AA70" s="1" t="str">
        <f>IF(Table1[[#This Row],[Included?]], SUM(Table35[[#This Row],[I R Scale]:[I SB Scale]],Table35[[#This Row],[I OB Scale]]), "")</f>
        <v/>
      </c>
      <c r="AB7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0" s="1" t="str">
        <f>IF(Table1[[#This Row],[Included?]], Table35[[#This Row],[I Tot Scale]]*AF$185+AF$186, "")</f>
        <v/>
      </c>
      <c r="AG70" s="1" t="str">
        <f>IF(Table1[[#This Row],[Included?]], Table35[[#This Row],[I OB Tot Scale]]*AG$185+AG$186, "")</f>
        <v/>
      </c>
      <c r="AH70" s="1" t="str">
        <f>IF(Table1[[#This Row],[Included?]], Table35[[#This Row],[I Weighted Scale]]*AH$185+AH$186, "")</f>
        <v/>
      </c>
      <c r="AI70" s="1" t="str">
        <f>IF(Table1[[#This Row],[Included?]], Table35[[#This Row],[I OB Weighted Scale]]*AI$185+AI$186, "")</f>
        <v/>
      </c>
      <c r="AJ70" s="1" t="str">
        <f>IF(Table1[[#This Row],[Included?]], Table35[[#This Row],[I Z-score]]*AJ$185+AJ$186, "")</f>
        <v/>
      </c>
      <c r="AK70" s="1" t="str">
        <f>IF(Table1[[#This Row],[Included?]], Table35[[#This Row],[I OBMod Z-Score]]*AK$185+AK$186, "")</f>
        <v/>
      </c>
      <c r="AL70" s="1" t="str">
        <f>IF(Table1[[#This Row],[Included?]], AVERAGE(Table35[[#This Row],[I Tot Value]:[I OB Z Value]]), "")</f>
        <v/>
      </c>
    </row>
    <row r="71" spans="1:38" hidden="1" x14ac:dyDescent="0.25">
      <c r="A71" s="1">
        <f>(Table1[[#This Row],[R]]-Data!H$188)/(Data!H$187-Data!H$188)</f>
        <v>0.51505681818181814</v>
      </c>
      <c r="B71" s="1">
        <f>(Table1[[#This Row],[HR]]-Data!I$188)/(Data!I$187-Data!I$188)</f>
        <v>0.33832539142273649</v>
      </c>
      <c r="C71" s="1">
        <f>(Table1[[#This Row],[RBI]]-Data!J$188)/(Data!J$187-Data!J$188)</f>
        <v>0.33820578962453413</v>
      </c>
      <c r="D71" s="1">
        <f>(Table1[[#This Row],[SB]]-Data!K$188)/(Data!K$187-Data!K$188)</f>
        <v>6.8381430363864487E-2</v>
      </c>
      <c r="E71" s="1">
        <f>(Table1[[#This Row],[OBP]]-Data!L$188)/(Data!L$187-Data!L$188)</f>
        <v>0.74305472514523951</v>
      </c>
      <c r="F71" s="1">
        <f>(Table1[[#This Row],[OB]]-Data!P$188)/(Data!P$187-Data!P$188)</f>
        <v>0.60029766431796316</v>
      </c>
      <c r="G71" s="1">
        <f>SUM(Table3[[#This Row],[R Scale]:[OBP Scale]])</f>
        <v>2.0030241547381928</v>
      </c>
      <c r="H71" s="1">
        <f>SUM(Table3[[#This Row],[R Scale]:[SB Scale]],Table3[[#This Row],[OB Scale]])</f>
        <v>1.8602670939109165</v>
      </c>
      <c r="I71" s="1">
        <f>Table3[[#This Row],[R Scale]]*Data!B$192+Table3[[#This Row],[HR Scale]]*Data!C$192+Table3[[#This Row],[RBI Scale]]*Data!D$192+Table3[[#This Row],[SB Scale]]*Data!E$192+Table3[[#This Row],[OBP Scale]]*Data!F$192</f>
        <v>2.1677705758739658</v>
      </c>
      <c r="J71" s="1">
        <f>Table3[[#This Row],[R Scale]]*Data!B$192+Table3[[#This Row],[HR Scale]]*Data!C$192+Table3[[#This Row],[RBI Scale]]*Data!D$192+Table3[[#This Row],[SB Scale]]*Data!E$192+Table3[[#This Row],[OB Scale]]*Data!F$192</f>
        <v>1.9964621028812344</v>
      </c>
      <c r="K7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0.92572361871019448</v>
      </c>
      <c r="L7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0.86021057013112334</v>
      </c>
      <c r="M71" s="1">
        <f ca="1">Table3[[#This Row],[Tot Scale]]*M$185+M$186</f>
        <v>7.5147346686766383</v>
      </c>
      <c r="N71" s="1">
        <f ca="1">Table3[[#This Row],[OB Tot Scale]]*N$185+N$186</f>
        <v>0.32501509709221921</v>
      </c>
      <c r="O71" s="1">
        <f ca="1">Table3[[#This Row],[Weighted Scale]]*O$185+O$186</f>
        <v>8.3640671295299001</v>
      </c>
      <c r="P71" s="1">
        <f ca="1">Table3[[#This Row],[OB Weighted Scale]]*P$185+P$186</f>
        <v>0.2686626638041929</v>
      </c>
      <c r="Q71" s="1">
        <f ca="1">Table3[[#This Row],[Z-score]]*Q$185+Q$186</f>
        <v>8.2082232472735264</v>
      </c>
      <c r="R71" s="1">
        <f ca="1">Table3[[#This Row],[OBMod Z-Score]]*R$185+R$186</f>
        <v>7.9146678241128416</v>
      </c>
      <c r="S71" s="1">
        <f ca="1">AVERAGE(Table3[[#This Row],[Tot Value]:[OB Z Value]])</f>
        <v>5.4325617717482197</v>
      </c>
      <c r="T71" s="1">
        <f>IF(Table1[[#This Row],[Included?]], (Table1[[#This Row],[I R]]-Data!S$188)/(Data!S$187-Data!S$188), "")</f>
        <v>0.38707360861759421</v>
      </c>
      <c r="U71" s="1">
        <f>IF(Table1[[#This Row],[Included?]], (Table1[[#This Row],[I HR]]-Data!T$188)/(Data!T$187-Data!T$188), "")</f>
        <v>0.33832539142273649</v>
      </c>
      <c r="V71" s="1">
        <f>IF(Table1[[#This Row],[Included?]], (Table1[[#This Row],[I RBI]]-Data!U$188)/(Data!U$187-Data!U$188), "")</f>
        <v>0.16702741702741697</v>
      </c>
      <c r="W71" s="1">
        <f>IF(Table1[[#This Row],[Included?]], (Table1[[#This Row],[I SB]]-Data!V$188)/(Data!V$187-Data!V$188), "")</f>
        <v>6.8381430363864487E-2</v>
      </c>
      <c r="X71" s="1">
        <f>IF(Table1[[#This Row],[Included?]], (Table1[[#This Row],[I OBP]]-Data!W$188)/(Data!W$187-Data!W$188), "")</f>
        <v>0.69105904414030517</v>
      </c>
      <c r="Y71" s="1">
        <f>IF(Table1[[#This Row],[Included?]], (Table1[[#This Row],[I OB]]-Data!AA$188)/(Data!AA$187-Data!AA$188), "")</f>
        <v>0.38464876345500532</v>
      </c>
      <c r="Z71" s="1">
        <f>IF(Table1[[#This Row],[Included?]], SUM(Table35[[#This Row],[I R Scale]:[I OBP Scale]]), "")</f>
        <v>1.6518668915719172</v>
      </c>
      <c r="AA71" s="1">
        <f>IF(Table1[[#This Row],[Included?]], SUM(Table35[[#This Row],[I R Scale]:[I SB Scale]],Table35[[#This Row],[I OB Scale]]), "")</f>
        <v>1.3454566108866175</v>
      </c>
      <c r="AB7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1.7847768229437024</v>
      </c>
      <c r="AC7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1.4170844861213425</v>
      </c>
      <c r="AD7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-1.1765590592175741</v>
      </c>
      <c r="AE7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-1.2845838053758725</v>
      </c>
      <c r="AF71" s="1">
        <f ca="1">IF(Table1[[#This Row],[Included?]], Table35[[#This Row],[I Tot Scale]]*AF$185+AF$186, "")</f>
        <v>13.371496349050847</v>
      </c>
      <c r="AG71" s="1">
        <f ca="1">IF(Table1[[#This Row],[Included?]], Table35[[#This Row],[I OB Tot Scale]]*AG$185+AG$186, "")</f>
        <v>11.973378001634854</v>
      </c>
      <c r="AH71" s="1">
        <f ca="1">IF(Table1[[#This Row],[Included?]], Table35[[#This Row],[I Weighted Scale]]*AH$185+AH$186, "")</f>
        <v>13.818259207562498</v>
      </c>
      <c r="AI71" s="1">
        <f ca="1">IF(Table1[[#This Row],[Included?]], Table35[[#This Row],[I OB Weighted Scale]]*AI$185+AI$186, "")</f>
        <v>11.940600018146938</v>
      </c>
      <c r="AJ71" s="1">
        <f ca="1">IF(Table1[[#This Row],[Included?]], Table35[[#This Row],[I Z-score]]*AJ$185+AJ$186, "")</f>
        <v>14.658541343792177</v>
      </c>
      <c r="AK71" s="1">
        <f ca="1">IF(Table1[[#This Row],[Included?]], Table35[[#This Row],[I OBMod Z-Score]]*AK$185+AK$186, "")</f>
        <v>14.178355691782308</v>
      </c>
      <c r="AL71" s="1">
        <f ca="1">IF(Table1[[#This Row],[Included?]], AVERAGE(Table35[[#This Row],[I Tot Value]:[I OB Z Value]]), "")</f>
        <v>13.323438435328271</v>
      </c>
    </row>
    <row r="72" spans="1:38" hidden="1" x14ac:dyDescent="0.25">
      <c r="A72" s="1">
        <f>(Table1[[#This Row],[R]]-Data!H$188)/(Data!H$187-Data!H$188)</f>
        <v>0.4380681818181818</v>
      </c>
      <c r="B72" s="1">
        <f>(Table1[[#This Row],[HR]]-Data!I$188)/(Data!I$187-Data!I$188)</f>
        <v>0.75221238938053081</v>
      </c>
      <c r="C72" s="1">
        <f>(Table1[[#This Row],[RBI]]-Data!J$188)/(Data!J$187-Data!J$188)</f>
        <v>0.48380624820865575</v>
      </c>
      <c r="D72" s="1">
        <f>(Table1[[#This Row],[SB]]-Data!K$188)/(Data!K$187-Data!K$188)</f>
        <v>6.3048933500627347E-2</v>
      </c>
      <c r="E72" s="1">
        <f>(Table1[[#This Row],[OBP]]-Data!L$188)/(Data!L$187-Data!L$188)</f>
        <v>0.29597110220899664</v>
      </c>
      <c r="F72" s="1">
        <f>(Table1[[#This Row],[OB]]-Data!P$188)/(Data!P$187-Data!P$188)</f>
        <v>0.43631293888839151</v>
      </c>
      <c r="G72" s="1">
        <f>SUM(Table3[[#This Row],[R Scale]:[OBP Scale]])</f>
        <v>2.0331068551169924</v>
      </c>
      <c r="H72" s="1">
        <f>SUM(Table3[[#This Row],[R Scale]:[SB Scale]],Table3[[#This Row],[OB Scale]])</f>
        <v>2.1734486917963873</v>
      </c>
      <c r="I72" s="1">
        <f>Table3[[#This Row],[R Scale]]*Data!B$192+Table3[[#This Row],[HR Scale]]*Data!C$192+Table3[[#This Row],[RBI Scale]]*Data!D$192+Table3[[#This Row],[SB Scale]]*Data!E$192+Table3[[#This Row],[OBP Scale]]*Data!F$192</f>
        <v>2.1452555070187045</v>
      </c>
      <c r="J72" s="1">
        <f>Table3[[#This Row],[R Scale]]*Data!B$192+Table3[[#This Row],[HR Scale]]*Data!C$192+Table3[[#This Row],[RBI Scale]]*Data!D$192+Table3[[#This Row],[SB Scale]]*Data!E$192+Table3[[#This Row],[OB Scale]]*Data!F$192</f>
        <v>2.3136657110339787</v>
      </c>
      <c r="K7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0.56435195389721793</v>
      </c>
      <c r="L7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0.5285028141507625</v>
      </c>
      <c r="M72" s="1">
        <f ca="1">Table3[[#This Row],[Tot Scale]]*M$185+M$186</f>
        <v>8.6257442275600198</v>
      </c>
      <c r="N72" s="1">
        <f ca="1">Table3[[#This Row],[OB Tot Scale]]*N$185+N$186</f>
        <v>11.746117169355855</v>
      </c>
      <c r="O72" s="1">
        <f ca="1">Table3[[#This Row],[Weighted Scale]]*O$185+O$186</f>
        <v>7.5896779655971187</v>
      </c>
      <c r="P72" s="1">
        <f ca="1">Table3[[#This Row],[OB Weighted Scale]]*P$185+P$186</f>
        <v>11.098192755139891</v>
      </c>
      <c r="Q72" s="1">
        <f ca="1">Table3[[#This Row],[Z-score]]*Q$185+Q$186</f>
        <v>5.552950271995857</v>
      </c>
      <c r="R72" s="1">
        <f ca="1">Table3[[#This Row],[OBMod Z-Score]]*R$185+R$186</f>
        <v>5.4996657815283037</v>
      </c>
      <c r="S72" s="1">
        <f ca="1">AVERAGE(Table3[[#This Row],[Tot Value]:[OB Z Value]])</f>
        <v>8.3520580285295072</v>
      </c>
      <c r="T72" s="1" t="str">
        <f>IF(Table1[[#This Row],[Included?]], (Table1[[#This Row],[I R]]-Data!S$188)/(Data!S$187-Data!S$188), "")</f>
        <v/>
      </c>
      <c r="U72" s="1" t="str">
        <f>IF(Table1[[#This Row],[Included?]], (Table1[[#This Row],[I HR]]-Data!T$188)/(Data!T$187-Data!T$188), "")</f>
        <v/>
      </c>
      <c r="V72" s="1" t="str">
        <f>IF(Table1[[#This Row],[Included?]], (Table1[[#This Row],[I RBI]]-Data!U$188)/(Data!U$187-Data!U$188), "")</f>
        <v/>
      </c>
      <c r="W72" s="1" t="str">
        <f>IF(Table1[[#This Row],[Included?]], (Table1[[#This Row],[I SB]]-Data!V$188)/(Data!V$187-Data!V$188), "")</f>
        <v/>
      </c>
      <c r="X72" s="1" t="str">
        <f>IF(Table1[[#This Row],[Included?]], (Table1[[#This Row],[I OBP]]-Data!W$188)/(Data!W$187-Data!W$188), "")</f>
        <v/>
      </c>
      <c r="Y72" s="1" t="str">
        <f>IF(Table1[[#This Row],[Included?]], (Table1[[#This Row],[I OB]]-Data!AA$188)/(Data!AA$187-Data!AA$188), "")</f>
        <v/>
      </c>
      <c r="Z72" s="1" t="str">
        <f>IF(Table1[[#This Row],[Included?]], SUM(Table35[[#This Row],[I R Scale]:[I OBP Scale]]), "")</f>
        <v/>
      </c>
      <c r="AA72" s="1" t="str">
        <f>IF(Table1[[#This Row],[Included?]], SUM(Table35[[#This Row],[I R Scale]:[I SB Scale]],Table35[[#This Row],[I OB Scale]]), "")</f>
        <v/>
      </c>
      <c r="AB7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2" s="1" t="str">
        <f>IF(Table1[[#This Row],[Included?]], Table35[[#This Row],[I Tot Scale]]*AF$185+AF$186, "")</f>
        <v/>
      </c>
      <c r="AG72" s="1" t="str">
        <f>IF(Table1[[#This Row],[Included?]], Table35[[#This Row],[I OB Tot Scale]]*AG$185+AG$186, "")</f>
        <v/>
      </c>
      <c r="AH72" s="1" t="str">
        <f>IF(Table1[[#This Row],[Included?]], Table35[[#This Row],[I Weighted Scale]]*AH$185+AH$186, "")</f>
        <v/>
      </c>
      <c r="AI72" s="1" t="str">
        <f>IF(Table1[[#This Row],[Included?]], Table35[[#This Row],[I OB Weighted Scale]]*AI$185+AI$186, "")</f>
        <v/>
      </c>
      <c r="AJ72" s="1" t="str">
        <f>IF(Table1[[#This Row],[Included?]], Table35[[#This Row],[I Z-score]]*AJ$185+AJ$186, "")</f>
        <v/>
      </c>
      <c r="AK72" s="1" t="str">
        <f>IF(Table1[[#This Row],[Included?]], Table35[[#This Row],[I OBMod Z-Score]]*AK$185+AK$186, "")</f>
        <v/>
      </c>
      <c r="AL72" s="1" t="str">
        <f>IF(Table1[[#This Row],[Included?]], AVERAGE(Table35[[#This Row],[I Tot Value]:[I OB Z Value]]), "")</f>
        <v/>
      </c>
    </row>
    <row r="73" spans="1:38" hidden="1" x14ac:dyDescent="0.25">
      <c r="A73" s="1">
        <f>(Table1[[#This Row],[R]]-Data!H$188)/(Data!H$187-Data!H$188)</f>
        <v>0.39801136363636375</v>
      </c>
      <c r="B73" s="1">
        <f>(Table1[[#This Row],[HR]]-Data!I$188)/(Data!I$187-Data!I$188)</f>
        <v>0.29611980939414567</v>
      </c>
      <c r="C73" s="1">
        <f>(Table1[[#This Row],[RBI]]-Data!J$188)/(Data!J$187-Data!J$188)</f>
        <v>0.56291200917168238</v>
      </c>
      <c r="D73" s="1">
        <f>(Table1[[#This Row],[SB]]-Data!K$188)/(Data!K$187-Data!K$188)</f>
        <v>8.4378920953575881E-2</v>
      </c>
      <c r="E73" s="1">
        <f>(Table1[[#This Row],[OBP]]-Data!L$188)/(Data!L$187-Data!L$188)</f>
        <v>0.53217386024471047</v>
      </c>
      <c r="F73" s="1">
        <f>(Table1[[#This Row],[OB]]-Data!P$188)/(Data!P$187-Data!P$188)</f>
        <v>0.56436605820553332</v>
      </c>
      <c r="G73" s="1">
        <f>SUM(Table3[[#This Row],[R Scale]:[OBP Scale]])</f>
        <v>1.8735959634004784</v>
      </c>
      <c r="H73" s="1">
        <f>SUM(Table3[[#This Row],[R Scale]:[SB Scale]],Table3[[#This Row],[OB Scale]])</f>
        <v>1.905788161361301</v>
      </c>
      <c r="I73" s="1">
        <f>Table3[[#This Row],[R Scale]]*Data!B$192+Table3[[#This Row],[HR Scale]]*Data!C$192+Table3[[#This Row],[RBI Scale]]*Data!D$192+Table3[[#This Row],[SB Scale]]*Data!E$192+Table3[[#This Row],[OBP Scale]]*Data!F$192</f>
        <v>2.0528120009201203</v>
      </c>
      <c r="J73" s="1">
        <f>Table3[[#This Row],[R Scale]]*Data!B$192+Table3[[#This Row],[HR Scale]]*Data!C$192+Table3[[#This Row],[RBI Scale]]*Data!D$192+Table3[[#This Row],[SB Scale]]*Data!E$192+Table3[[#This Row],[OB Scale]]*Data!F$192</f>
        <v>2.091442638473108</v>
      </c>
      <c r="K7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0.16839588388754045</v>
      </c>
      <c r="L7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0.15158929446460456</v>
      </c>
      <c r="M73" s="1">
        <f ca="1">Table3[[#This Row],[Tot Scale]]*M$185+M$186</f>
        <v>2.7347130630854366</v>
      </c>
      <c r="N73" s="1">
        <f ca="1">Table3[[#This Row],[OB Tot Scale]]*N$185+N$186</f>
        <v>1.9850767396008706</v>
      </c>
      <c r="O73" s="1">
        <f ca="1">Table3[[#This Row],[Weighted Scale]]*O$185+O$186</f>
        <v>4.4101518509360034</v>
      </c>
      <c r="P73" s="1">
        <f ca="1">Table3[[#This Row],[OB Weighted Scale]]*P$185+P$186</f>
        <v>3.5113577083954652</v>
      </c>
      <c r="Q73" s="1">
        <f ca="1">Table3[[#This Row],[Z-score]]*Q$185+Q$186</f>
        <v>2.6435593195038471</v>
      </c>
      <c r="R73" s="1">
        <f ca="1">Table3[[#This Row],[OBMod Z-Score]]*R$185+R$186</f>
        <v>2.7555426686105235</v>
      </c>
      <c r="S73" s="1">
        <f ca="1">AVERAGE(Table3[[#This Row],[Tot Value]:[OB Z Value]])</f>
        <v>3.0067335583553576</v>
      </c>
      <c r="T73" s="1">
        <f>IF(Table1[[#This Row],[Included?]], (Table1[[#This Row],[I R]]-Data!S$188)/(Data!S$187-Data!S$188), "")</f>
        <v>0.23913824057450639</v>
      </c>
      <c r="U73" s="1">
        <f>IF(Table1[[#This Row],[Included?]], (Table1[[#This Row],[I HR]]-Data!T$188)/(Data!T$187-Data!T$188), "")</f>
        <v>0.29611980939414567</v>
      </c>
      <c r="V73" s="1">
        <f>IF(Table1[[#This Row],[Included?]], (Table1[[#This Row],[I RBI]]-Data!U$188)/(Data!U$187-Data!U$188), "")</f>
        <v>0.44985569985569984</v>
      </c>
      <c r="W73" s="1">
        <f>IF(Table1[[#This Row],[Included?]], (Table1[[#This Row],[I SB]]-Data!V$188)/(Data!V$187-Data!V$188), "")</f>
        <v>8.4378920953575881E-2</v>
      </c>
      <c r="X73" s="1">
        <f>IF(Table1[[#This Row],[Included?]], (Table1[[#This Row],[I OBP]]-Data!W$188)/(Data!W$187-Data!W$188), "")</f>
        <v>0.4375041343965288</v>
      </c>
      <c r="Y73" s="1">
        <f>IF(Table1[[#This Row],[Included?]], (Table1[[#This Row],[I OB]]-Data!AA$188)/(Data!AA$187-Data!AA$188), "")</f>
        <v>0.32933120266416627</v>
      </c>
      <c r="Z73" s="1">
        <f>IF(Table1[[#This Row],[Included?]], SUM(Table35[[#This Row],[I R Scale]:[I OBP Scale]]), "")</f>
        <v>1.5069968051744564</v>
      </c>
      <c r="AA73" s="1">
        <f>IF(Table1[[#This Row],[Included?]], SUM(Table35[[#This Row],[I R Scale]:[I SB Scale]],Table35[[#This Row],[I OB Scale]]), "")</f>
        <v>1.3988238734420939</v>
      </c>
      <c r="AB7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1.6605549479674517</v>
      </c>
      <c r="AC7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1.5307474298886168</v>
      </c>
      <c r="AD7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-2.263916382899017</v>
      </c>
      <c r="AE7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-2.2592361028618204</v>
      </c>
      <c r="AF73" s="1">
        <f ca="1">IF(Table1[[#This Row],[Included?]], Table35[[#This Row],[I Tot Scale]]*AF$185+AF$186, "")</f>
        <v>10.303332662670829</v>
      </c>
      <c r="AG73" s="1">
        <f ca="1">IF(Table1[[#This Row],[Included?]], Table35[[#This Row],[I OB Tot Scale]]*AG$185+AG$186, "")</f>
        <v>12.812580603011343</v>
      </c>
      <c r="AH73" s="1">
        <f ca="1">IF(Table1[[#This Row],[Included?]], Table35[[#This Row],[I Weighted Scale]]*AH$185+AH$186, "")</f>
        <v>11.367749262824034</v>
      </c>
      <c r="AI73" s="1">
        <f ca="1">IF(Table1[[#This Row],[Included?]], Table35[[#This Row],[I OB Weighted Scale]]*AI$185+AI$186, "")</f>
        <v>13.605205013870293</v>
      </c>
      <c r="AJ73" s="1">
        <f ca="1">IF(Table1[[#This Row],[Included?]], Table35[[#This Row],[I Z-score]]*AJ$185+AJ$186, "")</f>
        <v>9.7220495090077748</v>
      </c>
      <c r="AK73" s="1">
        <f ca="1">IF(Table1[[#This Row],[Included?]], Table35[[#This Row],[I OBMod Z-Score]]*AK$185+AK$186, "")</f>
        <v>9.7612993842023403</v>
      </c>
      <c r="AL73" s="1">
        <f ca="1">IF(Table1[[#This Row],[Included?]], AVERAGE(Table35[[#This Row],[I Tot Value]:[I OB Z Value]]), "")</f>
        <v>11.262036072597772</v>
      </c>
    </row>
    <row r="74" spans="1:38" hidden="1" x14ac:dyDescent="0.25">
      <c r="A74" s="1">
        <f>(Table1[[#This Row],[R]]-Data!H$188)/(Data!H$187-Data!H$188)</f>
        <v>0.51079545454545472</v>
      </c>
      <c r="B74" s="1">
        <f>(Table1[[#This Row],[HR]]-Data!I$188)/(Data!I$187-Data!I$188)</f>
        <v>0.49285228046289986</v>
      </c>
      <c r="C74" s="1">
        <f>(Table1[[#This Row],[RBI]]-Data!J$188)/(Data!J$187-Data!J$188)</f>
        <v>0.38406420177701339</v>
      </c>
      <c r="D74" s="1">
        <f>(Table1[[#This Row],[SB]]-Data!K$188)/(Data!K$187-Data!K$188)</f>
        <v>0.12766624843161856</v>
      </c>
      <c r="E74" s="1">
        <f>(Table1[[#This Row],[OBP]]-Data!L$188)/(Data!L$187-Data!L$188)</f>
        <v>0.37613986145654271</v>
      </c>
      <c r="F74" s="1">
        <f>(Table1[[#This Row],[OB]]-Data!P$188)/(Data!P$187-Data!P$188)</f>
        <v>0.49196984911971209</v>
      </c>
      <c r="G74" s="1">
        <f>SUM(Table3[[#This Row],[R Scale]:[OBP Scale]])</f>
        <v>1.8915180466735291</v>
      </c>
      <c r="H74" s="1">
        <f>SUM(Table3[[#This Row],[R Scale]:[SB Scale]],Table3[[#This Row],[OB Scale]])</f>
        <v>2.0073480343366983</v>
      </c>
      <c r="I74" s="1">
        <f>Table3[[#This Row],[R Scale]]*Data!B$192+Table3[[#This Row],[HR Scale]]*Data!C$192+Table3[[#This Row],[RBI Scale]]*Data!D$192+Table3[[#This Row],[SB Scale]]*Data!E$192+Table3[[#This Row],[OBP Scale]]*Data!F$192</f>
        <v>1.9924793138656949</v>
      </c>
      <c r="J74" s="1">
        <f>Table3[[#This Row],[R Scale]]*Data!B$192+Table3[[#This Row],[HR Scale]]*Data!C$192+Table3[[#This Row],[RBI Scale]]*Data!D$192+Table3[[#This Row],[SB Scale]]*Data!E$192+Table3[[#This Row],[OB Scale]]*Data!F$192</f>
        <v>2.1314752990614982</v>
      </c>
      <c r="K7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0.18439254509352371</v>
      </c>
      <c r="L7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0.14187847538192982</v>
      </c>
      <c r="M74" s="1">
        <f ca="1">Table3[[#This Row],[Tot Scale]]*M$185+M$186</f>
        <v>3.3966086236813169</v>
      </c>
      <c r="N74" s="1">
        <f ca="1">Table3[[#This Row],[OB Tot Scale]]*N$185+N$186</f>
        <v>5.688760747632287</v>
      </c>
      <c r="O74" s="1">
        <f ca="1">Table3[[#This Row],[Weighted Scale]]*O$185+O$186</f>
        <v>2.3350536406555449</v>
      </c>
      <c r="P74" s="1">
        <f ca="1">Table3[[#This Row],[OB Weighted Scale]]*P$185+P$186</f>
        <v>4.8780978441805587</v>
      </c>
      <c r="Q74" s="1">
        <f ca="1">Table3[[#This Row],[Z-score]]*Q$185+Q$186</f>
        <v>2.7610989783393083</v>
      </c>
      <c r="R74" s="1">
        <f ca="1">Table3[[#This Row],[OBMod Z-Score]]*R$185+R$186</f>
        <v>2.6848429412239359</v>
      </c>
      <c r="S74" s="1">
        <f ca="1">AVERAGE(Table3[[#This Row],[Tot Value]:[OB Z Value]])</f>
        <v>3.6240771292854923</v>
      </c>
      <c r="T74" s="1" t="str">
        <f>IF(Table1[[#This Row],[Included?]], (Table1[[#This Row],[I R]]-Data!S$188)/(Data!S$187-Data!S$188), "")</f>
        <v/>
      </c>
      <c r="U74" s="1" t="str">
        <f>IF(Table1[[#This Row],[Included?]], (Table1[[#This Row],[I HR]]-Data!T$188)/(Data!T$187-Data!T$188), "")</f>
        <v/>
      </c>
      <c r="V74" s="1" t="str">
        <f>IF(Table1[[#This Row],[Included?]], (Table1[[#This Row],[I RBI]]-Data!U$188)/(Data!U$187-Data!U$188), "")</f>
        <v/>
      </c>
      <c r="W74" s="1" t="str">
        <f>IF(Table1[[#This Row],[Included?]], (Table1[[#This Row],[I SB]]-Data!V$188)/(Data!V$187-Data!V$188), "")</f>
        <v/>
      </c>
      <c r="X74" s="1" t="str">
        <f>IF(Table1[[#This Row],[Included?]], (Table1[[#This Row],[I OBP]]-Data!W$188)/(Data!W$187-Data!W$188), "")</f>
        <v/>
      </c>
      <c r="Y74" s="1" t="str">
        <f>IF(Table1[[#This Row],[Included?]], (Table1[[#This Row],[I OB]]-Data!AA$188)/(Data!AA$187-Data!AA$188), "")</f>
        <v/>
      </c>
      <c r="Z74" s="1" t="str">
        <f>IF(Table1[[#This Row],[Included?]], SUM(Table35[[#This Row],[I R Scale]:[I OBP Scale]]), "")</f>
        <v/>
      </c>
      <c r="AA74" s="1" t="str">
        <f>IF(Table1[[#This Row],[Included?]], SUM(Table35[[#This Row],[I R Scale]:[I SB Scale]],Table35[[#This Row],[I OB Scale]]), "")</f>
        <v/>
      </c>
      <c r="AB7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7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74" s="1" t="str">
        <f>IF(Table1[[#This Row],[Included?]], Table35[[#This Row],[I Tot Scale]]*AF$185+AF$186, "")</f>
        <v/>
      </c>
      <c r="AG74" s="1" t="str">
        <f>IF(Table1[[#This Row],[Included?]], Table35[[#This Row],[I OB Tot Scale]]*AG$185+AG$186, "")</f>
        <v/>
      </c>
      <c r="AH74" s="1" t="str">
        <f>IF(Table1[[#This Row],[Included?]], Table35[[#This Row],[I Weighted Scale]]*AH$185+AH$186, "")</f>
        <v/>
      </c>
      <c r="AI74" s="1" t="str">
        <f>IF(Table1[[#This Row],[Included?]], Table35[[#This Row],[I OB Weighted Scale]]*AI$185+AI$186, "")</f>
        <v/>
      </c>
      <c r="AJ74" s="1" t="str">
        <f>IF(Table1[[#This Row],[Included?]], Table35[[#This Row],[I Z-score]]*AJ$185+AJ$186, "")</f>
        <v/>
      </c>
      <c r="AK74" s="1" t="str">
        <f>IF(Table1[[#This Row],[Included?]], Table35[[#This Row],[I OBMod Z-Score]]*AK$185+AK$186, "")</f>
        <v/>
      </c>
      <c r="AL74" s="1" t="str">
        <f>IF(Table1[[#This Row],[Included?]], AVERAGE(Table35[[#This Row],[I Tot Value]:[I OB Z Value]]), "")</f>
        <v/>
      </c>
    </row>
    <row r="75" spans="1:38" hidden="1" x14ac:dyDescent="0.25">
      <c r="A75" s="1">
        <f>(Table1[[#This Row],[R]]-Data!H$188)/(Data!H$187-Data!H$188)</f>
        <v>0.43806818181818197</v>
      </c>
      <c r="B75" s="1">
        <f>(Table1[[#This Row],[HR]]-Data!I$188)/(Data!I$187-Data!I$188)</f>
        <v>0.32402995234853643</v>
      </c>
      <c r="C75" s="1">
        <f>(Table1[[#This Row],[RBI]]-Data!J$188)/(Data!J$187-Data!J$188)</f>
        <v>0.52937804528518195</v>
      </c>
      <c r="D75" s="1">
        <f>(Table1[[#This Row],[SB]]-Data!K$188)/(Data!K$187-Data!K$188)</f>
        <v>0.16969887076537007</v>
      </c>
      <c r="E75" s="1">
        <f>(Table1[[#This Row],[OBP]]-Data!L$188)/(Data!L$187-Data!L$188)</f>
        <v>0.40831388415727121</v>
      </c>
      <c r="F75" s="1">
        <f>(Table1[[#This Row],[OB]]-Data!P$188)/(Data!P$187-Data!P$188)</f>
        <v>0.50672202103294595</v>
      </c>
      <c r="G75" s="1">
        <f>SUM(Table3[[#This Row],[R Scale]:[OBP Scale]])</f>
        <v>1.8694889343745418</v>
      </c>
      <c r="H75" s="1">
        <f>SUM(Table3[[#This Row],[R Scale]:[SB Scale]],Table3[[#This Row],[OB Scale]])</f>
        <v>1.9678970712502164</v>
      </c>
      <c r="I75" s="1">
        <f>Table3[[#This Row],[R Scale]]*Data!B$192+Table3[[#This Row],[HR Scale]]*Data!C$192+Table3[[#This Row],[RBI Scale]]*Data!D$192+Table3[[#This Row],[SB Scale]]*Data!E$192+Table3[[#This Row],[OBP Scale]]*Data!F$192</f>
        <v>2.0132205020812139</v>
      </c>
      <c r="J75" s="1">
        <f>Table3[[#This Row],[R Scale]]*Data!B$192+Table3[[#This Row],[HR Scale]]*Data!C$192+Table3[[#This Row],[RBI Scale]]*Data!D$192+Table3[[#This Row],[SB Scale]]*Data!E$192+Table3[[#This Row],[OB Scale]]*Data!F$192</f>
        <v>2.131310266332024</v>
      </c>
      <c r="K7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0.23931854370875894</v>
      </c>
      <c r="L7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0.20149698954606018</v>
      </c>
      <c r="M75" s="1">
        <f ca="1">Table3[[#This Row],[Tot Scale]]*M$185+M$186</f>
        <v>2.5830329130666314</v>
      </c>
      <c r="N75" s="1">
        <f ca="1">Table3[[#This Row],[OB Tot Scale]]*N$185+N$186</f>
        <v>4.2500635850212518</v>
      </c>
      <c r="O75" s="1">
        <f ca="1">Table3[[#This Row],[Weighted Scale]]*O$185+O$186</f>
        <v>3.0484314901500937</v>
      </c>
      <c r="P75" s="1">
        <f ca="1">Table3[[#This Row],[OB Weighted Scale]]*P$185+P$186</f>
        <v>4.8724635233091647</v>
      </c>
      <c r="Q75" s="1">
        <f ca="1">Table3[[#This Row],[Z-score]]*Q$185+Q$186</f>
        <v>3.1646821420570621</v>
      </c>
      <c r="R75" s="1">
        <f ca="1">Table3[[#This Row],[OBMod Z-Score]]*R$185+R$186</f>
        <v>3.1188962031282323</v>
      </c>
      <c r="S75" s="1">
        <f ca="1">AVERAGE(Table3[[#This Row],[Tot Value]:[OB Z Value]])</f>
        <v>3.5062616427887394</v>
      </c>
      <c r="T75" s="1">
        <f>IF(Table1[[#This Row],[Included?]], (Table1[[#This Row],[I R]]-Data!S$188)/(Data!S$187-Data!S$188), "")</f>
        <v>0.28976660682226224</v>
      </c>
      <c r="U75" s="1">
        <f>IF(Table1[[#This Row],[Included?]], (Table1[[#This Row],[I HR]]-Data!T$188)/(Data!T$187-Data!T$188), "")</f>
        <v>0.32402995234853643</v>
      </c>
      <c r="V75" s="1">
        <f>IF(Table1[[#This Row],[Included?]], (Table1[[#This Row],[I RBI]]-Data!U$188)/(Data!U$187-Data!U$188), "")</f>
        <v>0.40764790764790765</v>
      </c>
      <c r="W75" s="1">
        <f>IF(Table1[[#This Row],[Included?]], (Table1[[#This Row],[I SB]]-Data!V$188)/(Data!V$187-Data!V$188), "")</f>
        <v>0.16969887076537007</v>
      </c>
      <c r="X75" s="1">
        <f>IF(Table1[[#This Row],[Included?]], (Table1[[#This Row],[I OBP]]-Data!W$188)/(Data!W$187-Data!W$188), "")</f>
        <v>0.28857974017740134</v>
      </c>
      <c r="Y75" s="1">
        <f>IF(Table1[[#This Row],[Included?]], (Table1[[#This Row],[I OB]]-Data!AA$188)/(Data!AA$187-Data!AA$188), "")</f>
        <v>0.24058683870374464</v>
      </c>
      <c r="Z75" s="1">
        <f>IF(Table1[[#This Row],[Included?]], SUM(Table35[[#This Row],[I R Scale]:[I OBP Scale]]), "")</f>
        <v>1.4797230777614778</v>
      </c>
      <c r="AA75" s="1">
        <f>IF(Table1[[#This Row],[Included?]], SUM(Table35[[#This Row],[I R Scale]:[I SB Scale]],Table35[[#This Row],[I OB Scale]]), "")</f>
        <v>1.4317301762878212</v>
      </c>
      <c r="AB7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1.5899919466443133</v>
      </c>
      <c r="AC7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1.5324004648759253</v>
      </c>
      <c r="AD7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-2.4027330142822216</v>
      </c>
      <c r="AE7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-2.3647673497676744</v>
      </c>
      <c r="AF75" s="1">
        <f ca="1">IF(Table1[[#This Row],[Included?]], Table35[[#This Row],[I Tot Scale]]*AF$185+AF$186, "")</f>
        <v>9.7257098964971007</v>
      </c>
      <c r="AG75" s="1">
        <f ca="1">IF(Table1[[#This Row],[Included?]], Table35[[#This Row],[I OB Tot Scale]]*AG$185+AG$186, "")</f>
        <v>13.330033693679249</v>
      </c>
      <c r="AH75" s="1">
        <f ca="1">IF(Table1[[#This Row],[Included?]], Table35[[#This Row],[I Weighted Scale]]*AH$185+AH$186, "")</f>
        <v>9.9757614466201368</v>
      </c>
      <c r="AI75" s="1">
        <f ca="1">IF(Table1[[#This Row],[Included?]], Table35[[#This Row],[I OB Weighted Scale]]*AI$185+AI$186, "")</f>
        <v>13.629413873915421</v>
      </c>
      <c r="AJ75" s="1">
        <f ca="1">IF(Table1[[#This Row],[Included?]], Table35[[#This Row],[I Z-score]]*AJ$185+AJ$186, "")</f>
        <v>9.0918360985390141</v>
      </c>
      <c r="AK75" s="1">
        <f ca="1">IF(Table1[[#This Row],[Included?]], Table35[[#This Row],[I OBMod Z-Score]]*AK$185+AK$186, "")</f>
        <v>9.2830391256520315</v>
      </c>
      <c r="AL75" s="1">
        <f ca="1">IF(Table1[[#This Row],[Included?]], AVERAGE(Table35[[#This Row],[I Tot Value]:[I OB Z Value]]), "")</f>
        <v>10.839299022483827</v>
      </c>
    </row>
    <row r="76" spans="1:38" hidden="1" x14ac:dyDescent="0.25">
      <c r="A76" s="1">
        <f>(Table1[[#This Row],[R]]-Data!H$188)/(Data!H$187-Data!H$188)</f>
        <v>0.5218750000000002</v>
      </c>
      <c r="B76" s="1">
        <f>(Table1[[#This Row],[HR]]-Data!I$188)/(Data!I$187-Data!I$188)</f>
        <v>0</v>
      </c>
      <c r="C76" s="1">
        <f>(Table1[[#This Row],[RBI]]-Data!J$188)/(Data!J$187-Data!J$188)</f>
        <v>0.2089423903697335</v>
      </c>
      <c r="D76" s="1">
        <f>(Table1[[#This Row],[SB]]-Data!K$188)/(Data!K$187-Data!K$188)</f>
        <v>0.54109159347553315</v>
      </c>
      <c r="E76" s="1">
        <f>(Table1[[#This Row],[OBP]]-Data!L$188)/(Data!L$187-Data!L$188)</f>
        <v>0.43669514526294029</v>
      </c>
      <c r="F76" s="1">
        <f>(Table1[[#This Row],[OB]]-Data!P$188)/(Data!P$187-Data!P$188)</f>
        <v>0.54946514683721914</v>
      </c>
      <c r="G76" s="1">
        <f>SUM(Table3[[#This Row],[R Scale]:[OBP Scale]])</f>
        <v>1.708604129108207</v>
      </c>
      <c r="H76" s="1">
        <f>SUM(Table3[[#This Row],[R Scale]:[SB Scale]],Table3[[#This Row],[OB Scale]])</f>
        <v>1.821374130682486</v>
      </c>
      <c r="I76" s="1">
        <f>Table3[[#This Row],[R Scale]]*Data!B$192+Table3[[#This Row],[HR Scale]]*Data!C$192+Table3[[#This Row],[RBI Scale]]*Data!D$192+Table3[[#This Row],[SB Scale]]*Data!E$192+Table3[[#This Row],[OBP Scale]]*Data!F$192</f>
        <v>1.785544136234742</v>
      </c>
      <c r="J76" s="1">
        <f>Table3[[#This Row],[R Scale]]*Data!B$192+Table3[[#This Row],[HR Scale]]*Data!C$192+Table3[[#This Row],[RBI Scale]]*Data!D$192+Table3[[#This Row],[SB Scale]]*Data!E$192+Table3[[#This Row],[OB Scale]]*Data!F$192</f>
        <v>1.9208681381238766</v>
      </c>
      <c r="K7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0.40228440100757057</v>
      </c>
      <c r="L7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0.36810759943916588</v>
      </c>
      <c r="M76" s="1">
        <f ca="1">Table3[[#This Row],[Tot Scale]]*M$185+M$186</f>
        <v>-3.3587394105362733</v>
      </c>
      <c r="N76" s="1">
        <f ca="1">Table3[[#This Row],[OB Tot Scale]]*N$185+N$186</f>
        <v>-1.0933329346051721</v>
      </c>
      <c r="O76" s="1">
        <f ca="1">Table3[[#This Row],[Weighted Scale]]*O$185+O$186</f>
        <v>-4.7823289542667098</v>
      </c>
      <c r="P76" s="1">
        <f ca="1">Table3[[#This Row],[OB Weighted Scale]]*P$185+P$186</f>
        <v>-2.3121626957515105</v>
      </c>
      <c r="Q76" s="1">
        <f ca="1">Table3[[#This Row],[Z-score]]*Q$185+Q$186</f>
        <v>4.3621164705134445</v>
      </c>
      <c r="R76" s="1">
        <f ca="1">Table3[[#This Row],[OBMod Z-Score]]*R$185+R$186</f>
        <v>4.3319066195380564</v>
      </c>
      <c r="S76" s="1">
        <f ca="1">AVERAGE(Table3[[#This Row],[Tot Value]:[OB Z Value]])</f>
        <v>-0.4754234841846941</v>
      </c>
      <c r="T76" s="1">
        <f>IF(Table1[[#This Row],[Included?]], (Table1[[#This Row],[I R]]-Data!S$188)/(Data!S$187-Data!S$188), "")</f>
        <v>0.39569120287253173</v>
      </c>
      <c r="U76" s="1">
        <f>IF(Table1[[#This Row],[Included?]], (Table1[[#This Row],[I HR]]-Data!T$188)/(Data!T$187-Data!T$188), "")</f>
        <v>0</v>
      </c>
      <c r="V76" s="1">
        <f>IF(Table1[[#This Row],[Included?]], (Table1[[#This Row],[I RBI]]-Data!U$188)/(Data!U$187-Data!U$188), "")</f>
        <v>4.3290043290044123E-3</v>
      </c>
      <c r="W76" s="1">
        <f>IF(Table1[[#This Row],[Included?]], (Table1[[#This Row],[I SB]]-Data!V$188)/(Data!V$187-Data!V$188), "")</f>
        <v>0.54109159347553315</v>
      </c>
      <c r="X76" s="1">
        <f>IF(Table1[[#This Row],[Included?]], (Table1[[#This Row],[I OBP]]-Data!W$188)/(Data!W$187-Data!W$188), "")</f>
        <v>0.32270425925814805</v>
      </c>
      <c r="Y76" s="1">
        <f>IF(Table1[[#This Row],[Included?]], (Table1[[#This Row],[I OB]]-Data!AA$188)/(Data!AA$187-Data!AA$188), "")</f>
        <v>0.30639089579682371</v>
      </c>
      <c r="Z76" s="1">
        <f>IF(Table1[[#This Row],[Included?]], SUM(Table35[[#This Row],[I R Scale]:[I OBP Scale]]), "")</f>
        <v>1.2638160599352175</v>
      </c>
      <c r="AA76" s="1">
        <f>IF(Table1[[#This Row],[Included?]], SUM(Table35[[#This Row],[I R Scale]:[I SB Scale]],Table35[[#This Row],[I OB Scale]]), "")</f>
        <v>1.2475026964738931</v>
      </c>
      <c r="AB7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1.2896535923653947</v>
      </c>
      <c r="AC7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1.2700775562118054</v>
      </c>
      <c r="AD7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-2.6654301426954081</v>
      </c>
      <c r="AE7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-2.6571321541406272</v>
      </c>
      <c r="AF76" s="1">
        <f ca="1">IF(Table1[[#This Row],[Included?]], Table35[[#This Row],[I Tot Scale]]*AF$185+AF$186, "")</f>
        <v>5.1530745912920537</v>
      </c>
      <c r="AG76" s="1">
        <f ca="1">IF(Table1[[#This Row],[Included?]], Table35[[#This Row],[I OB Tot Scale]]*AG$185+AG$186, "")</f>
        <v>10.433048296607984</v>
      </c>
      <c r="AH76" s="1">
        <f ca="1">IF(Table1[[#This Row],[Included?]], Table35[[#This Row],[I Weighted Scale]]*AH$185+AH$186, "")</f>
        <v>4.0510229568204608</v>
      </c>
      <c r="AI76" s="1">
        <f ca="1">IF(Table1[[#This Row],[Included?]], Table35[[#This Row],[I OB Weighted Scale]]*AI$185+AI$186, "")</f>
        <v>9.787669064375315</v>
      </c>
      <c r="AJ76" s="1">
        <f ca="1">IF(Table1[[#This Row],[Included?]], Table35[[#This Row],[I Z-score]]*AJ$185+AJ$186, "")</f>
        <v>7.8992178108886879</v>
      </c>
      <c r="AK76" s="1">
        <f ca="1">IF(Table1[[#This Row],[Included?]], Table35[[#This Row],[I OBMod Z-Score]]*AK$185+AK$186, "")</f>
        <v>7.9580622014699465</v>
      </c>
      <c r="AL76" s="1">
        <f ca="1">IF(Table1[[#This Row],[Included?]], AVERAGE(Table35[[#This Row],[I Tot Value]:[I OB Z Value]]), "")</f>
        <v>7.5470158202424074</v>
      </c>
    </row>
    <row r="77" spans="1:38" hidden="1" x14ac:dyDescent="0.25">
      <c r="A77" s="1">
        <f>(Table1[[#This Row],[R]]-Data!H$188)/(Data!H$187-Data!H$188)</f>
        <v>0.38210227272727282</v>
      </c>
      <c r="B77" s="1">
        <f>(Table1[[#This Row],[HR]]-Data!I$188)/(Data!I$187-Data!I$188)</f>
        <v>0.54526889040163373</v>
      </c>
      <c r="C77" s="1">
        <f>(Table1[[#This Row],[RBI]]-Data!J$188)/(Data!J$187-Data!J$188)</f>
        <v>0.48953854972771571</v>
      </c>
      <c r="D77" s="1">
        <f>(Table1[[#This Row],[SB]]-Data!K$188)/(Data!K$187-Data!K$188)</f>
        <v>2.9485570890840647E-2</v>
      </c>
      <c r="E77" s="1">
        <f>(Table1[[#This Row],[OBP]]-Data!L$188)/(Data!L$187-Data!L$188)</f>
        <v>0.56118544649707325</v>
      </c>
      <c r="F77" s="1">
        <f>(Table1[[#This Row],[OB]]-Data!P$188)/(Data!P$187-Data!P$188)</f>
        <v>0.53114161284158101</v>
      </c>
      <c r="G77" s="1">
        <f>SUM(Table3[[#This Row],[R Scale]:[OBP Scale]])</f>
        <v>2.0075807302445359</v>
      </c>
      <c r="H77" s="1">
        <f>SUM(Table3[[#This Row],[R Scale]:[SB Scale]],Table3[[#This Row],[OB Scale]])</f>
        <v>1.9775368965890436</v>
      </c>
      <c r="I77" s="1">
        <f>Table3[[#This Row],[R Scale]]*Data!B$192+Table3[[#This Row],[HR Scale]]*Data!C$192+Table3[[#This Row],[RBI Scale]]*Data!D$192+Table3[[#This Row],[SB Scale]]*Data!E$192+Table3[[#This Row],[OBP Scale]]*Data!F$192</f>
        <v>2.1795153022167666</v>
      </c>
      <c r="J77" s="1">
        <f>Table3[[#This Row],[R Scale]]*Data!B$192+Table3[[#This Row],[HR Scale]]*Data!C$192+Table3[[#This Row],[RBI Scale]]*Data!D$192+Table3[[#This Row],[SB Scale]]*Data!E$192+Table3[[#This Row],[OB Scale]]*Data!F$192</f>
        <v>2.1434627018301757</v>
      </c>
      <c r="K7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0.62461533553872484</v>
      </c>
      <c r="L7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0.58276786164218342</v>
      </c>
      <c r="M77" s="1">
        <f ca="1">Table3[[#This Row],[Tot Scale]]*M$185+M$186</f>
        <v>7.6830173986036527</v>
      </c>
      <c r="N77" s="1">
        <f ca="1">Table3[[#This Row],[OB Tot Scale]]*N$185+N$186</f>
        <v>4.6016085988307935</v>
      </c>
      <c r="O77" s="1">
        <f ca="1">Table3[[#This Row],[Weighted Scale]]*O$185+O$186</f>
        <v>8.7680183175847901</v>
      </c>
      <c r="P77" s="1">
        <f ca="1">Table3[[#This Row],[OB Weighted Scale]]*P$185+P$186</f>
        <v>5.2873552916489359</v>
      </c>
      <c r="Q77" s="1">
        <f ca="1">Table3[[#This Row],[Z-score]]*Q$185+Q$186</f>
        <v>5.9957512557264208</v>
      </c>
      <c r="R77" s="1">
        <f ca="1">Table3[[#This Row],[OBMod Z-Score]]*R$185+R$186</f>
        <v>5.8947430692010325</v>
      </c>
      <c r="S77" s="1">
        <f ca="1">AVERAGE(Table3[[#This Row],[Tot Value]:[OB Z Value]])</f>
        <v>6.3717489885992711</v>
      </c>
      <c r="T77" s="1">
        <f>IF(Table1[[#This Row],[Included?]], (Table1[[#This Row],[I R]]-Data!S$188)/(Data!S$187-Data!S$188), "")</f>
        <v>0.21903052064631967</v>
      </c>
      <c r="U77" s="1">
        <f>IF(Table1[[#This Row],[Included?]], (Table1[[#This Row],[I HR]]-Data!T$188)/(Data!T$187-Data!T$188), "")</f>
        <v>0.54526889040163373</v>
      </c>
      <c r="V77" s="1">
        <f>IF(Table1[[#This Row],[Included?]], (Table1[[#This Row],[I RBI]]-Data!U$188)/(Data!U$187-Data!U$188), "")</f>
        <v>0.3575036075036076</v>
      </c>
      <c r="W77" s="1">
        <f>IF(Table1[[#This Row],[Included?]], (Table1[[#This Row],[I SB]]-Data!V$188)/(Data!V$187-Data!V$188), "")</f>
        <v>2.9485570890840647E-2</v>
      </c>
      <c r="X77" s="1">
        <f>IF(Table1[[#This Row],[Included?]], (Table1[[#This Row],[I OBP]]-Data!W$188)/(Data!W$187-Data!W$188), "")</f>
        <v>0.47238653179759887</v>
      </c>
      <c r="Y77" s="1">
        <f>IF(Table1[[#This Row],[Included?]], (Table1[[#This Row],[I OB]]-Data!AA$188)/(Data!AA$187-Data!AA$188), "")</f>
        <v>0.27818138012599275</v>
      </c>
      <c r="Z77" s="1">
        <f>IF(Table1[[#This Row],[Included?]], SUM(Table35[[#This Row],[I R Scale]:[I OBP Scale]]), "")</f>
        <v>1.6236751212400005</v>
      </c>
      <c r="AA77" s="1">
        <f>IF(Table1[[#This Row],[Included?]], SUM(Table35[[#This Row],[I R Scale]:[I SB Scale]],Table35[[#This Row],[I OB Scale]]), "")</f>
        <v>1.4294699695683943</v>
      </c>
      <c r="AB7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1.7677500970356097</v>
      </c>
      <c r="AC7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1.5347039150296826</v>
      </c>
      <c r="AD7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-1.7454187234497878</v>
      </c>
      <c r="AE7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-1.7510201867754864</v>
      </c>
      <c r="AF77" s="1">
        <f ca="1">IF(Table1[[#This Row],[Included?]], Table35[[#This Row],[I Tot Scale]]*AF$185+AF$186, "")</f>
        <v>12.774430604575191</v>
      </c>
      <c r="AG77" s="1">
        <f ca="1">IF(Table1[[#This Row],[Included?]], Table35[[#This Row],[I OB Tot Scale]]*AG$185+AG$186, "")</f>
        <v>13.294491841469389</v>
      </c>
      <c r="AH77" s="1">
        <f ca="1">IF(Table1[[#This Row],[Included?]], Table35[[#This Row],[I Weighted Scale]]*AH$185+AH$186, "")</f>
        <v>13.482375039237922</v>
      </c>
      <c r="AI77" s="1">
        <f ca="1">IF(Table1[[#This Row],[Included?]], Table35[[#This Row],[I OB Weighted Scale]]*AI$185+AI$186, "")</f>
        <v>13.663148128073004</v>
      </c>
      <c r="AJ77" s="1">
        <f ca="1">IF(Table1[[#This Row],[Included?]], Table35[[#This Row],[I Z-score]]*AJ$185+AJ$186, "")</f>
        <v>12.075976232525024</v>
      </c>
      <c r="AK77" s="1">
        <f ca="1">IF(Table1[[#This Row],[Included?]], Table35[[#This Row],[I OBMod Z-Score]]*AK$185+AK$186, "")</f>
        <v>12.064498508189462</v>
      </c>
      <c r="AL77" s="1">
        <f ca="1">IF(Table1[[#This Row],[Included?]], AVERAGE(Table35[[#This Row],[I Tot Value]:[I OB Z Value]]), "")</f>
        <v>12.892486725678332</v>
      </c>
    </row>
    <row r="78" spans="1:38" hidden="1" x14ac:dyDescent="0.25">
      <c r="A78" s="1">
        <f>(Table1[[#This Row],[R]]-Data!H$188)/(Data!H$187-Data!H$188)</f>
        <v>0.44034090909090912</v>
      </c>
      <c r="B78" s="1">
        <f>(Table1[[#This Row],[HR]]-Data!I$188)/(Data!I$187-Data!I$188)</f>
        <v>0.3750850918992511</v>
      </c>
      <c r="C78" s="1">
        <f>(Table1[[#This Row],[RBI]]-Data!J$188)/(Data!J$187-Data!J$188)</f>
        <v>0.47520779593006596</v>
      </c>
      <c r="D78" s="1">
        <f>(Table1[[#This Row],[SB]]-Data!K$188)/(Data!K$187-Data!K$188)</f>
        <v>1.7565872020075278E-2</v>
      </c>
      <c r="E78" s="1">
        <f>(Table1[[#This Row],[OBP]]-Data!L$188)/(Data!L$187-Data!L$188)</f>
        <v>0.48749616840666171</v>
      </c>
      <c r="F78" s="1">
        <f>(Table1[[#This Row],[OB]]-Data!P$188)/(Data!P$187-Data!P$188)</f>
        <v>0.56880659608175466</v>
      </c>
      <c r="G78" s="1">
        <f>SUM(Table3[[#This Row],[R Scale]:[OBP Scale]])</f>
        <v>1.7956958373469631</v>
      </c>
      <c r="H78" s="1">
        <f>SUM(Table3[[#This Row],[R Scale]:[SB Scale]],Table3[[#This Row],[OB Scale]])</f>
        <v>1.877006265022056</v>
      </c>
      <c r="I78" s="1">
        <f>Table3[[#This Row],[R Scale]]*Data!B$192+Table3[[#This Row],[HR Scale]]*Data!C$192+Table3[[#This Row],[RBI Scale]]*Data!D$192+Table3[[#This Row],[SB Scale]]*Data!E$192+Table3[[#This Row],[OBP Scale]]*Data!F$192</f>
        <v>1.9442025393052176</v>
      </c>
      <c r="J78" s="1">
        <f>Table3[[#This Row],[R Scale]]*Data!B$192+Table3[[#This Row],[HR Scale]]*Data!C$192+Table3[[#This Row],[RBI Scale]]*Data!D$192+Table3[[#This Row],[SB Scale]]*Data!E$192+Table3[[#This Row],[OB Scale]]*Data!F$192</f>
        <v>2.0417750525153293</v>
      </c>
      <c r="K7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-0.40757415304125644</v>
      </c>
      <c r="L7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-0.42595151728405184</v>
      </c>
      <c r="M78" s="1">
        <f ca="1">Table3[[#This Row],[Tot Scale]]*M$185+M$186</f>
        <v>-0.142282139933954</v>
      </c>
      <c r="N78" s="1">
        <f ca="1">Table3[[#This Row],[OB Tot Scale]]*N$185+N$186</f>
        <v>0.93545895189151906</v>
      </c>
      <c r="O78" s="1">
        <f ca="1">Table3[[#This Row],[Weighted Scale]]*O$185+O$186</f>
        <v>0.67460963626055559</v>
      </c>
      <c r="P78" s="1">
        <f ca="1">Table3[[#This Row],[OB Weighted Scale]]*P$185+P$186</f>
        <v>1.8156751787227279</v>
      </c>
      <c r="Q78" s="1">
        <f ca="1">Table3[[#This Row],[Z-score]]*Q$185+Q$186</f>
        <v>-1.5885314129508279</v>
      </c>
      <c r="R78" s="1">
        <f ca="1">Table3[[#This Row],[OBMod Z-Score]]*R$185+R$186</f>
        <v>-1.4492496972680606</v>
      </c>
      <c r="S78" s="1">
        <f ca="1">AVERAGE(Table3[[#This Row],[Tot Value]:[OB Z Value]])</f>
        <v>4.0946752786993335E-2</v>
      </c>
      <c r="T78" s="1">
        <f>IF(Table1[[#This Row],[Included?]], (Table1[[#This Row],[I R]]-Data!S$188)/(Data!S$187-Data!S$188), "")</f>
        <v>0.29263913824057447</v>
      </c>
      <c r="U78" s="1">
        <f>IF(Table1[[#This Row],[Included?]], (Table1[[#This Row],[I HR]]-Data!T$188)/(Data!T$187-Data!T$188), "")</f>
        <v>0.3750850918992511</v>
      </c>
      <c r="V78" s="1">
        <f>IF(Table1[[#This Row],[Included?]], (Table1[[#This Row],[I RBI]]-Data!U$188)/(Data!U$187-Data!U$188), "")</f>
        <v>0.33946608946608964</v>
      </c>
      <c r="W78" s="1">
        <f>IF(Table1[[#This Row],[Included?]], (Table1[[#This Row],[I SB]]-Data!V$188)/(Data!V$187-Data!V$188), "")</f>
        <v>1.7565872020075278E-2</v>
      </c>
      <c r="X78" s="1">
        <f>IF(Table1[[#This Row],[Included?]], (Table1[[#This Row],[I OBP]]-Data!W$188)/(Data!W$187-Data!W$188), "")</f>
        <v>0.38378542394406484</v>
      </c>
      <c r="Y78" s="1">
        <f>IF(Table1[[#This Row],[Included?]], (Table1[[#This Row],[I OB]]-Data!AA$188)/(Data!AA$187-Data!AA$188), "")</f>
        <v>0.33616751616329815</v>
      </c>
      <c r="Z78" s="1">
        <f>IF(Table1[[#This Row],[Included?]], SUM(Table35[[#This Row],[I R Scale]:[I OBP Scale]]), "")</f>
        <v>1.4085416155700554</v>
      </c>
      <c r="AA78" s="1">
        <f>IF(Table1[[#This Row],[Included?]], SUM(Table35[[#This Row],[I R Scale]:[I SB Scale]],Table35[[#This Row],[I OB Scale]]), "")</f>
        <v>1.3609237077892888</v>
      </c>
      <c r="AB7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1.5239280044280288</v>
      </c>
      <c r="AC7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1.4667865150911088</v>
      </c>
      <c r="AD7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-2.7751150090477306</v>
      </c>
      <c r="AE7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-2.768969759669885</v>
      </c>
      <c r="AF78" s="1">
        <f ca="1">IF(Table1[[#This Row],[Included?]], Table35[[#This Row],[I Tot Scale]]*AF$185+AF$186, "")</f>
        <v>8.2181773004305185</v>
      </c>
      <c r="AG78" s="1">
        <f ca="1">IF(Table1[[#This Row],[Included?]], Table35[[#This Row],[I OB Tot Scale]]*AG$185+AG$186, "")</f>
        <v>12.216598795337189</v>
      </c>
      <c r="AH78" s="1">
        <f ca="1">IF(Table1[[#This Row],[Included?]], Table35[[#This Row],[I Weighted Scale]]*AH$185+AH$186, "")</f>
        <v>8.672526026766878</v>
      </c>
      <c r="AI78" s="1">
        <f ca="1">IF(Table1[[#This Row],[Included?]], Table35[[#This Row],[I OB Weighted Scale]]*AI$185+AI$186, "")</f>
        <v>12.668491123009215</v>
      </c>
      <c r="AJ78" s="1">
        <f ca="1">IF(Table1[[#This Row],[Included?]], Table35[[#This Row],[I Z-score]]*AJ$185+AJ$186, "")</f>
        <v>7.4012596555010415</v>
      </c>
      <c r="AK78" s="1">
        <f ca="1">IF(Table1[[#This Row],[Included?]], Table35[[#This Row],[I OBMod Z-Score]]*AK$185+AK$186, "")</f>
        <v>7.4512219650062637</v>
      </c>
      <c r="AL78" s="1">
        <f ca="1">IF(Table1[[#This Row],[Included?]], AVERAGE(Table35[[#This Row],[I Tot Value]:[I OB Z Value]]), "")</f>
        <v>9.4380458110085179</v>
      </c>
    </row>
    <row r="79" spans="1:38" hidden="1" x14ac:dyDescent="0.25">
      <c r="A79" s="1">
        <f>(Table1[[#This Row],[R]]-Data!H$188)/(Data!H$187-Data!H$188)</f>
        <v>0.43835227272727284</v>
      </c>
      <c r="B79" s="1">
        <f>(Table1[[#This Row],[HR]]-Data!I$188)/(Data!I$187-Data!I$188)</f>
        <v>0.16814159292035397</v>
      </c>
      <c r="C79" s="1">
        <f>(Table1[[#This Row],[RBI]]-Data!J$188)/(Data!J$187-Data!J$188)</f>
        <v>0.28518200057323018</v>
      </c>
      <c r="D79" s="1">
        <f>(Table1[[#This Row],[SB]]-Data!K$188)/(Data!K$187-Data!K$188)</f>
        <v>0.52478042659974899</v>
      </c>
      <c r="E79" s="1">
        <f>(Table1[[#This Row],[OBP]]-Data!L$188)/(Data!L$187-Data!L$188)</f>
        <v>0.61211162262858865</v>
      </c>
      <c r="F79" s="1">
        <f>(Table1[[#This Row],[OB]]-Data!P$188)/(Data!P$187-Data!P$188)</f>
        <v>0.47614965002785986</v>
      </c>
      <c r="G79" s="1">
        <f>SUM(Table3[[#This Row],[R Scale]:[OBP Scale]])</f>
        <v>2.0285679154491949</v>
      </c>
      <c r="H79" s="1">
        <f>SUM(Table3[[#This Row],[R Scale]:[SB Scale]],Table3[[#This Row],[OB Scale]])</f>
        <v>1.8926059428484661</v>
      </c>
      <c r="I79" s="1">
        <f>Table3[[#This Row],[R Scale]]*Data!B$192+Table3[[#This Row],[HR Scale]]*Data!C$192+Table3[[#This Row],[RBI Scale]]*Data!D$192+Table3[[#This Row],[SB Scale]]*Data!E$192+Table3[[#This Row],[OBP Scale]]*Data!F$192</f>
        <v>2.1641914128168311</v>
      </c>
      <c r="J79" s="1">
        <f>Table3[[#This Row],[R Scale]]*Data!B$192+Table3[[#This Row],[HR Scale]]*Data!C$192+Table3[[#This Row],[RBI Scale]]*Data!D$192+Table3[[#This Row],[SB Scale]]*Data!E$192+Table3[[#This Row],[OB Scale]]*Data!F$192</f>
        <v>2.0010370456959565</v>
      </c>
      <c r="K7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1.9708336658898178</v>
      </c>
      <c r="L7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1.8545969589692937</v>
      </c>
      <c r="M79" s="1">
        <f ca="1">Table3[[#This Row],[Tot Scale]]*M$185+M$186</f>
        <v>8.4581128216483421</v>
      </c>
      <c r="N79" s="1">
        <f ca="1">Table3[[#This Row],[OB Tot Scale]]*N$185+N$186</f>
        <v>1.5043477817359019</v>
      </c>
      <c r="O79" s="1">
        <f ca="1">Table3[[#This Row],[Weighted Scale]]*O$185+O$186</f>
        <v>8.2409644597041307</v>
      </c>
      <c r="P79" s="1">
        <f ca="1">Table3[[#This Row],[OB Weighted Scale]]*P$185+P$186</f>
        <v>0.4248540803101406</v>
      </c>
      <c r="Q79" s="1">
        <f ca="1">Table3[[#This Row],[Z-score]]*Q$185+Q$186</f>
        <v>15.887443105043552</v>
      </c>
      <c r="R79" s="1">
        <f ca="1">Table3[[#This Row],[OBMod Z-Score]]*R$185+R$186</f>
        <v>15.15430909528235</v>
      </c>
      <c r="S79" s="1">
        <f ca="1">AVERAGE(Table3[[#This Row],[Tot Value]:[OB Z Value]])</f>
        <v>8.2783385572874035</v>
      </c>
      <c r="T79" s="1">
        <f>IF(Table1[[#This Row],[Included?]], (Table1[[#This Row],[I R]]-Data!S$188)/(Data!S$187-Data!S$188), "")</f>
        <v>0.29012567324955124</v>
      </c>
      <c r="U79" s="1">
        <f>IF(Table1[[#This Row],[Included?]], (Table1[[#This Row],[I HR]]-Data!T$188)/(Data!T$187-Data!T$188), "")</f>
        <v>0.16814159292035397</v>
      </c>
      <c r="V79" s="1">
        <f>IF(Table1[[#This Row],[Included?]], (Table1[[#This Row],[I RBI]]-Data!U$188)/(Data!U$187-Data!U$188), "")</f>
        <v>0.10028860028860037</v>
      </c>
      <c r="W79" s="1">
        <f>IF(Table1[[#This Row],[Included?]], (Table1[[#This Row],[I SB]]-Data!V$188)/(Data!V$187-Data!V$188), "")</f>
        <v>0.52478042659974899</v>
      </c>
      <c r="X79" s="1">
        <f>IF(Table1[[#This Row],[Included?]], (Table1[[#This Row],[I OBP]]-Data!W$188)/(Data!W$187-Data!W$188), "")</f>
        <v>0.53361817554447377</v>
      </c>
      <c r="Y79" s="1">
        <f>IF(Table1[[#This Row],[Included?]], (Table1[[#This Row],[I OB]]-Data!AA$188)/(Data!AA$187-Data!AA$188), "")</f>
        <v>0.19351994761342683</v>
      </c>
      <c r="Z79" s="1">
        <f>IF(Table1[[#This Row],[Included?]], SUM(Table35[[#This Row],[I R Scale]:[I OBP Scale]]), "")</f>
        <v>1.6169544686027284</v>
      </c>
      <c r="AA79" s="1">
        <f>IF(Table1[[#This Row],[Included?]], SUM(Table35[[#This Row],[I R Scale]:[I SB Scale]],Table35[[#This Row],[I OB Scale]]), "")</f>
        <v>1.2768562406716815</v>
      </c>
      <c r="AB7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1.7147232564443879</v>
      </c>
      <c r="AC7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1.3066053829271316</v>
      </c>
      <c r="AD7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-0.96619458092574684</v>
      </c>
      <c r="AE7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-1.0273551494648534</v>
      </c>
      <c r="AF79" s="1">
        <f ca="1">IF(Table1[[#This Row],[Included?]], Table35[[#This Row],[I Tot Scale]]*AF$185+AF$186, "")</f>
        <v>12.6320957521345</v>
      </c>
      <c r="AG79" s="1">
        <f ca="1">IF(Table1[[#This Row],[Included?]], Table35[[#This Row],[I OB Tot Scale]]*AG$185+AG$186, "")</f>
        <v>10.89463409791823</v>
      </c>
      <c r="AH79" s="1">
        <f ca="1">IF(Table1[[#This Row],[Included?]], Table35[[#This Row],[I Weighted Scale]]*AH$185+AH$186, "")</f>
        <v>12.436320950683125</v>
      </c>
      <c r="AI79" s="1">
        <f ca="1">IF(Table1[[#This Row],[Included?]], Table35[[#This Row],[I OB Weighted Scale]]*AI$185+AI$186, "")</f>
        <v>10.32262268090091</v>
      </c>
      <c r="AJ79" s="1">
        <f ca="1">IF(Table1[[#This Row],[Included?]], Table35[[#This Row],[I Z-score]]*AJ$185+AJ$186, "")</f>
        <v>15.6135747139638</v>
      </c>
      <c r="AK79" s="1">
        <f ca="1">IF(Table1[[#This Row],[Included?]], Table35[[#This Row],[I OBMod Z-Score]]*AK$185+AK$186, "")</f>
        <v>15.34409803909203</v>
      </c>
      <c r="AL79" s="1">
        <f ca="1">IF(Table1[[#This Row],[Included?]], AVERAGE(Table35[[#This Row],[I Tot Value]:[I OB Z Value]]), "")</f>
        <v>12.873891039115433</v>
      </c>
    </row>
    <row r="80" spans="1:38" hidden="1" x14ac:dyDescent="0.25">
      <c r="A80" s="1">
        <f>(Table1[[#This Row],[R]]-Data!H$188)/(Data!H$187-Data!H$188)</f>
        <v>0.48835227272727288</v>
      </c>
      <c r="B80" s="1">
        <f>(Table1[[#This Row],[HR]]-Data!I$188)/(Data!I$187-Data!I$188)</f>
        <v>0.51667801225323351</v>
      </c>
      <c r="C80" s="1">
        <f>(Table1[[#This Row],[RBI]]-Data!J$188)/(Data!J$187-Data!J$188)</f>
        <v>0.52421897391802796</v>
      </c>
      <c r="D80" s="1">
        <f>(Table1[[#This Row],[SB]]-Data!K$188)/(Data!K$187-Data!K$188)</f>
        <v>0.17346298619824341</v>
      </c>
      <c r="E80" s="1">
        <f>(Table1[[#This Row],[OBP]]-Data!L$188)/(Data!L$187-Data!L$188)</f>
        <v>0.46418608000012174</v>
      </c>
      <c r="F80" s="1">
        <f>(Table1[[#This Row],[OB]]-Data!P$188)/(Data!P$187-Data!P$188)</f>
        <v>0.37894827894795619</v>
      </c>
      <c r="G80" s="1">
        <f>SUM(Table3[[#This Row],[R Scale]:[OBP Scale]])</f>
        <v>2.1668983250968994</v>
      </c>
      <c r="H80" s="1">
        <f>SUM(Table3[[#This Row],[R Scale]:[SB Scale]],Table3[[#This Row],[OB Scale]])</f>
        <v>2.0816605240447337</v>
      </c>
      <c r="I80" s="1">
        <f>Table3[[#This Row],[R Scale]]*Data!B$192+Table3[[#This Row],[HR Scale]]*Data!C$192+Table3[[#This Row],[RBI Scale]]*Data!D$192+Table3[[#This Row],[SB Scale]]*Data!E$192+Table3[[#This Row],[OBP Scale]]*Data!F$192</f>
        <v>2.3157441086078023</v>
      </c>
      <c r="J80" s="1">
        <f>Table3[[#This Row],[R Scale]]*Data!B$192+Table3[[#This Row],[HR Scale]]*Data!C$192+Table3[[#This Row],[RBI Scale]]*Data!D$192+Table3[[#This Row],[SB Scale]]*Data!E$192+Table3[[#This Row],[OB Scale]]*Data!F$192</f>
        <v>2.2134587473452036</v>
      </c>
      <c r="K8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1.6773093474366849</v>
      </c>
      <c r="L8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1.6276418016420582</v>
      </c>
      <c r="M80" s="1">
        <f ca="1">Table3[[#This Row],[Tot Scale]]*M$185+M$186</f>
        <v>13.566909753693793</v>
      </c>
      <c r="N80" s="1">
        <f ca="1">Table3[[#This Row],[OB Tot Scale]]*N$185+N$186</f>
        <v>8.398787568907693</v>
      </c>
      <c r="O80" s="1">
        <f ca="1">Table3[[#This Row],[Weighted Scale]]*O$185+O$186</f>
        <v>13.453507496538009</v>
      </c>
      <c r="P80" s="1">
        <f ca="1">Table3[[#This Row],[OB Weighted Scale]]*P$185+P$186</f>
        <v>7.6770641779819186</v>
      </c>
      <c r="Q80" s="1">
        <f ca="1">Table3[[#This Row],[Z-score]]*Q$185+Q$186</f>
        <v>13.730696281025782</v>
      </c>
      <c r="R80" s="1">
        <f ca="1">Table3[[#This Row],[OBMod Z-Score]]*R$185+R$186</f>
        <v>13.501959523592443</v>
      </c>
      <c r="S80" s="1">
        <f ca="1">AVERAGE(Table3[[#This Row],[Tot Value]:[OB Z Value]])</f>
        <v>11.721487466956608</v>
      </c>
      <c r="T80" s="1">
        <f>IF(Table1[[#This Row],[Included?]], (Table1[[#This Row],[I R]]-Data!S$188)/(Data!S$187-Data!S$188), "")</f>
        <v>0.35332136445242385</v>
      </c>
      <c r="U80" s="1">
        <f>IF(Table1[[#This Row],[Included?]], (Table1[[#This Row],[I HR]]-Data!T$188)/(Data!T$187-Data!T$188), "")</f>
        <v>0.51667801225323351</v>
      </c>
      <c r="V80" s="1">
        <f>IF(Table1[[#This Row],[Included?]], (Table1[[#This Row],[I RBI]]-Data!U$188)/(Data!U$187-Data!U$188), "")</f>
        <v>0.4011544011544011</v>
      </c>
      <c r="W80" s="1">
        <f>IF(Table1[[#This Row],[Included?]], (Table1[[#This Row],[I SB]]-Data!V$188)/(Data!V$187-Data!V$188), "")</f>
        <v>0.17346298619824341</v>
      </c>
      <c r="X80" s="1">
        <f>IF(Table1[[#This Row],[Included?]], (Table1[[#This Row],[I OBP]]-Data!W$188)/(Data!W$187-Data!W$188), "")</f>
        <v>0.3557582847115528</v>
      </c>
      <c r="Y80" s="1">
        <f>IF(Table1[[#This Row],[Included?]], (Table1[[#This Row],[I OB]]-Data!AA$188)/(Data!AA$187-Data!AA$188), "")</f>
        <v>4.3876128830569287E-2</v>
      </c>
      <c r="Z80" s="1">
        <f>IF(Table1[[#This Row],[Included?]], SUM(Table35[[#This Row],[I R Scale]:[I OBP Scale]]), "")</f>
        <v>1.8003750487698547</v>
      </c>
      <c r="AA80" s="1">
        <f>IF(Table1[[#This Row],[Included?]], SUM(Table35[[#This Row],[I R Scale]:[I SB Scale]],Table35[[#This Row],[I OB Scale]]), "")</f>
        <v>1.4884928928888712</v>
      </c>
      <c r="AB8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1.916425449497803</v>
      </c>
      <c r="AC8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1.5421668624406228</v>
      </c>
      <c r="AD8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-0.85866076771457378</v>
      </c>
      <c r="AE8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-0.7509114090619069</v>
      </c>
      <c r="AF80" s="1">
        <f ca="1">IF(Table1[[#This Row],[Included?]], Table35[[#This Row],[I Tot Scale]]*AF$185+AF$186, "")</f>
        <v>16.51670973558689</v>
      </c>
      <c r="AG80" s="1">
        <f ca="1">IF(Table1[[#This Row],[Included?]], Table35[[#This Row],[I OB Tot Scale]]*AG$185+AG$186, "")</f>
        <v>14.222629962473805</v>
      </c>
      <c r="AH80" s="1">
        <f ca="1">IF(Table1[[#This Row],[Included?]], Table35[[#This Row],[I Weighted Scale]]*AH$185+AH$186, "")</f>
        <v>16.415275784905752</v>
      </c>
      <c r="AI80" s="1">
        <f ca="1">IF(Table1[[#This Row],[Included?]], Table35[[#This Row],[I OB Weighted Scale]]*AI$185+AI$186, "")</f>
        <v>13.772443727248294</v>
      </c>
      <c r="AJ80" s="1">
        <f ca="1">IF(Table1[[#This Row],[Included?]], Table35[[#This Row],[I Z-score]]*AJ$185+AJ$186, "")</f>
        <v>16.101767306517399</v>
      </c>
      <c r="AK80" s="1">
        <f ca="1">IF(Table1[[#This Row],[Included?]], Table35[[#This Row],[I OBMod Z-Score]]*AK$185+AK$186, "")</f>
        <v>16.596921810592388</v>
      </c>
      <c r="AL80" s="1">
        <f ca="1">IF(Table1[[#This Row],[Included?]], AVERAGE(Table35[[#This Row],[I Tot Value]:[I OB Z Value]]), "")</f>
        <v>15.604291387887422</v>
      </c>
    </row>
    <row r="81" spans="1:38" hidden="1" x14ac:dyDescent="0.25">
      <c r="A81" s="1">
        <f>(Table1[[#This Row],[R]]-Data!H$188)/(Data!H$187-Data!H$188)</f>
        <v>0.32215909090909089</v>
      </c>
      <c r="B81" s="1">
        <f>(Table1[[#This Row],[HR]]-Data!I$188)/(Data!I$187-Data!I$188)</f>
        <v>0.34104833219877456</v>
      </c>
      <c r="C81" s="1">
        <f>(Table1[[#This Row],[RBI]]-Data!J$188)/(Data!J$187-Data!J$188)</f>
        <v>0.45600458584121512</v>
      </c>
      <c r="D81" s="1">
        <f>(Table1[[#This Row],[SB]]-Data!K$188)/(Data!K$187-Data!K$188)</f>
        <v>0.16656210790464238</v>
      </c>
      <c r="E81" s="1">
        <f>(Table1[[#This Row],[OBP]]-Data!L$188)/(Data!L$187-Data!L$188)</f>
        <v>0.55655456090297928</v>
      </c>
      <c r="F81" s="1">
        <f>(Table1[[#This Row],[OB]]-Data!P$188)/(Data!P$187-Data!P$188)</f>
        <v>0.57539423752718521</v>
      </c>
      <c r="G81" s="1">
        <f>SUM(Table3[[#This Row],[R Scale]:[OBP Scale]])</f>
        <v>1.8423286777567025</v>
      </c>
      <c r="H81" s="1">
        <f>SUM(Table3[[#This Row],[R Scale]:[SB Scale]],Table3[[#This Row],[OB Scale]])</f>
        <v>1.8611683543809083</v>
      </c>
      <c r="I81" s="1">
        <f>Table3[[#This Row],[R Scale]]*Data!B$192+Table3[[#This Row],[HR Scale]]*Data!C$192+Table3[[#This Row],[RBI Scale]]*Data!D$192+Table3[[#This Row],[SB Scale]]*Data!E$192+Table3[[#This Row],[OBP Scale]]*Data!F$192</f>
        <v>2.0126245980146322</v>
      </c>
      <c r="J81" s="1">
        <f>Table3[[#This Row],[R Scale]]*Data!B$192+Table3[[#This Row],[HR Scale]]*Data!C$192+Table3[[#This Row],[RBI Scale]]*Data!D$192+Table3[[#This Row],[SB Scale]]*Data!E$192+Table3[[#This Row],[OB Scale]]*Data!F$192</f>
        <v>2.035232209963679</v>
      </c>
      <c r="K8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0.16871282580457792</v>
      </c>
      <c r="L8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0.15640391144527355</v>
      </c>
      <c r="M81" s="1">
        <f ca="1">Table3[[#This Row],[Tot Scale]]*M$185+M$186</f>
        <v>1.5799545875114234</v>
      </c>
      <c r="N81" s="1">
        <f ca="1">Table3[[#This Row],[OB Tot Scale]]*N$185+N$186</f>
        <v>0.3578822511363029</v>
      </c>
      <c r="O81" s="1">
        <f ca="1">Table3[[#This Row],[Weighted Scale]]*O$185+O$186</f>
        <v>3.0279358099071914</v>
      </c>
      <c r="P81" s="1">
        <f ca="1">Table3[[#This Row],[OB Weighted Scale]]*P$185+P$186</f>
        <v>1.592298431186336</v>
      </c>
      <c r="Q81" s="1">
        <f ca="1">Table3[[#This Row],[Z-score]]*Q$185+Q$186</f>
        <v>2.6458881332681408</v>
      </c>
      <c r="R81" s="1">
        <f ca="1">Table3[[#This Row],[OBMod Z-Score]]*R$185+R$186</f>
        <v>2.7905955416077601</v>
      </c>
      <c r="S81" s="1">
        <f ca="1">AVERAGE(Table3[[#This Row],[Tot Value]:[OB Z Value]])</f>
        <v>1.9990924591028592</v>
      </c>
      <c r="T81" s="1">
        <f>IF(Table1[[#This Row],[Included?]], (Table1[[#This Row],[I R]]-Data!S$188)/(Data!S$187-Data!S$188), "")</f>
        <v>0.14326750448833031</v>
      </c>
      <c r="U81" s="1">
        <f>IF(Table1[[#This Row],[Included?]], (Table1[[#This Row],[I HR]]-Data!T$188)/(Data!T$187-Data!T$188), "")</f>
        <v>0.34104833219877456</v>
      </c>
      <c r="V81" s="1">
        <f>IF(Table1[[#This Row],[Included?]], (Table1[[#This Row],[I RBI]]-Data!U$188)/(Data!U$187-Data!U$188), "")</f>
        <v>0.31529581529581524</v>
      </c>
      <c r="W81" s="1">
        <f>IF(Table1[[#This Row],[Included?]], (Table1[[#This Row],[I SB]]-Data!V$188)/(Data!V$187-Data!V$188), "")</f>
        <v>0.16656210790464238</v>
      </c>
      <c r="X81" s="1">
        <f>IF(Table1[[#This Row],[Included?]], (Table1[[#This Row],[I OBP]]-Data!W$188)/(Data!W$187-Data!W$188), "")</f>
        <v>0.46681853595597478</v>
      </c>
      <c r="Y81" s="1">
        <f>IF(Table1[[#This Row],[Included?]], (Table1[[#This Row],[I OB]]-Data!AA$188)/(Data!AA$187-Data!AA$188), "")</f>
        <v>0.3463093465892918</v>
      </c>
      <c r="Z81" s="1">
        <f>IF(Table1[[#This Row],[Included?]], SUM(Table35[[#This Row],[I R Scale]:[I OBP Scale]]), "")</f>
        <v>1.4329922958435373</v>
      </c>
      <c r="AA81" s="1">
        <f>IF(Table1[[#This Row],[Included?]], SUM(Table35[[#This Row],[I R Scale]:[I SB Scale]],Table35[[#This Row],[I OB Scale]]), "")</f>
        <v>1.3124831064768543</v>
      </c>
      <c r="AB8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1.5750884156450622</v>
      </c>
      <c r="AC8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1.4304773884050426</v>
      </c>
      <c r="AD8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-2.4557602866270303</v>
      </c>
      <c r="AE8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-2.4569811169283389</v>
      </c>
      <c r="AF81" s="1">
        <f ca="1">IF(Table1[[#This Row],[Included?]], Table35[[#This Row],[I Tot Scale]]*AF$185+AF$186, "")</f>
        <v>8.7360115282404358</v>
      </c>
      <c r="AG81" s="1">
        <f ca="1">IF(Table1[[#This Row],[Included?]], Table35[[#This Row],[I OB Tot Scale]]*AG$185+AG$186, "")</f>
        <v>11.454868163353241</v>
      </c>
      <c r="AH81" s="1">
        <f ca="1">IF(Table1[[#This Row],[Included?]], Table35[[#This Row],[I Weighted Scale]]*AH$185+AH$186, "")</f>
        <v>9.6817612881748936</v>
      </c>
      <c r="AI81" s="1">
        <f ca="1">IF(Table1[[#This Row],[Included?]], Table35[[#This Row],[I OB Weighted Scale]]*AI$185+AI$186, "")</f>
        <v>12.136740389931862</v>
      </c>
      <c r="AJ81" s="1">
        <f ca="1">IF(Table1[[#This Row],[Included?]], Table35[[#This Row],[I Z-score]]*AJ$185+AJ$186, "")</f>
        <v>8.851097666700646</v>
      </c>
      <c r="AK81" s="1">
        <f ca="1">IF(Table1[[#This Row],[Included?]], Table35[[#This Row],[I OBMod Z-Score]]*AK$185+AK$186, "")</f>
        <v>8.8651327574698993</v>
      </c>
      <c r="AL81" s="1">
        <f ca="1">IF(Table1[[#This Row],[Included?]], AVERAGE(Table35[[#This Row],[I Tot Value]:[I OB Z Value]]), "")</f>
        <v>9.9542686323118303</v>
      </c>
    </row>
    <row r="82" spans="1:38" hidden="1" x14ac:dyDescent="0.25">
      <c r="A82" s="1">
        <f>(Table1[[#This Row],[R]]-Data!H$188)/(Data!H$187-Data!H$188)</f>
        <v>0.48835227272727277</v>
      </c>
      <c r="B82" s="1">
        <f>(Table1[[#This Row],[HR]]-Data!I$188)/(Data!I$187-Data!I$188)</f>
        <v>0.23417290673927843</v>
      </c>
      <c r="C82" s="1">
        <f>(Table1[[#This Row],[RBI]]-Data!J$188)/(Data!J$187-Data!J$188)</f>
        <v>0.62510748065348232</v>
      </c>
      <c r="D82" s="1">
        <f>(Table1[[#This Row],[SB]]-Data!K$188)/(Data!K$187-Data!K$188)</f>
        <v>8.155583437892093E-2</v>
      </c>
      <c r="E82" s="1">
        <f>(Table1[[#This Row],[OBP]]-Data!L$188)/(Data!L$187-Data!L$188)</f>
        <v>0.29975766045996272</v>
      </c>
      <c r="F82" s="1">
        <f>(Table1[[#This Row],[OB]]-Data!P$188)/(Data!P$187-Data!P$188)</f>
        <v>0.50112517610859209</v>
      </c>
      <c r="G82" s="1">
        <f>SUM(Table3[[#This Row],[R Scale]:[OBP Scale]])</f>
        <v>1.7289461549589173</v>
      </c>
      <c r="H82" s="1">
        <f>SUM(Table3[[#This Row],[R Scale]:[SB Scale]],Table3[[#This Row],[OB Scale]])</f>
        <v>1.9303136706075468</v>
      </c>
      <c r="I82" s="1">
        <f>Table3[[#This Row],[R Scale]]*Data!B$192+Table3[[#This Row],[HR Scale]]*Data!C$192+Table3[[#This Row],[RBI Scale]]*Data!D$192+Table3[[#This Row],[SB Scale]]*Data!E$192+Table3[[#This Row],[OBP Scale]]*Data!F$192</f>
        <v>1.865083955908879</v>
      </c>
      <c r="J82" s="1">
        <f>Table3[[#This Row],[R Scale]]*Data!B$192+Table3[[#This Row],[HR Scale]]*Data!C$192+Table3[[#This Row],[RBI Scale]]*Data!D$192+Table3[[#This Row],[SB Scale]]*Data!E$192+Table3[[#This Row],[OB Scale]]*Data!F$192</f>
        <v>2.1067249746872343</v>
      </c>
      <c r="K8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-0.66206652552847478</v>
      </c>
      <c r="L8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-0.75286278926254213</v>
      </c>
      <c r="M82" s="1">
        <f ca="1">Table3[[#This Row],[Tot Scale]]*M$185+M$186</f>
        <v>-2.6074709112788312</v>
      </c>
      <c r="N82" s="1">
        <f ca="1">Table3[[#This Row],[OB Tot Scale]]*N$185+N$186</f>
        <v>2.8794726631380314</v>
      </c>
      <c r="O82" s="1">
        <f ca="1">Table3[[#This Row],[Weighted Scale]]*O$185+O$186</f>
        <v>-2.0466156036755194</v>
      </c>
      <c r="P82" s="1">
        <f ca="1">Table3[[#This Row],[OB Weighted Scale]]*P$185+P$186</f>
        <v>4.0331062498467958</v>
      </c>
      <c r="Q82" s="1">
        <f ca="1">Table3[[#This Row],[Z-score]]*Q$185+Q$186</f>
        <v>-3.4584807888359936</v>
      </c>
      <c r="R82" s="1">
        <f ca="1">Table3[[#This Row],[OBMod Z-Score]]*R$185+R$186</f>
        <v>-3.8293308842111426</v>
      </c>
      <c r="S82" s="1">
        <f ca="1">AVERAGE(Table3[[#This Row],[Tot Value]:[OB Z Value]])</f>
        <v>-0.83821987916944318</v>
      </c>
      <c r="T82" s="1" t="str">
        <f>IF(Table1[[#This Row],[Included?]], (Table1[[#This Row],[I R]]-Data!S$188)/(Data!S$187-Data!S$188), "")</f>
        <v/>
      </c>
      <c r="U82" s="1" t="str">
        <f>IF(Table1[[#This Row],[Included?]], (Table1[[#This Row],[I HR]]-Data!T$188)/(Data!T$187-Data!T$188), "")</f>
        <v/>
      </c>
      <c r="V82" s="1" t="str">
        <f>IF(Table1[[#This Row],[Included?]], (Table1[[#This Row],[I RBI]]-Data!U$188)/(Data!U$187-Data!U$188), "")</f>
        <v/>
      </c>
      <c r="W82" s="1" t="str">
        <f>IF(Table1[[#This Row],[Included?]], (Table1[[#This Row],[I SB]]-Data!V$188)/(Data!V$187-Data!V$188), "")</f>
        <v/>
      </c>
      <c r="X82" s="1" t="str">
        <f>IF(Table1[[#This Row],[Included?]], (Table1[[#This Row],[I OBP]]-Data!W$188)/(Data!W$187-Data!W$188), "")</f>
        <v/>
      </c>
      <c r="Y82" s="1" t="str">
        <f>IF(Table1[[#This Row],[Included?]], (Table1[[#This Row],[I OB]]-Data!AA$188)/(Data!AA$187-Data!AA$188), "")</f>
        <v/>
      </c>
      <c r="Z82" s="1" t="str">
        <f>IF(Table1[[#This Row],[Included?]], SUM(Table35[[#This Row],[I R Scale]:[I OBP Scale]]), "")</f>
        <v/>
      </c>
      <c r="AA82" s="1" t="str">
        <f>IF(Table1[[#This Row],[Included?]], SUM(Table35[[#This Row],[I R Scale]:[I SB Scale]],Table35[[#This Row],[I OB Scale]]), "")</f>
        <v/>
      </c>
      <c r="AB8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2" s="1" t="str">
        <f>IF(Table1[[#This Row],[Included?]], Table35[[#This Row],[I Tot Scale]]*AF$185+AF$186, "")</f>
        <v/>
      </c>
      <c r="AG82" s="1" t="str">
        <f>IF(Table1[[#This Row],[Included?]], Table35[[#This Row],[I OB Tot Scale]]*AG$185+AG$186, "")</f>
        <v/>
      </c>
      <c r="AH82" s="1" t="str">
        <f>IF(Table1[[#This Row],[Included?]], Table35[[#This Row],[I Weighted Scale]]*AH$185+AH$186, "")</f>
        <v/>
      </c>
      <c r="AI82" s="1" t="str">
        <f>IF(Table1[[#This Row],[Included?]], Table35[[#This Row],[I OB Weighted Scale]]*AI$185+AI$186, "")</f>
        <v/>
      </c>
      <c r="AJ82" s="1" t="str">
        <f>IF(Table1[[#This Row],[Included?]], Table35[[#This Row],[I Z-score]]*AJ$185+AJ$186, "")</f>
        <v/>
      </c>
      <c r="AK82" s="1" t="str">
        <f>IF(Table1[[#This Row],[Included?]], Table35[[#This Row],[I OBMod Z-Score]]*AK$185+AK$186, "")</f>
        <v/>
      </c>
      <c r="AL82" s="1" t="str">
        <f>IF(Table1[[#This Row],[Included?]], AVERAGE(Table35[[#This Row],[I Tot Value]:[I OB Z Value]]), "")</f>
        <v/>
      </c>
    </row>
    <row r="83" spans="1:38" hidden="1" x14ac:dyDescent="0.25">
      <c r="A83" s="1">
        <f>(Table1[[#This Row],[R]]-Data!H$188)/(Data!H$187-Data!H$188)</f>
        <v>0.43210227272727286</v>
      </c>
      <c r="B83" s="1">
        <f>(Table1[[#This Row],[HR]]-Data!I$188)/(Data!I$187-Data!I$188)</f>
        <v>0.68754254594962561</v>
      </c>
      <c r="C83" s="1">
        <f>(Table1[[#This Row],[RBI]]-Data!J$188)/(Data!J$187-Data!J$188)</f>
        <v>0.48036686729721972</v>
      </c>
      <c r="D83" s="1">
        <f>(Table1[[#This Row],[SB]]-Data!K$188)/(Data!K$187-Data!K$188)</f>
        <v>1.631116687578419E-2</v>
      </c>
      <c r="E83" s="1">
        <f>(Table1[[#This Row],[OBP]]-Data!L$188)/(Data!L$187-Data!L$188)</f>
        <v>0.3064616999357519</v>
      </c>
      <c r="F83" s="1">
        <f>(Table1[[#This Row],[OB]]-Data!P$188)/(Data!P$187-Data!P$188)</f>
        <v>0.45449138870676631</v>
      </c>
      <c r="G83" s="1">
        <f>SUM(Table3[[#This Row],[R Scale]:[OBP Scale]])</f>
        <v>1.9227845527856542</v>
      </c>
      <c r="H83" s="1">
        <f>SUM(Table3[[#This Row],[R Scale]:[SB Scale]],Table3[[#This Row],[OB Scale]])</f>
        <v>2.0708142415566684</v>
      </c>
      <c r="I83" s="1">
        <f>Table3[[#This Row],[R Scale]]*Data!B$192+Table3[[#This Row],[HR Scale]]*Data!C$192+Table3[[#This Row],[RBI Scale]]*Data!D$192+Table3[[#This Row],[SB Scale]]*Data!E$192+Table3[[#This Row],[OBP Scale]]*Data!F$192</f>
        <v>2.0369400389595218</v>
      </c>
      <c r="J83" s="1">
        <f>Table3[[#This Row],[R Scale]]*Data!B$192+Table3[[#This Row],[HR Scale]]*Data!C$192+Table3[[#This Row],[RBI Scale]]*Data!D$192+Table3[[#This Row],[SB Scale]]*Data!E$192+Table3[[#This Row],[OB Scale]]*Data!F$192</f>
        <v>2.2145756654847388</v>
      </c>
      <c r="K8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-4.2489743857151097E-2</v>
      </c>
      <c r="L8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-8.9539743467538901E-2</v>
      </c>
      <c r="M83" s="1">
        <f ca="1">Table3[[#This Row],[Tot Scale]]*M$185+M$186</f>
        <v>4.5513383097150069</v>
      </c>
      <c r="N83" s="1">
        <f ca="1">Table3[[#This Row],[OB Tot Scale]]*N$185+N$186</f>
        <v>8.0032454928815611</v>
      </c>
      <c r="O83" s="1">
        <f ca="1">Table3[[#This Row],[Weighted Scale]]*O$185+O$186</f>
        <v>3.8642474421307611</v>
      </c>
      <c r="P83" s="1">
        <f ca="1">Table3[[#This Row],[OB Weighted Scale]]*P$185+P$186</f>
        <v>7.7151964636519779</v>
      </c>
      <c r="Q83" s="1">
        <f ca="1">Table3[[#This Row],[Z-score]]*Q$185+Q$186</f>
        <v>1.0940219242165163</v>
      </c>
      <c r="R83" s="1">
        <f ca="1">Table3[[#This Row],[OBMod Z-Score]]*R$185+R$186</f>
        <v>1</v>
      </c>
      <c r="S83" s="1">
        <f ca="1">AVERAGE(Table3[[#This Row],[Tot Value]:[OB Z Value]])</f>
        <v>4.3713416054326375</v>
      </c>
      <c r="T83" s="1" t="str">
        <f>IF(Table1[[#This Row],[Included?]], (Table1[[#This Row],[I R]]-Data!S$188)/(Data!S$187-Data!S$188), "")</f>
        <v/>
      </c>
      <c r="U83" s="1" t="str">
        <f>IF(Table1[[#This Row],[Included?]], (Table1[[#This Row],[I HR]]-Data!T$188)/(Data!T$187-Data!T$188), "")</f>
        <v/>
      </c>
      <c r="V83" s="1" t="str">
        <f>IF(Table1[[#This Row],[Included?]], (Table1[[#This Row],[I RBI]]-Data!U$188)/(Data!U$187-Data!U$188), "")</f>
        <v/>
      </c>
      <c r="W83" s="1" t="str">
        <f>IF(Table1[[#This Row],[Included?]], (Table1[[#This Row],[I SB]]-Data!V$188)/(Data!V$187-Data!V$188), "")</f>
        <v/>
      </c>
      <c r="X83" s="1" t="str">
        <f>IF(Table1[[#This Row],[Included?]], (Table1[[#This Row],[I OBP]]-Data!W$188)/(Data!W$187-Data!W$188), "")</f>
        <v/>
      </c>
      <c r="Y83" s="1" t="str">
        <f>IF(Table1[[#This Row],[Included?]], (Table1[[#This Row],[I OB]]-Data!AA$188)/(Data!AA$187-Data!AA$188), "")</f>
        <v/>
      </c>
      <c r="Z83" s="1" t="str">
        <f>IF(Table1[[#This Row],[Included?]], SUM(Table35[[#This Row],[I R Scale]:[I OBP Scale]]), "")</f>
        <v/>
      </c>
      <c r="AA83" s="1" t="str">
        <f>IF(Table1[[#This Row],[Included?]], SUM(Table35[[#This Row],[I R Scale]:[I SB Scale]],Table35[[#This Row],[I OB Scale]]), "")</f>
        <v/>
      </c>
      <c r="AB8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3" s="1" t="str">
        <f>IF(Table1[[#This Row],[Included?]], Table35[[#This Row],[I Tot Scale]]*AF$185+AF$186, "")</f>
        <v/>
      </c>
      <c r="AG83" s="1" t="str">
        <f>IF(Table1[[#This Row],[Included?]], Table35[[#This Row],[I OB Tot Scale]]*AG$185+AG$186, "")</f>
        <v/>
      </c>
      <c r="AH83" s="1" t="str">
        <f>IF(Table1[[#This Row],[Included?]], Table35[[#This Row],[I Weighted Scale]]*AH$185+AH$186, "")</f>
        <v/>
      </c>
      <c r="AI83" s="1" t="str">
        <f>IF(Table1[[#This Row],[Included?]], Table35[[#This Row],[I OB Weighted Scale]]*AI$185+AI$186, "")</f>
        <v/>
      </c>
      <c r="AJ83" s="1" t="str">
        <f>IF(Table1[[#This Row],[Included?]], Table35[[#This Row],[I Z-score]]*AJ$185+AJ$186, "")</f>
        <v/>
      </c>
      <c r="AK83" s="1" t="str">
        <f>IF(Table1[[#This Row],[Included?]], Table35[[#This Row],[I OBMod Z-Score]]*AK$185+AK$186, "")</f>
        <v/>
      </c>
      <c r="AL83" s="1" t="str">
        <f>IF(Table1[[#This Row],[Included?]], AVERAGE(Table35[[#This Row],[I Tot Value]:[I OB Z Value]]), "")</f>
        <v/>
      </c>
    </row>
    <row r="84" spans="1:38" hidden="1" x14ac:dyDescent="0.25">
      <c r="A84" s="1">
        <f>(Table1[[#This Row],[R]]-Data!H$188)/(Data!H$187-Data!H$188)</f>
        <v>0.51164772727272734</v>
      </c>
      <c r="B84" s="1">
        <f>(Table1[[#This Row],[HR]]-Data!I$188)/(Data!I$187-Data!I$188)</f>
        <v>9.5302927161334247E-2</v>
      </c>
      <c r="C84" s="1">
        <f>(Table1[[#This Row],[RBI]]-Data!J$188)/(Data!J$187-Data!J$188)</f>
        <v>0.40584694754944106</v>
      </c>
      <c r="D84" s="1">
        <f>(Table1[[#This Row],[SB]]-Data!K$188)/(Data!K$187-Data!K$188)</f>
        <v>0.16311166875784186</v>
      </c>
      <c r="E84" s="1">
        <f>(Table1[[#This Row],[OBP]]-Data!L$188)/(Data!L$187-Data!L$188)</f>
        <v>0.44422474428390618</v>
      </c>
      <c r="F84" s="1">
        <f>(Table1[[#This Row],[OB]]-Data!P$188)/(Data!P$187-Data!P$188)</f>
        <v>0.59040247120652944</v>
      </c>
      <c r="G84" s="1">
        <f>SUM(Table3[[#This Row],[R Scale]:[OBP Scale]])</f>
        <v>1.6201340150252506</v>
      </c>
      <c r="H84" s="1">
        <f>SUM(Table3[[#This Row],[R Scale]:[SB Scale]],Table3[[#This Row],[OB Scale]])</f>
        <v>1.7663117419478738</v>
      </c>
      <c r="I84" s="1">
        <f>Table3[[#This Row],[R Scale]]*Data!B$192+Table3[[#This Row],[HR Scale]]*Data!C$192+Table3[[#This Row],[RBI Scale]]*Data!D$192+Table3[[#This Row],[SB Scale]]*Data!E$192+Table3[[#This Row],[OBP Scale]]*Data!F$192</f>
        <v>1.7389835806646472</v>
      </c>
      <c r="J84" s="1">
        <f>Table3[[#This Row],[R Scale]]*Data!B$192+Table3[[#This Row],[HR Scale]]*Data!C$192+Table3[[#This Row],[RBI Scale]]*Data!D$192+Table3[[#This Row],[SB Scale]]*Data!E$192+Table3[[#This Row],[OB Scale]]*Data!F$192</f>
        <v>1.9143968529717952</v>
      </c>
      <c r="K8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-0.86180833021151193</v>
      </c>
      <c r="L8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-0.89281375717858968</v>
      </c>
      <c r="M84" s="1">
        <f ca="1">Table3[[#This Row],[Tot Scale]]*M$185+M$186</f>
        <v>-6.6261037489763694</v>
      </c>
      <c r="N84" s="1">
        <f ca="1">Table3[[#This Row],[OB Tot Scale]]*N$185+N$186</f>
        <v>-3.1013473464565351</v>
      </c>
      <c r="O84" s="1">
        <f ca="1">Table3[[#This Row],[Weighted Scale]]*O$185+O$186</f>
        <v>-6.3837448740650373</v>
      </c>
      <c r="P84" s="1">
        <f ca="1">Table3[[#This Row],[OB Weighted Scale]]*P$185+P$186</f>
        <v>-2.5330964287950906</v>
      </c>
      <c r="Q84" s="1">
        <f ca="1">Table3[[#This Row],[Z-score]]*Q$185+Q$186</f>
        <v>-4.9261360248450066</v>
      </c>
      <c r="R84" s="1">
        <f ca="1">Table3[[#This Row],[OBMod Z-Score]]*R$185+R$186</f>
        <v>-4.8482454778118687</v>
      </c>
      <c r="S84" s="1">
        <f ca="1">AVERAGE(Table3[[#This Row],[Tot Value]:[OB Z Value]])</f>
        <v>-4.7364456501583181</v>
      </c>
      <c r="T84" s="1" t="str">
        <f>IF(Table1[[#This Row],[Included?]], (Table1[[#This Row],[I R]]-Data!S$188)/(Data!S$187-Data!S$188), "")</f>
        <v/>
      </c>
      <c r="U84" s="1" t="str">
        <f>IF(Table1[[#This Row],[Included?]], (Table1[[#This Row],[I HR]]-Data!T$188)/(Data!T$187-Data!T$188), "")</f>
        <v/>
      </c>
      <c r="V84" s="1" t="str">
        <f>IF(Table1[[#This Row],[Included?]], (Table1[[#This Row],[I RBI]]-Data!U$188)/(Data!U$187-Data!U$188), "")</f>
        <v/>
      </c>
      <c r="W84" s="1" t="str">
        <f>IF(Table1[[#This Row],[Included?]], (Table1[[#This Row],[I SB]]-Data!V$188)/(Data!V$187-Data!V$188), "")</f>
        <v/>
      </c>
      <c r="X84" s="1" t="str">
        <f>IF(Table1[[#This Row],[Included?]], (Table1[[#This Row],[I OBP]]-Data!W$188)/(Data!W$187-Data!W$188), "")</f>
        <v/>
      </c>
      <c r="Y84" s="1" t="str">
        <f>IF(Table1[[#This Row],[Included?]], (Table1[[#This Row],[I OB]]-Data!AA$188)/(Data!AA$187-Data!AA$188), "")</f>
        <v/>
      </c>
      <c r="Z84" s="1" t="str">
        <f>IF(Table1[[#This Row],[Included?]], SUM(Table35[[#This Row],[I R Scale]:[I OBP Scale]]), "")</f>
        <v/>
      </c>
      <c r="AA84" s="1" t="str">
        <f>IF(Table1[[#This Row],[Included?]], SUM(Table35[[#This Row],[I R Scale]:[I SB Scale]],Table35[[#This Row],[I OB Scale]]), "")</f>
        <v/>
      </c>
      <c r="AB8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4" s="1" t="str">
        <f>IF(Table1[[#This Row],[Included?]], Table35[[#This Row],[I Tot Scale]]*AF$185+AF$186, "")</f>
        <v/>
      </c>
      <c r="AG84" s="1" t="str">
        <f>IF(Table1[[#This Row],[Included?]], Table35[[#This Row],[I OB Tot Scale]]*AG$185+AG$186, "")</f>
        <v/>
      </c>
      <c r="AH84" s="1" t="str">
        <f>IF(Table1[[#This Row],[Included?]], Table35[[#This Row],[I Weighted Scale]]*AH$185+AH$186, "")</f>
        <v/>
      </c>
      <c r="AI84" s="1" t="str">
        <f>IF(Table1[[#This Row],[Included?]], Table35[[#This Row],[I OB Weighted Scale]]*AI$185+AI$186, "")</f>
        <v/>
      </c>
      <c r="AJ84" s="1" t="str">
        <f>IF(Table1[[#This Row],[Included?]], Table35[[#This Row],[I Z-score]]*AJ$185+AJ$186, "")</f>
        <v/>
      </c>
      <c r="AK84" s="1" t="str">
        <f>IF(Table1[[#This Row],[Included?]], Table35[[#This Row],[I OBMod Z-Score]]*AK$185+AK$186, "")</f>
        <v/>
      </c>
      <c r="AL84" s="1" t="str">
        <f>IF(Table1[[#This Row],[Included?]], AVERAGE(Table35[[#This Row],[I Tot Value]:[I OB Z Value]]), "")</f>
        <v/>
      </c>
    </row>
    <row r="85" spans="1:38" hidden="1" x14ac:dyDescent="0.25">
      <c r="A85" s="1">
        <f>(Table1[[#This Row],[R]]-Data!H$188)/(Data!H$187-Data!H$188)</f>
        <v>0.51789772727272732</v>
      </c>
      <c r="B85" s="1">
        <f>(Table1[[#This Row],[HR]]-Data!I$188)/(Data!I$187-Data!I$188)</f>
        <v>0.259360108917631</v>
      </c>
      <c r="C85" s="1">
        <f>(Table1[[#This Row],[RBI]]-Data!J$188)/(Data!J$187-Data!J$188)</f>
        <v>0.32846087704213234</v>
      </c>
      <c r="D85" s="1">
        <f>(Table1[[#This Row],[SB]]-Data!K$188)/(Data!K$187-Data!K$188)</f>
        <v>0.20169385194479295</v>
      </c>
      <c r="E85" s="1">
        <f>(Table1[[#This Row],[OBP]]-Data!L$188)/(Data!L$187-Data!L$188)</f>
        <v>0.61274194207438015</v>
      </c>
      <c r="F85" s="1">
        <f>(Table1[[#This Row],[OB]]-Data!P$188)/(Data!P$187-Data!P$188)</f>
        <v>0.51930237185861317</v>
      </c>
      <c r="G85" s="1">
        <f>SUM(Table3[[#This Row],[R Scale]:[OBP Scale]])</f>
        <v>1.9201545072516639</v>
      </c>
      <c r="H85" s="1">
        <f>SUM(Table3[[#This Row],[R Scale]:[SB Scale]],Table3[[#This Row],[OB Scale]])</f>
        <v>1.826714937035897</v>
      </c>
      <c r="I85" s="1">
        <f>Table3[[#This Row],[R Scale]]*Data!B$192+Table3[[#This Row],[HR Scale]]*Data!C$192+Table3[[#This Row],[RBI Scale]]*Data!D$192+Table3[[#This Row],[SB Scale]]*Data!E$192+Table3[[#This Row],[OBP Scale]]*Data!F$192</f>
        <v>2.0566052983476935</v>
      </c>
      <c r="J85" s="1">
        <f>Table3[[#This Row],[R Scale]]*Data!B$192+Table3[[#This Row],[HR Scale]]*Data!C$192+Table3[[#This Row],[RBI Scale]]*Data!D$192+Table3[[#This Row],[SB Scale]]*Data!E$192+Table3[[#This Row],[OB Scale]]*Data!F$192</f>
        <v>1.9444778140887733</v>
      </c>
      <c r="K8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0.74188306185041386</v>
      </c>
      <c r="L8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0.66537560493222936</v>
      </c>
      <c r="M85" s="1">
        <f ca="1">Table3[[#This Row],[Tot Scale]]*M$185+M$186</f>
        <v>4.4542058817159216</v>
      </c>
      <c r="N85" s="1">
        <f ca="1">Table3[[#This Row],[OB Tot Scale]]*N$185+N$186</f>
        <v>-0.8985644842161804</v>
      </c>
      <c r="O85" s="1">
        <f ca="1">Table3[[#This Row],[Weighted Scale]]*O$185+O$186</f>
        <v>4.5406195142760737</v>
      </c>
      <c r="P85" s="1">
        <f ca="1">Table3[[#This Row],[OB Weighted Scale]]*P$185+P$186</f>
        <v>-1.5061135533804304</v>
      </c>
      <c r="Q85" s="1">
        <f ca="1">Table3[[#This Row],[Z-score]]*Q$185+Q$186</f>
        <v>6.8574065952750693</v>
      </c>
      <c r="R85" s="1">
        <f ca="1">Table3[[#This Row],[OBMod Z-Score]]*R$185+R$186</f>
        <v>6.4961696719319377</v>
      </c>
      <c r="S85" s="1">
        <f ca="1">AVERAGE(Table3[[#This Row],[Tot Value]:[OB Z Value]])</f>
        <v>3.3239539376003986</v>
      </c>
      <c r="T85" s="1">
        <f>IF(Table1[[#This Row],[Included?]], (Table1[[#This Row],[I R]]-Data!S$188)/(Data!S$187-Data!S$188), "")</f>
        <v>0.39066427289048478</v>
      </c>
      <c r="U85" s="1">
        <f>IF(Table1[[#This Row],[Included?]], (Table1[[#This Row],[I HR]]-Data!T$188)/(Data!T$187-Data!T$188), "")</f>
        <v>0.259360108917631</v>
      </c>
      <c r="V85" s="1">
        <f>IF(Table1[[#This Row],[Included?]], (Table1[[#This Row],[I RBI]]-Data!U$188)/(Data!U$187-Data!U$188), "")</f>
        <v>0.15476190476190477</v>
      </c>
      <c r="W85" s="1">
        <f>IF(Table1[[#This Row],[Included?]], (Table1[[#This Row],[I SB]]-Data!V$188)/(Data!V$187-Data!V$188), "")</f>
        <v>0.20169385194479295</v>
      </c>
      <c r="X85" s="1">
        <f>IF(Table1[[#This Row],[Included?]], (Table1[[#This Row],[I OBP]]-Data!W$188)/(Data!W$187-Data!W$188), "")</f>
        <v>0.53437604701025521</v>
      </c>
      <c r="Y85" s="1">
        <f>IF(Table1[[#This Row],[Included?]], (Table1[[#This Row],[I OB]]-Data!AA$188)/(Data!AA$187-Data!AA$188), "")</f>
        <v>0.25995458751495604</v>
      </c>
      <c r="Z85" s="1">
        <f>IF(Table1[[#This Row],[Included?]], SUM(Table35[[#This Row],[I R Scale]:[I OBP Scale]]), "")</f>
        <v>1.5408561855250686</v>
      </c>
      <c r="AA85" s="1">
        <f>IF(Table1[[#This Row],[Included?]], SUM(Table35[[#This Row],[I R Scale]:[I SB Scale]],Table35[[#This Row],[I OB Scale]]), "")</f>
        <v>1.2664347260297695</v>
      </c>
      <c r="AB8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1.6396173485904522</v>
      </c>
      <c r="AC8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1.3103115971960932</v>
      </c>
      <c r="AD8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-1.6737583844258752</v>
      </c>
      <c r="AE8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-1.719050078709508</v>
      </c>
      <c r="AF85" s="1">
        <f ca="1">IF(Table1[[#This Row],[Included?]], Table35[[#This Row],[I Tot Scale]]*AF$185+AF$186, "")</f>
        <v>11.020431159803348</v>
      </c>
      <c r="AG85" s="1">
        <f ca="1">IF(Table1[[#This Row],[Included?]], Table35[[#This Row],[I OB Tot Scale]]*AG$185+AG$186, "")</f>
        <v>10.730755311954939</v>
      </c>
      <c r="AH85" s="1">
        <f ca="1">IF(Table1[[#This Row],[Included?]], Table35[[#This Row],[I Weighted Scale]]*AH$185+AH$186, "")</f>
        <v>10.95471576528508</v>
      </c>
      <c r="AI85" s="1">
        <f ca="1">IF(Table1[[#This Row],[Included?]], Table35[[#This Row],[I OB Weighted Scale]]*AI$185+AI$186, "")</f>
        <v>10.376900553555402</v>
      </c>
      <c r="AJ85" s="1">
        <f ca="1">IF(Table1[[#This Row],[Included?]], Table35[[#This Row],[I Z-score]]*AJ$185+AJ$186, "")</f>
        <v>12.401306895008393</v>
      </c>
      <c r="AK85" s="1">
        <f ca="1">IF(Table1[[#This Row],[Included?]], Table35[[#This Row],[I OBMod Z-Score]]*AK$185+AK$186, "")</f>
        <v>12.209384810567343</v>
      </c>
      <c r="AL85" s="1">
        <f ca="1">IF(Table1[[#This Row],[Included?]], AVERAGE(Table35[[#This Row],[I Tot Value]:[I OB Z Value]]), "")</f>
        <v>11.282249082695751</v>
      </c>
    </row>
    <row r="86" spans="1:38" hidden="1" x14ac:dyDescent="0.25">
      <c r="A86" s="1">
        <f>(Table1[[#This Row],[R]]-Data!H$188)/(Data!H$187-Data!H$188)</f>
        <v>0.38579545454545461</v>
      </c>
      <c r="B86" s="1">
        <f>(Table1[[#This Row],[HR]]-Data!I$188)/(Data!I$187-Data!I$188)</f>
        <v>0.57998638529611979</v>
      </c>
      <c r="C86" s="1">
        <f>(Table1[[#This Row],[RBI]]-Data!J$188)/(Data!J$187-Data!J$188)</f>
        <v>0.51304098595586123</v>
      </c>
      <c r="D86" s="1">
        <f>(Table1[[#This Row],[SB]]-Data!K$188)/(Data!K$187-Data!K$188)</f>
        <v>5.0501882057716427E-2</v>
      </c>
      <c r="E86" s="1">
        <f>(Table1[[#This Row],[OBP]]-Data!L$188)/(Data!L$187-Data!L$188)</f>
        <v>0.6322917585106419</v>
      </c>
      <c r="F86" s="1">
        <f>(Table1[[#This Row],[OB]]-Data!P$188)/(Data!P$187-Data!P$188)</f>
        <v>0.45550180838748427</v>
      </c>
      <c r="G86" s="1">
        <f>SUM(Table3[[#This Row],[R Scale]:[OBP Scale]])</f>
        <v>2.161616466365794</v>
      </c>
      <c r="H86" s="1">
        <f>SUM(Table3[[#This Row],[R Scale]:[SB Scale]],Table3[[#This Row],[OB Scale]])</f>
        <v>1.9848265162426362</v>
      </c>
      <c r="I86" s="1">
        <f>Table3[[#This Row],[R Scale]]*Data!B$192+Table3[[#This Row],[HR Scale]]*Data!C$192+Table3[[#This Row],[RBI Scale]]*Data!D$192+Table3[[#This Row],[SB Scale]]*Data!E$192+Table3[[#This Row],[OBP Scale]]*Data!F$192</f>
        <v>2.3521034698045487</v>
      </c>
      <c r="J86" s="1">
        <f>Table3[[#This Row],[R Scale]]*Data!B$192+Table3[[#This Row],[HR Scale]]*Data!C$192+Table3[[#This Row],[RBI Scale]]*Data!D$192+Table3[[#This Row],[SB Scale]]*Data!E$192+Table3[[#This Row],[OB Scale]]*Data!F$192</f>
        <v>2.1399555296567598</v>
      </c>
      <c r="K8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1.4601968392372475</v>
      </c>
      <c r="L8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1.3046689585972677</v>
      </c>
      <c r="M86" s="1">
        <f ca="1">Table3[[#This Row],[Tot Scale]]*M$185+M$186</f>
        <v>13.371840977784785</v>
      </c>
      <c r="N86" s="1">
        <f ca="1">Table3[[#This Row],[OB Tot Scale]]*N$185+N$186</f>
        <v>4.8674463450259111</v>
      </c>
      <c r="O86" s="1">
        <f ca="1">Table3[[#This Row],[Weighted Scale]]*O$185+O$186</f>
        <v>14.704060870337642</v>
      </c>
      <c r="P86" s="1">
        <f ca="1">Table3[[#This Row],[OB Weighted Scale]]*P$185+P$186</f>
        <v>5.1676182344045856</v>
      </c>
      <c r="Q86" s="1">
        <f ca="1">Table3[[#This Row],[Z-score]]*Q$185+Q$186</f>
        <v>12.135405250349447</v>
      </c>
      <c r="R86" s="1">
        <f ca="1">Table3[[#This Row],[OBMod Z-Score]]*R$185+R$186</f>
        <v>11.150552112730805</v>
      </c>
      <c r="S86" s="1">
        <f ca="1">AVERAGE(Table3[[#This Row],[Tot Value]:[OB Z Value]])</f>
        <v>10.232820631772197</v>
      </c>
      <c r="T86" s="1">
        <f>IF(Table1[[#This Row],[Included?]], (Table1[[#This Row],[I R]]-Data!S$188)/(Data!S$187-Data!S$188), "")</f>
        <v>0.22369838420107727</v>
      </c>
      <c r="U86" s="1">
        <f>IF(Table1[[#This Row],[Included?]], (Table1[[#This Row],[I HR]]-Data!T$188)/(Data!T$187-Data!T$188), "")</f>
        <v>0.57998638529611979</v>
      </c>
      <c r="V86" s="1">
        <f>IF(Table1[[#This Row],[Included?]], (Table1[[#This Row],[I RBI]]-Data!U$188)/(Data!U$187-Data!U$188), "")</f>
        <v>0.38708513708513709</v>
      </c>
      <c r="W86" s="1">
        <f>IF(Table1[[#This Row],[Included?]], (Table1[[#This Row],[I SB]]-Data!V$188)/(Data!V$187-Data!V$188), "")</f>
        <v>5.0501882057716427E-2</v>
      </c>
      <c r="X86" s="1">
        <f>IF(Table1[[#This Row],[Included?]], (Table1[[#This Row],[I OBP]]-Data!W$188)/(Data!W$187-Data!W$188), "")</f>
        <v>0.55788198219475815</v>
      </c>
      <c r="Y86" s="1">
        <f>IF(Table1[[#This Row],[Included?]], (Table1[[#This Row],[I OB]]-Data!AA$188)/(Data!AA$187-Data!AA$188), "")</f>
        <v>0.1617321051338228</v>
      </c>
      <c r="Z86" s="1">
        <f>IF(Table1[[#This Row],[Included?]], SUM(Table35[[#This Row],[I R Scale]:[I OBP Scale]]), "")</f>
        <v>1.7991537708348084</v>
      </c>
      <c r="AA86" s="1">
        <f>IF(Table1[[#This Row],[Included?]], SUM(Table35[[#This Row],[I R Scale]:[I SB Scale]],Table35[[#This Row],[I OB Scale]]), "")</f>
        <v>1.4030038937738731</v>
      </c>
      <c r="AB8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1.9657773562706797</v>
      </c>
      <c r="AC8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1.4903975037975574</v>
      </c>
      <c r="AD8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-0.85156996518249417</v>
      </c>
      <c r="AE8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-0.94689421306069166</v>
      </c>
      <c r="AF86" s="1">
        <f ca="1">IF(Table1[[#This Row],[Included?]], Table35[[#This Row],[I Tot Scale]]*AF$185+AF$186, "")</f>
        <v>16.490844626339932</v>
      </c>
      <c r="AG86" s="1">
        <f ca="1">IF(Table1[[#This Row],[Included?]], Table35[[#This Row],[I OB Tot Scale]]*AG$185+AG$186, "")</f>
        <v>12.878311610529094</v>
      </c>
      <c r="AH86" s="1">
        <f ca="1">IF(Table1[[#This Row],[Included?]], Table35[[#This Row],[I Weighted Scale]]*AH$185+AH$186, "")</f>
        <v>17.388834897275146</v>
      </c>
      <c r="AI86" s="1">
        <f ca="1">IF(Table1[[#This Row],[Included?]], Table35[[#This Row],[I OB Weighted Scale]]*AI$185+AI$186, "")</f>
        <v>13.014276375898628</v>
      </c>
      <c r="AJ86" s="1">
        <f ca="1">IF(Table1[[#This Row],[Included?]], Table35[[#This Row],[I Z-score]]*AJ$185+AJ$186, "")</f>
        <v>16.133958829983825</v>
      </c>
      <c r="AK86" s="1">
        <f ca="1">IF(Table1[[#This Row],[Included?]], Table35[[#This Row],[I OBMod Z-Score]]*AK$185+AK$186, "")</f>
        <v>15.708741397112655</v>
      </c>
      <c r="AL86" s="1">
        <f ca="1">IF(Table1[[#This Row],[Included?]], AVERAGE(Table35[[#This Row],[I Tot Value]:[I OB Z Value]]), "")</f>
        <v>15.269161289523213</v>
      </c>
    </row>
    <row r="87" spans="1:38" hidden="1" x14ac:dyDescent="0.25">
      <c r="A87" s="1">
        <f>(Table1[[#This Row],[R]]-Data!H$188)/(Data!H$187-Data!H$188)</f>
        <v>0.46193181818181833</v>
      </c>
      <c r="B87" s="1">
        <f>(Table1[[#This Row],[HR]]-Data!I$188)/(Data!I$187-Data!I$188)</f>
        <v>0.63376446562287259</v>
      </c>
      <c r="C87" s="1">
        <f>(Table1[[#This Row],[RBI]]-Data!J$188)/(Data!J$187-Data!J$188)</f>
        <v>0.39925480080252213</v>
      </c>
      <c r="D87" s="1">
        <f>(Table1[[#This Row],[SB]]-Data!K$188)/(Data!K$187-Data!K$188)</f>
        <v>4.109159347553324E-2</v>
      </c>
      <c r="E87" s="1">
        <f>(Table1[[#This Row],[OBP]]-Data!L$188)/(Data!L$187-Data!L$188)</f>
        <v>0.5125770899059614</v>
      </c>
      <c r="F87" s="1">
        <f>(Table1[[#This Row],[OB]]-Data!P$188)/(Data!P$187-Data!P$188)</f>
        <v>0.44468939652572487</v>
      </c>
      <c r="G87" s="1">
        <f>SUM(Table3[[#This Row],[R Scale]:[OBP Scale]])</f>
        <v>2.0486197679887077</v>
      </c>
      <c r="H87" s="1">
        <f>SUM(Table3[[#This Row],[R Scale]:[SB Scale]],Table3[[#This Row],[OB Scale]])</f>
        <v>1.9807320746084709</v>
      </c>
      <c r="I87" s="1">
        <f>Table3[[#This Row],[R Scale]]*Data!B$192+Table3[[#This Row],[HR Scale]]*Data!C$192+Table3[[#This Row],[RBI Scale]]*Data!D$192+Table3[[#This Row],[SB Scale]]*Data!E$192+Table3[[#This Row],[OBP Scale]]*Data!F$192</f>
        <v>2.1847929643122224</v>
      </c>
      <c r="J87" s="1">
        <f>Table3[[#This Row],[R Scale]]*Data!B$192+Table3[[#This Row],[HR Scale]]*Data!C$192+Table3[[#This Row],[RBI Scale]]*Data!D$192+Table3[[#This Row],[SB Scale]]*Data!E$192+Table3[[#This Row],[OB Scale]]*Data!F$192</f>
        <v>2.1033277322559387</v>
      </c>
      <c r="K8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0.79872057510996242</v>
      </c>
      <c r="L8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0.73368644264958238</v>
      </c>
      <c r="M87" s="1">
        <f ca="1">Table3[[#This Row],[Tot Scale]]*M$185+M$186</f>
        <v>9.1986646858160555</v>
      </c>
      <c r="N87" s="1">
        <f ca="1">Table3[[#This Row],[OB Tot Scale]]*N$185+N$186</f>
        <v>4.7181303055508579</v>
      </c>
      <c r="O87" s="1">
        <f ca="1">Table3[[#This Row],[Weighted Scale]]*O$185+O$186</f>
        <v>8.9495396073437945</v>
      </c>
      <c r="P87" s="1">
        <f ca="1">Table3[[#This Row],[OB Weighted Scale]]*P$185+P$186</f>
        <v>3.9171222629321107</v>
      </c>
      <c r="Q87" s="1">
        <f ca="1">Table3[[#This Row],[Z-score]]*Q$185+Q$186</f>
        <v>7.2750351135989169</v>
      </c>
      <c r="R87" s="1">
        <f ca="1">Table3[[#This Row],[OBMod Z-Score]]*R$185+R$186</f>
        <v>6.9935074930826602</v>
      </c>
      <c r="S87" s="1">
        <f ca="1">AVERAGE(Table3[[#This Row],[Tot Value]:[OB Z Value]])</f>
        <v>6.8419999113873997</v>
      </c>
      <c r="T87" s="1">
        <f>IF(Table1[[#This Row],[Included?]], (Table1[[#This Row],[I R]]-Data!S$188)/(Data!S$187-Data!S$188), "")</f>
        <v>0.31992818671454237</v>
      </c>
      <c r="U87" s="1">
        <f>IF(Table1[[#This Row],[Included?]], (Table1[[#This Row],[I HR]]-Data!T$188)/(Data!T$187-Data!T$188), "")</f>
        <v>0.63376446562287259</v>
      </c>
      <c r="V87" s="1">
        <f>IF(Table1[[#This Row],[Included?]], (Table1[[#This Row],[I RBI]]-Data!U$188)/(Data!U$187-Data!U$188), "")</f>
        <v>0.24386724386724382</v>
      </c>
      <c r="W87" s="1">
        <f>IF(Table1[[#This Row],[Included?]], (Table1[[#This Row],[I SB]]-Data!V$188)/(Data!V$187-Data!V$188), "")</f>
        <v>4.109159347553324E-2</v>
      </c>
      <c r="X87" s="1">
        <f>IF(Table1[[#This Row],[Included?]], (Table1[[#This Row],[I OBP]]-Data!W$188)/(Data!W$187-Data!W$188), "")</f>
        <v>0.41394174367485376</v>
      </c>
      <c r="Y87" s="1">
        <f>IF(Table1[[#This Row],[Included?]], (Table1[[#This Row],[I OB]]-Data!AA$188)/(Data!AA$187-Data!AA$188), "")</f>
        <v>0.14508614033650885</v>
      </c>
      <c r="Z87" s="1">
        <f>IF(Table1[[#This Row],[Included?]], SUM(Table35[[#This Row],[I R Scale]:[I OBP Scale]]), "")</f>
        <v>1.6525932333550457</v>
      </c>
      <c r="AA87" s="1">
        <f>IF(Table1[[#This Row],[Included?]], SUM(Table35[[#This Row],[I R Scale]:[I SB Scale]],Table35[[#This Row],[I OB Scale]]), "")</f>
        <v>1.3837376300167008</v>
      </c>
      <c r="AB8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1.7521622121920108</v>
      </c>
      <c r="AC8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1.4295354881859972</v>
      </c>
      <c r="AD8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-1.5722580464731457</v>
      </c>
      <c r="AE8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-1.5367889203357725</v>
      </c>
      <c r="AF87" s="1">
        <f ca="1">IF(Table1[[#This Row],[Included?]], Table35[[#This Row],[I Tot Scale]]*AF$185+AF$186, "")</f>
        <v>13.386879341760473</v>
      </c>
      <c r="AG87" s="1">
        <f ca="1">IF(Table1[[#This Row],[Included?]], Table35[[#This Row],[I OB Tot Scale]]*AG$185+AG$186, "")</f>
        <v>12.575348747350242</v>
      </c>
      <c r="AH87" s="1">
        <f ca="1">IF(Table1[[#This Row],[Included?]], Table35[[#This Row],[I Weighted Scale]]*AH$185+AH$186, "")</f>
        <v>13.174874715048006</v>
      </c>
      <c r="AI87" s="1">
        <f ca="1">IF(Table1[[#This Row],[Included?]], Table35[[#This Row],[I OB Weighted Scale]]*AI$185+AI$186, "")</f>
        <v>12.12294616854247</v>
      </c>
      <c r="AJ87" s="1">
        <f ca="1">IF(Table1[[#This Row],[Included?]], Table35[[#This Row],[I Z-score]]*AJ$185+AJ$186, "")</f>
        <v>12.86210812255252</v>
      </c>
      <c r="AK87" s="1">
        <f ca="1">IF(Table1[[#This Row],[Included?]], Table35[[#This Row],[I OBMod Z-Score]]*AK$185+AK$186, "")</f>
        <v>13.035379682069859</v>
      </c>
      <c r="AL87" s="1">
        <f ca="1">IF(Table1[[#This Row],[Included?]], AVERAGE(Table35[[#This Row],[I Tot Value]:[I OB Z Value]]), "")</f>
        <v>12.859589462887262</v>
      </c>
    </row>
    <row r="88" spans="1:38" hidden="1" x14ac:dyDescent="0.25">
      <c r="A88" s="1">
        <f>(Table1[[#This Row],[R]]-Data!H$188)/(Data!H$187-Data!H$188)</f>
        <v>0.53068181818181825</v>
      </c>
      <c r="B88" s="1">
        <f>(Table1[[#This Row],[HR]]-Data!I$188)/(Data!I$187-Data!I$188)</f>
        <v>0.50442477876106195</v>
      </c>
      <c r="C88" s="1">
        <f>(Table1[[#This Row],[RBI]]-Data!J$188)/(Data!J$187-Data!J$188)</f>
        <v>0.33046718257380336</v>
      </c>
      <c r="D88" s="1">
        <f>(Table1[[#This Row],[SB]]-Data!K$188)/(Data!K$187-Data!K$188)</f>
        <v>2.0075282308657461E-2</v>
      </c>
      <c r="E88" s="1">
        <f>(Table1[[#This Row],[OBP]]-Data!L$188)/(Data!L$187-Data!L$188)</f>
        <v>0.39183829050580637</v>
      </c>
      <c r="F88" s="1">
        <f>(Table1[[#This Row],[OB]]-Data!P$188)/(Data!P$187-Data!P$188)</f>
        <v>0.4987676923333505</v>
      </c>
      <c r="G88" s="1">
        <f>SUM(Table3[[#This Row],[R Scale]:[OBP Scale]])</f>
        <v>1.7774873523311474</v>
      </c>
      <c r="H88" s="1">
        <f>SUM(Table3[[#This Row],[R Scale]:[SB Scale]],Table3[[#This Row],[OB Scale]])</f>
        <v>1.8844167541586914</v>
      </c>
      <c r="I88" s="1">
        <f>Table3[[#This Row],[R Scale]]*Data!B$192+Table3[[#This Row],[HR Scale]]*Data!C$192+Table3[[#This Row],[RBI Scale]]*Data!D$192+Table3[[#This Row],[SB Scale]]*Data!E$192+Table3[[#This Row],[OBP Scale]]*Data!F$192</f>
        <v>1.8688802651288874</v>
      </c>
      <c r="J88" s="1">
        <f>Table3[[#This Row],[R Scale]]*Data!B$192+Table3[[#This Row],[HR Scale]]*Data!C$192+Table3[[#This Row],[RBI Scale]]*Data!D$192+Table3[[#This Row],[SB Scale]]*Data!E$192+Table3[[#This Row],[OB Scale]]*Data!F$192</f>
        <v>1.9971955473219403</v>
      </c>
      <c r="K8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-0.59010337583229744</v>
      </c>
      <c r="L8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-0.63024812854187484</v>
      </c>
      <c r="M88" s="1">
        <f ca="1">Table3[[#This Row],[Tot Scale]]*M$185+M$186</f>
        <v>-0.81475504464742698</v>
      </c>
      <c r="N88" s="1">
        <f ca="1">Table3[[#This Row],[OB Tot Scale]]*N$185+N$186</f>
        <v>1.2057045646808859</v>
      </c>
      <c r="O88" s="1">
        <f ca="1">Table3[[#This Row],[Weighted Scale]]*O$185+O$186</f>
        <v>-1.9160443519591155</v>
      </c>
      <c r="P88" s="1">
        <f ca="1">Table3[[#This Row],[OB Weighted Scale]]*P$185+P$186</f>
        <v>0.29370291693120976</v>
      </c>
      <c r="Q88" s="1">
        <f ca="1">Table3[[#This Row],[Z-score]]*Q$185+Q$186</f>
        <v>-2.9297126943507417</v>
      </c>
      <c r="R88" s="1">
        <f ca="1">Table3[[#This Row],[OBMod Z-Score]]*R$185+R$186</f>
        <v>-2.9366334698378913</v>
      </c>
      <c r="S88" s="1">
        <f ca="1">AVERAGE(Table3[[#This Row],[Tot Value]:[OB Z Value]])</f>
        <v>-1.1829563465305133</v>
      </c>
      <c r="T88" s="1" t="str">
        <f>IF(Table1[[#This Row],[Included?]], (Table1[[#This Row],[I R]]-Data!S$188)/(Data!S$187-Data!S$188), "")</f>
        <v/>
      </c>
      <c r="U88" s="1" t="str">
        <f>IF(Table1[[#This Row],[Included?]], (Table1[[#This Row],[I HR]]-Data!T$188)/(Data!T$187-Data!T$188), "")</f>
        <v/>
      </c>
      <c r="V88" s="1" t="str">
        <f>IF(Table1[[#This Row],[Included?]], (Table1[[#This Row],[I RBI]]-Data!U$188)/(Data!U$187-Data!U$188), "")</f>
        <v/>
      </c>
      <c r="W88" s="1" t="str">
        <f>IF(Table1[[#This Row],[Included?]], (Table1[[#This Row],[I SB]]-Data!V$188)/(Data!V$187-Data!V$188), "")</f>
        <v/>
      </c>
      <c r="X88" s="1" t="str">
        <f>IF(Table1[[#This Row],[Included?]], (Table1[[#This Row],[I OBP]]-Data!W$188)/(Data!W$187-Data!W$188), "")</f>
        <v/>
      </c>
      <c r="Y88" s="1" t="str">
        <f>IF(Table1[[#This Row],[Included?]], (Table1[[#This Row],[I OB]]-Data!AA$188)/(Data!AA$187-Data!AA$188), "")</f>
        <v/>
      </c>
      <c r="Z88" s="1" t="str">
        <f>IF(Table1[[#This Row],[Included?]], SUM(Table35[[#This Row],[I R Scale]:[I OBP Scale]]), "")</f>
        <v/>
      </c>
      <c r="AA88" s="1" t="str">
        <f>IF(Table1[[#This Row],[Included?]], SUM(Table35[[#This Row],[I R Scale]:[I SB Scale]],Table35[[#This Row],[I OB Scale]]), "")</f>
        <v/>
      </c>
      <c r="AB8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8" s="1" t="str">
        <f>IF(Table1[[#This Row],[Included?]], Table35[[#This Row],[I Tot Scale]]*AF$185+AF$186, "")</f>
        <v/>
      </c>
      <c r="AG88" s="1" t="str">
        <f>IF(Table1[[#This Row],[Included?]], Table35[[#This Row],[I OB Tot Scale]]*AG$185+AG$186, "")</f>
        <v/>
      </c>
      <c r="AH88" s="1" t="str">
        <f>IF(Table1[[#This Row],[Included?]], Table35[[#This Row],[I Weighted Scale]]*AH$185+AH$186, "")</f>
        <v/>
      </c>
      <c r="AI88" s="1" t="str">
        <f>IF(Table1[[#This Row],[Included?]], Table35[[#This Row],[I OB Weighted Scale]]*AI$185+AI$186, "")</f>
        <v/>
      </c>
      <c r="AJ88" s="1" t="str">
        <f>IF(Table1[[#This Row],[Included?]], Table35[[#This Row],[I Z-score]]*AJ$185+AJ$186, "")</f>
        <v/>
      </c>
      <c r="AK88" s="1" t="str">
        <f>IF(Table1[[#This Row],[Included?]], Table35[[#This Row],[I OBMod Z-Score]]*AK$185+AK$186, "")</f>
        <v/>
      </c>
      <c r="AL88" s="1" t="str">
        <f>IF(Table1[[#This Row],[Included?]], AVERAGE(Table35[[#This Row],[I Tot Value]:[I OB Z Value]]), "")</f>
        <v/>
      </c>
    </row>
    <row r="89" spans="1:38" hidden="1" x14ac:dyDescent="0.25">
      <c r="A89" s="1">
        <f>(Table1[[#This Row],[R]]-Data!H$188)/(Data!H$187-Data!H$188)</f>
        <v>0.46193181818181833</v>
      </c>
      <c r="B89" s="1">
        <f>(Table1[[#This Row],[HR]]-Data!I$188)/(Data!I$187-Data!I$188)</f>
        <v>0.34309053778080317</v>
      </c>
      <c r="C89" s="1">
        <f>(Table1[[#This Row],[RBI]]-Data!J$188)/(Data!J$187-Data!J$188)</f>
        <v>0.5067354542848953</v>
      </c>
      <c r="D89" s="1">
        <f>(Table1[[#This Row],[SB]]-Data!K$188)/(Data!K$187-Data!K$188)</f>
        <v>0.12672521957340024</v>
      </c>
      <c r="E89" s="1">
        <f>(Table1[[#This Row],[OBP]]-Data!L$188)/(Data!L$187-Data!L$188)</f>
        <v>0.38709084335403782</v>
      </c>
      <c r="F89" s="1">
        <f>(Table1[[#This Row],[OB]]-Data!P$188)/(Data!P$187-Data!P$188)</f>
        <v>0.4648024488749713</v>
      </c>
      <c r="G89" s="1">
        <f>SUM(Table3[[#This Row],[R Scale]:[OBP Scale]])</f>
        <v>1.8255738731749549</v>
      </c>
      <c r="H89" s="1">
        <f>SUM(Table3[[#This Row],[R Scale]:[SB Scale]],Table3[[#This Row],[OB Scale]])</f>
        <v>1.9032854786958884</v>
      </c>
      <c r="I89" s="1">
        <f>Table3[[#This Row],[R Scale]]*Data!B$192+Table3[[#This Row],[HR Scale]]*Data!C$192+Table3[[#This Row],[RBI Scale]]*Data!D$192+Table3[[#This Row],[SB Scale]]*Data!E$192+Table3[[#This Row],[OBP Scale]]*Data!F$192</f>
        <v>1.9581459508845598</v>
      </c>
      <c r="J89" s="1">
        <f>Table3[[#This Row],[R Scale]]*Data!B$192+Table3[[#This Row],[HR Scale]]*Data!C$192+Table3[[#This Row],[RBI Scale]]*Data!D$192+Table3[[#This Row],[SB Scale]]*Data!E$192+Table3[[#This Row],[OB Scale]]*Data!F$192</f>
        <v>2.05139987750968</v>
      </c>
      <c r="K8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-8.335426681236266E-2</v>
      </c>
      <c r="L8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-0.11400930111728749</v>
      </c>
      <c r="M89" s="1">
        <f ca="1">Table3[[#This Row],[Tot Scale]]*M$185+M$186</f>
        <v>0.96116877994930405</v>
      </c>
      <c r="N89" s="1">
        <f ca="1">Table3[[#This Row],[OB Tot Scale]]*N$185+N$186</f>
        <v>1.8938089436347241</v>
      </c>
      <c r="O89" s="1">
        <f ca="1">Table3[[#This Row],[Weighted Scale]]*O$185+O$186</f>
        <v>1.1541829791053146</v>
      </c>
      <c r="P89" s="1">
        <f ca="1">Table3[[#This Row],[OB Weighted Scale]]*P$185+P$186</f>
        <v>2.144272739472953</v>
      </c>
      <c r="Q89" s="1">
        <f ca="1">Table3[[#This Row],[Z-score]]*Q$185+Q$186</f>
        <v>0.79375913657724917</v>
      </c>
      <c r="R89" s="1">
        <f ca="1">Table3[[#This Row],[OBMod Z-Score]]*R$185+R$186</f>
        <v>0.82184911073112898</v>
      </c>
      <c r="S89" s="1">
        <f ca="1">AVERAGE(Table3[[#This Row],[Tot Value]:[OB Z Value]])</f>
        <v>1.2948402815784457</v>
      </c>
      <c r="T89" s="1" t="str">
        <f>IF(Table1[[#This Row],[Included?]], (Table1[[#This Row],[I R]]-Data!S$188)/(Data!S$187-Data!S$188), "")</f>
        <v/>
      </c>
      <c r="U89" s="1" t="str">
        <f>IF(Table1[[#This Row],[Included?]], (Table1[[#This Row],[I HR]]-Data!T$188)/(Data!T$187-Data!T$188), "")</f>
        <v/>
      </c>
      <c r="V89" s="1" t="str">
        <f>IF(Table1[[#This Row],[Included?]], (Table1[[#This Row],[I RBI]]-Data!U$188)/(Data!U$187-Data!U$188), "")</f>
        <v/>
      </c>
      <c r="W89" s="1" t="str">
        <f>IF(Table1[[#This Row],[Included?]], (Table1[[#This Row],[I SB]]-Data!V$188)/(Data!V$187-Data!V$188), "")</f>
        <v/>
      </c>
      <c r="X89" s="1" t="str">
        <f>IF(Table1[[#This Row],[Included?]], (Table1[[#This Row],[I OBP]]-Data!W$188)/(Data!W$187-Data!W$188), "")</f>
        <v/>
      </c>
      <c r="Y89" s="1" t="str">
        <f>IF(Table1[[#This Row],[Included?]], (Table1[[#This Row],[I OB]]-Data!AA$188)/(Data!AA$187-Data!AA$188), "")</f>
        <v/>
      </c>
      <c r="Z89" s="1" t="str">
        <f>IF(Table1[[#This Row],[Included?]], SUM(Table35[[#This Row],[I R Scale]:[I OBP Scale]]), "")</f>
        <v/>
      </c>
      <c r="AA89" s="1" t="str">
        <f>IF(Table1[[#This Row],[Included?]], SUM(Table35[[#This Row],[I R Scale]:[I SB Scale]],Table35[[#This Row],[I OB Scale]]), "")</f>
        <v/>
      </c>
      <c r="AB8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8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8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8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89" s="1" t="str">
        <f>IF(Table1[[#This Row],[Included?]], Table35[[#This Row],[I Tot Scale]]*AF$185+AF$186, "")</f>
        <v/>
      </c>
      <c r="AG89" s="1" t="str">
        <f>IF(Table1[[#This Row],[Included?]], Table35[[#This Row],[I OB Tot Scale]]*AG$185+AG$186, "")</f>
        <v/>
      </c>
      <c r="AH89" s="1" t="str">
        <f>IF(Table1[[#This Row],[Included?]], Table35[[#This Row],[I Weighted Scale]]*AH$185+AH$186, "")</f>
        <v/>
      </c>
      <c r="AI89" s="1" t="str">
        <f>IF(Table1[[#This Row],[Included?]], Table35[[#This Row],[I OB Weighted Scale]]*AI$185+AI$186, "")</f>
        <v/>
      </c>
      <c r="AJ89" s="1" t="str">
        <f>IF(Table1[[#This Row],[Included?]], Table35[[#This Row],[I Z-score]]*AJ$185+AJ$186, "")</f>
        <v/>
      </c>
      <c r="AK89" s="1" t="str">
        <f>IF(Table1[[#This Row],[Included?]], Table35[[#This Row],[I OBMod Z-Score]]*AK$185+AK$186, "")</f>
        <v/>
      </c>
      <c r="AL89" s="1" t="str">
        <f>IF(Table1[[#This Row],[Included?]], AVERAGE(Table35[[#This Row],[I Tot Value]:[I OB Z Value]]), "")</f>
        <v/>
      </c>
    </row>
    <row r="90" spans="1:38" hidden="1" x14ac:dyDescent="0.25">
      <c r="A90" s="1">
        <f>(Table1[[#This Row],[R]]-Data!H$188)/(Data!H$187-Data!H$188)</f>
        <v>0.20880681818181823</v>
      </c>
      <c r="B90" s="1">
        <f>(Table1[[#This Row],[HR]]-Data!I$188)/(Data!I$187-Data!I$188)</f>
        <v>0.13546630360789652</v>
      </c>
      <c r="C90" s="1">
        <f>(Table1[[#This Row],[RBI]]-Data!J$188)/(Data!J$187-Data!J$188)</f>
        <v>0.20550300945829747</v>
      </c>
      <c r="D90" s="1">
        <f>(Table1[[#This Row],[SB]]-Data!K$188)/(Data!K$187-Data!K$188)</f>
        <v>1</v>
      </c>
      <c r="E90" s="1">
        <f>(Table1[[#This Row],[OBP]]-Data!L$188)/(Data!L$187-Data!L$188)</f>
        <v>0.16830297187449658</v>
      </c>
      <c r="F90" s="1">
        <f>(Table1[[#This Row],[OB]]-Data!P$188)/(Data!P$187-Data!P$188)</f>
        <v>0.41299036779746356</v>
      </c>
      <c r="G90" s="1">
        <f>SUM(Table3[[#This Row],[R Scale]:[OBP Scale]])</f>
        <v>1.7180791031225089</v>
      </c>
      <c r="H90" s="1">
        <f>SUM(Table3[[#This Row],[R Scale]:[SB Scale]],Table3[[#This Row],[OB Scale]])</f>
        <v>1.9627664990454758</v>
      </c>
      <c r="I90" s="1">
        <f>Table3[[#This Row],[R Scale]]*Data!B$192+Table3[[#This Row],[HR Scale]]*Data!C$192+Table3[[#This Row],[RBI Scale]]*Data!D$192+Table3[[#This Row],[SB Scale]]*Data!E$192+Table3[[#This Row],[OBP Scale]]*Data!F$192</f>
        <v>1.7719596175708858</v>
      </c>
      <c r="J90" s="1">
        <f>Table3[[#This Row],[R Scale]]*Data!B$192+Table3[[#This Row],[HR Scale]]*Data!C$192+Table3[[#This Row],[RBI Scale]]*Data!D$192+Table3[[#This Row],[SB Scale]]*Data!E$192+Table3[[#This Row],[OB Scale]]*Data!F$192</f>
        <v>2.0655844926784459</v>
      </c>
      <c r="K9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1.0986541799285474</v>
      </c>
      <c r="L9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1.0041560554006161</v>
      </c>
      <c r="M90" s="1">
        <f ca="1">Table3[[#This Row],[Tot Scale]]*M$185+M$186</f>
        <v>-3.0088111604952701</v>
      </c>
      <c r="N90" s="1">
        <f ca="1">Table3[[#This Row],[OB Tot Scale]]*N$185+N$186</f>
        <v>4.0629619505858585</v>
      </c>
      <c r="O90" s="1">
        <f ca="1">Table3[[#This Row],[Weighted Scale]]*O$185+O$186</f>
        <v>-5.2495584403570632</v>
      </c>
      <c r="P90" s="1">
        <f ca="1">Table3[[#This Row],[OB Weighted Scale]]*P$185+P$186</f>
        <v>2.6285443960872641</v>
      </c>
      <c r="Q90" s="1">
        <f ca="1">Table3[[#This Row],[Z-score]]*Q$185+Q$186</f>
        <v>9.4788758482192428</v>
      </c>
      <c r="R90" s="1">
        <f ca="1">Table3[[#This Row],[OBMod Z-Score]]*R$185+R$186</f>
        <v>8.9626645461648558</v>
      </c>
      <c r="S90" s="1">
        <f ca="1">AVERAGE(Table3[[#This Row],[Tot Value]:[OB Z Value]])</f>
        <v>2.812446190034148</v>
      </c>
      <c r="T90" s="1">
        <f>IF(Table1[[#This Row],[Included?]], (Table1[[#This Row],[I R]]-Data!S$188)/(Data!S$187-Data!S$188), "")</f>
        <v>0</v>
      </c>
      <c r="U90" s="1">
        <f>IF(Table1[[#This Row],[Included?]], (Table1[[#This Row],[I HR]]-Data!T$188)/(Data!T$187-Data!T$188), "")</f>
        <v>0.13546630360789652</v>
      </c>
      <c r="V90" s="1">
        <f>IF(Table1[[#This Row],[Included?]], (Table1[[#This Row],[I RBI]]-Data!U$188)/(Data!U$187-Data!U$188), "")</f>
        <v>0</v>
      </c>
      <c r="W90" s="1">
        <f>IF(Table1[[#This Row],[Included?]], (Table1[[#This Row],[I SB]]-Data!V$188)/(Data!V$187-Data!V$188), "")</f>
        <v>1</v>
      </c>
      <c r="X90" s="1">
        <f>IF(Table1[[#This Row],[Included?]], (Table1[[#This Row],[I OBP]]-Data!W$188)/(Data!W$187-Data!W$188), "")</f>
        <v>0</v>
      </c>
      <c r="Y90" s="1">
        <f>IF(Table1[[#This Row],[Included?]], (Table1[[#This Row],[I OB]]-Data!AA$188)/(Data!AA$187-Data!AA$188), "")</f>
        <v>9.6284732929352773E-2</v>
      </c>
      <c r="Z90" s="1">
        <f>IF(Table1[[#This Row],[Included?]], SUM(Table35[[#This Row],[I R Scale]:[I OBP Scale]]), "")</f>
        <v>1.1354663036078965</v>
      </c>
      <c r="AA90" s="1">
        <f>IF(Table1[[#This Row],[Included?]], SUM(Table35[[#This Row],[I R Scale]:[I SB Scale]],Table35[[#This Row],[I OB Scale]]), "")</f>
        <v>1.2317510365372493</v>
      </c>
      <c r="AB9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1.1354663036078965</v>
      </c>
      <c r="AC9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1.2510079831231198</v>
      </c>
      <c r="AD9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-3.2197814676592098</v>
      </c>
      <c r="AE9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-3.148794011627972</v>
      </c>
      <c r="AF90" s="1">
        <f ca="1">IF(Table1[[#This Row],[Included?]], Table35[[#This Row],[I Tot Scale]]*AF$185+AF$186, "")</f>
        <v>2.4347904284815272</v>
      </c>
      <c r="AG90" s="1">
        <f ca="1">IF(Table1[[#This Row],[Included?]], Table35[[#This Row],[I OB Tot Scale]]*AG$185+AG$186, "")</f>
        <v>10.185352736411543</v>
      </c>
      <c r="AH90" s="1">
        <f ca="1">IF(Table1[[#This Row],[Included?]], Table35[[#This Row],[I Weighted Scale]]*AH$185+AH$186, "")</f>
        <v>1.0093889086727579</v>
      </c>
      <c r="AI90" s="1">
        <f ca="1">IF(Table1[[#This Row],[Included?]], Table35[[#This Row],[I OB Weighted Scale]]*AI$185+AI$186, "")</f>
        <v>9.5083932900760644</v>
      </c>
      <c r="AJ90" s="1">
        <f ca="1">IF(Table1[[#This Row],[Included?]], Table35[[#This Row],[I Z-score]]*AJ$185+AJ$186, "")</f>
        <v>5.3825190866637573</v>
      </c>
      <c r="AK90" s="1">
        <f ca="1">IF(Table1[[#This Row],[Included?]], Table35[[#This Row],[I OBMod Z-Score]]*AK$185+AK$186, "")</f>
        <v>5.7298849177219751</v>
      </c>
      <c r="AL90" s="1">
        <f ca="1">IF(Table1[[#This Row],[Included?]], AVERAGE(Table35[[#This Row],[I Tot Value]:[I OB Z Value]]), "")</f>
        <v>5.7083882280046039</v>
      </c>
    </row>
    <row r="91" spans="1:38" hidden="1" x14ac:dyDescent="0.25">
      <c r="A91" s="1">
        <f>(Table1[[#This Row],[R]]-Data!H$188)/(Data!H$187-Data!H$188)</f>
        <v>0.38011363636363643</v>
      </c>
      <c r="B91" s="1">
        <f>(Table1[[#This Row],[HR]]-Data!I$188)/(Data!I$187-Data!I$188)</f>
        <v>0.41865214431586101</v>
      </c>
      <c r="C91" s="1">
        <f>(Table1[[#This Row],[RBI]]-Data!J$188)/(Data!J$187-Data!J$188)</f>
        <v>0.48953854972771554</v>
      </c>
      <c r="D91" s="1">
        <f>(Table1[[#This Row],[SB]]-Data!K$188)/(Data!K$187-Data!K$188)</f>
        <v>9.7867001254705127E-2</v>
      </c>
      <c r="E91" s="1">
        <f>(Table1[[#This Row],[OBP]]-Data!L$188)/(Data!L$187-Data!L$188)</f>
        <v>0.44587094268529448</v>
      </c>
      <c r="F91" s="1">
        <f>(Table1[[#This Row],[OB]]-Data!P$188)/(Data!P$187-Data!P$188)</f>
        <v>0.48699973165260518</v>
      </c>
      <c r="G91" s="1">
        <f>SUM(Table3[[#This Row],[R Scale]:[OBP Scale]])</f>
        <v>1.8320422743472127</v>
      </c>
      <c r="H91" s="1">
        <f>SUM(Table3[[#This Row],[R Scale]:[SB Scale]],Table3[[#This Row],[OB Scale]])</f>
        <v>1.8731710633145233</v>
      </c>
      <c r="I91" s="1">
        <f>Table3[[#This Row],[R Scale]]*Data!B$192+Table3[[#This Row],[HR Scale]]*Data!C$192+Table3[[#This Row],[RBI Scale]]*Data!D$192+Table3[[#This Row],[SB Scale]]*Data!E$192+Table3[[#This Row],[OBP Scale]]*Data!F$192</f>
        <v>1.9811128091934509</v>
      </c>
      <c r="J91" s="1">
        <f>Table3[[#This Row],[R Scale]]*Data!B$192+Table3[[#This Row],[HR Scale]]*Data!C$192+Table3[[#This Row],[RBI Scale]]*Data!D$192+Table3[[#This Row],[SB Scale]]*Data!E$192+Table3[[#This Row],[OB Scale]]*Data!F$192</f>
        <v>2.0304673559542237</v>
      </c>
      <c r="K9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-0.12128720156054744</v>
      </c>
      <c r="L9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-0.15431876092305416</v>
      </c>
      <c r="M91" s="1">
        <f ca="1">Table3[[#This Row],[Tot Scale]]*M$185+M$186</f>
        <v>1.2000587546716446</v>
      </c>
      <c r="N91" s="1">
        <f ca="1">Table3[[#This Row],[OB Tot Scale]]*N$185+N$186</f>
        <v>0.79559687038612026</v>
      </c>
      <c r="O91" s="1">
        <f ca="1">Table3[[#This Row],[Weighted Scale]]*O$185+O$186</f>
        <v>1.9441111076097286</v>
      </c>
      <c r="P91" s="1">
        <f ca="1">Table3[[#This Row],[OB Weighted Scale]]*P$185+P$186</f>
        <v>1.4296233274045136</v>
      </c>
      <c r="Q91" s="1">
        <f ca="1">Table3[[#This Row],[Z-score]]*Q$185+Q$186</f>
        <v>0.51503696127345533</v>
      </c>
      <c r="R91" s="1">
        <f ca="1">Table3[[#This Row],[OBMod Z-Score]]*R$185+R$186</f>
        <v>0.52837563592890158</v>
      </c>
      <c r="S91" s="1">
        <f ca="1">AVERAGE(Table3[[#This Row],[Tot Value]:[OB Z Value]])</f>
        <v>1.0688004428790607</v>
      </c>
      <c r="T91" s="1">
        <f>IF(Table1[[#This Row],[Included?]], (Table1[[#This Row],[I R]]-Data!S$188)/(Data!S$187-Data!S$188), "")</f>
        <v>0.21651705565529628</v>
      </c>
      <c r="U91" s="1">
        <f>IF(Table1[[#This Row],[Included?]], (Table1[[#This Row],[I HR]]-Data!T$188)/(Data!T$187-Data!T$188), "")</f>
        <v>0.41865214431586101</v>
      </c>
      <c r="V91" s="1">
        <f>IF(Table1[[#This Row],[Included?]], (Table1[[#This Row],[I RBI]]-Data!U$188)/(Data!U$187-Data!U$188), "")</f>
        <v>0.35750360750360743</v>
      </c>
      <c r="W91" s="1">
        <f>IF(Table1[[#This Row],[Included?]], (Table1[[#This Row],[I SB]]-Data!V$188)/(Data!V$187-Data!V$188), "")</f>
        <v>9.7867001254705127E-2</v>
      </c>
      <c r="X91" s="1">
        <f>IF(Table1[[#This Row],[Included?]], (Table1[[#This Row],[I OBP]]-Data!W$188)/(Data!W$187-Data!W$188), "")</f>
        <v>0.33373687944561559</v>
      </c>
      <c r="Y91" s="1">
        <f>IF(Table1[[#This Row],[Included?]], (Table1[[#This Row],[I OB]]-Data!AA$188)/(Data!AA$187-Data!AA$188), "")</f>
        <v>0.2102239059053104</v>
      </c>
      <c r="Z91" s="1">
        <f>IF(Table1[[#This Row],[Included?]], SUM(Table35[[#This Row],[I R Scale]:[I OBP Scale]]), "")</f>
        <v>1.4242766881750852</v>
      </c>
      <c r="AA91" s="1">
        <f>IF(Table1[[#This Row],[Included?]], SUM(Table35[[#This Row],[I R Scale]:[I SB Scale]],Table35[[#This Row],[I OB Scale]]), "")</f>
        <v>1.3007637146347801</v>
      </c>
      <c r="AB9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1.5408730799994004</v>
      </c>
      <c r="AC9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1.392657511751034</v>
      </c>
      <c r="AD9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-2.7051692352941314</v>
      </c>
      <c r="AE9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-2.6529354914049619</v>
      </c>
      <c r="AF91" s="1">
        <f ca="1">IF(Table1[[#This Row],[Included?]], Table35[[#This Row],[I Tot Scale]]*AF$185+AF$186, "")</f>
        <v>8.5514260722773976</v>
      </c>
      <c r="AG91" s="1">
        <f ca="1">IF(Table1[[#This Row],[Included?]], Table35[[#This Row],[I OB Tot Scale]]*AG$185+AG$186, "")</f>
        <v>11.270580200106194</v>
      </c>
      <c r="AH91" s="1">
        <f ca="1">IF(Table1[[#This Row],[Included?]], Table35[[#This Row],[I Weighted Scale]]*AH$185+AH$186, "")</f>
        <v>9.006799488747145</v>
      </c>
      <c r="AI91" s="1">
        <f ca="1">IF(Table1[[#This Row],[Included?]], Table35[[#This Row],[I OB Weighted Scale]]*AI$185+AI$186, "")</f>
        <v>11.582864574918617</v>
      </c>
      <c r="AJ91" s="1">
        <f ca="1">IF(Table1[[#This Row],[Included?]], Table35[[#This Row],[I Z-score]]*AJ$185+AJ$186, "")</f>
        <v>7.7188063657611892</v>
      </c>
      <c r="AK91" s="1">
        <f ca="1">IF(Table1[[#This Row],[Included?]], Table35[[#This Row],[I OBMod Z-Score]]*AK$185+AK$186, "")</f>
        <v>7.977081184603902</v>
      </c>
      <c r="AL91" s="1">
        <f ca="1">IF(Table1[[#This Row],[Included?]], AVERAGE(Table35[[#This Row],[I Tot Value]:[I OB Z Value]]), "")</f>
        <v>9.3512596477357413</v>
      </c>
    </row>
    <row r="92" spans="1:38" hidden="1" x14ac:dyDescent="0.25">
      <c r="A92" s="1">
        <f>(Table1[[#This Row],[R]]-Data!H$188)/(Data!H$187-Data!H$188)</f>
        <v>0.38636363636363635</v>
      </c>
      <c r="B92" s="1">
        <f>(Table1[[#This Row],[HR]]-Data!I$188)/(Data!I$187-Data!I$188)</f>
        <v>0.69094622191967314</v>
      </c>
      <c r="C92" s="1">
        <f>(Table1[[#This Row],[RBI]]-Data!J$188)/(Data!J$187-Data!J$188)</f>
        <v>0.51619375179134408</v>
      </c>
      <c r="D92" s="1">
        <f>(Table1[[#This Row],[SB]]-Data!K$188)/(Data!K$187-Data!K$188)</f>
        <v>1.5683814303638643E-2</v>
      </c>
      <c r="E92" s="1">
        <f>(Table1[[#This Row],[OBP]]-Data!L$188)/(Data!L$187-Data!L$188)</f>
        <v>0.48636291737589504</v>
      </c>
      <c r="F92" s="1">
        <f>(Table1[[#This Row],[OB]]-Data!P$188)/(Data!P$187-Data!P$188)</f>
        <v>0.39522519278686635</v>
      </c>
      <c r="G92" s="1">
        <f>SUM(Table3[[#This Row],[R Scale]:[OBP Scale]])</f>
        <v>2.0955503417541874</v>
      </c>
      <c r="H92" s="1">
        <f>SUM(Table3[[#This Row],[R Scale]:[SB Scale]],Table3[[#This Row],[OB Scale]])</f>
        <v>2.0044126171651584</v>
      </c>
      <c r="I92" s="1">
        <f>Table3[[#This Row],[R Scale]]*Data!B$192+Table3[[#This Row],[HR Scale]]*Data!C$192+Table3[[#This Row],[RBI Scale]]*Data!D$192+Table3[[#This Row],[SB Scale]]*Data!E$192+Table3[[#This Row],[OBP Scale]]*Data!F$192</f>
        <v>2.2574253119512715</v>
      </c>
      <c r="J92" s="1">
        <f>Table3[[#This Row],[R Scale]]*Data!B$192+Table3[[#This Row],[HR Scale]]*Data!C$192+Table3[[#This Row],[RBI Scale]]*Data!D$192+Table3[[#This Row],[SB Scale]]*Data!E$192+Table3[[#This Row],[OB Scale]]*Data!F$192</f>
        <v>2.1480600424444369</v>
      </c>
      <c r="K9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0.91642101641876583</v>
      </c>
      <c r="L9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0.85280597898122068</v>
      </c>
      <c r="M92" s="1">
        <f ca="1">Table3[[#This Row],[Tot Scale]]*M$185+M$186</f>
        <v>10.931897254727147</v>
      </c>
      <c r="N92" s="1">
        <f ca="1">Table3[[#This Row],[OB Tot Scale]]*N$185+N$186</f>
        <v>5.5817119958308012</v>
      </c>
      <c r="O92" s="1">
        <f ca="1">Table3[[#This Row],[Weighted Scale]]*O$185+O$186</f>
        <v>11.447675559059263</v>
      </c>
      <c r="P92" s="1">
        <f ca="1">Table3[[#This Row],[OB Weighted Scale]]*P$185+P$186</f>
        <v>5.4443113830761405</v>
      </c>
      <c r="Q92" s="1">
        <f ca="1">Table3[[#This Row],[Z-score]]*Q$185+Q$186</f>
        <v>8.1398699399466476</v>
      </c>
      <c r="R92" s="1">
        <f ca="1">Table3[[#This Row],[OBMod Z-Score]]*R$185+R$186</f>
        <v>7.8607586150903757</v>
      </c>
      <c r="S92" s="1">
        <f ca="1">AVERAGE(Table3[[#This Row],[Tot Value]:[OB Z Value]])</f>
        <v>8.2343707912883968</v>
      </c>
      <c r="T92" s="1" t="str">
        <f>IF(Table1[[#This Row],[Included?]], (Table1[[#This Row],[I R]]-Data!S$188)/(Data!S$187-Data!S$188), "")</f>
        <v/>
      </c>
      <c r="U92" s="1" t="str">
        <f>IF(Table1[[#This Row],[Included?]], (Table1[[#This Row],[I HR]]-Data!T$188)/(Data!T$187-Data!T$188), "")</f>
        <v/>
      </c>
      <c r="V92" s="1" t="str">
        <f>IF(Table1[[#This Row],[Included?]], (Table1[[#This Row],[I RBI]]-Data!U$188)/(Data!U$187-Data!U$188), "")</f>
        <v/>
      </c>
      <c r="W92" s="1" t="str">
        <f>IF(Table1[[#This Row],[Included?]], (Table1[[#This Row],[I SB]]-Data!V$188)/(Data!V$187-Data!V$188), "")</f>
        <v/>
      </c>
      <c r="X92" s="1" t="str">
        <f>IF(Table1[[#This Row],[Included?]], (Table1[[#This Row],[I OBP]]-Data!W$188)/(Data!W$187-Data!W$188), "")</f>
        <v/>
      </c>
      <c r="Y92" s="1" t="str">
        <f>IF(Table1[[#This Row],[Included?]], (Table1[[#This Row],[I OB]]-Data!AA$188)/(Data!AA$187-Data!AA$188), "")</f>
        <v/>
      </c>
      <c r="Z92" s="1" t="str">
        <f>IF(Table1[[#This Row],[Included?]], SUM(Table35[[#This Row],[I R Scale]:[I OBP Scale]]), "")</f>
        <v/>
      </c>
      <c r="AA92" s="1" t="str">
        <f>IF(Table1[[#This Row],[Included?]], SUM(Table35[[#This Row],[I R Scale]:[I SB Scale]],Table35[[#This Row],[I OB Scale]]), "")</f>
        <v/>
      </c>
      <c r="AB9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2" s="1" t="str">
        <f>IF(Table1[[#This Row],[Included?]], Table35[[#This Row],[I Tot Scale]]*AF$185+AF$186, "")</f>
        <v/>
      </c>
      <c r="AG92" s="1" t="str">
        <f>IF(Table1[[#This Row],[Included?]], Table35[[#This Row],[I OB Tot Scale]]*AG$185+AG$186, "")</f>
        <v/>
      </c>
      <c r="AH92" s="1" t="str">
        <f>IF(Table1[[#This Row],[Included?]], Table35[[#This Row],[I Weighted Scale]]*AH$185+AH$186, "")</f>
        <v/>
      </c>
      <c r="AI92" s="1" t="str">
        <f>IF(Table1[[#This Row],[Included?]], Table35[[#This Row],[I OB Weighted Scale]]*AI$185+AI$186, "")</f>
        <v/>
      </c>
      <c r="AJ92" s="1" t="str">
        <f>IF(Table1[[#This Row],[Included?]], Table35[[#This Row],[I Z-score]]*AJ$185+AJ$186, "")</f>
        <v/>
      </c>
      <c r="AK92" s="1" t="str">
        <f>IF(Table1[[#This Row],[Included?]], Table35[[#This Row],[I OBMod Z-Score]]*AK$185+AK$186, "")</f>
        <v/>
      </c>
      <c r="AL92" s="1" t="str">
        <f>IF(Table1[[#This Row],[Included?]], AVERAGE(Table35[[#This Row],[I Tot Value]:[I OB Z Value]]), "")</f>
        <v/>
      </c>
    </row>
    <row r="93" spans="1:38" hidden="1" x14ac:dyDescent="0.25">
      <c r="A93" s="1">
        <f>(Table1[[#This Row],[R]]-Data!H$188)/(Data!H$187-Data!H$188)</f>
        <v>0.5832386363636366</v>
      </c>
      <c r="B93" s="1">
        <f>(Table1[[#This Row],[HR]]-Data!I$188)/(Data!I$187-Data!I$188)</f>
        <v>0.20966643975493532</v>
      </c>
      <c r="C93" s="1">
        <f>(Table1[[#This Row],[RBI]]-Data!J$188)/(Data!J$187-Data!J$188)</f>
        <v>0.32502149613069642</v>
      </c>
      <c r="D93" s="1">
        <f>(Table1[[#This Row],[SB]]-Data!K$188)/(Data!K$187-Data!K$188)</f>
        <v>0.11449184441656209</v>
      </c>
      <c r="E93" s="1">
        <f>(Table1[[#This Row],[OBP]]-Data!L$188)/(Data!L$187-Data!L$188)</f>
        <v>0.33268862270958344</v>
      </c>
      <c r="F93" s="1">
        <f>(Table1[[#This Row],[OB]]-Data!P$188)/(Data!P$187-Data!P$188)</f>
        <v>0.52177567493797516</v>
      </c>
      <c r="G93" s="1">
        <f>SUM(Table3[[#This Row],[R Scale]:[OBP Scale]])</f>
        <v>1.5651070393754138</v>
      </c>
      <c r="H93" s="1">
        <f>SUM(Table3[[#This Row],[R Scale]:[SB Scale]],Table3[[#This Row],[OB Scale]])</f>
        <v>1.7541940916038055</v>
      </c>
      <c r="I93" s="1">
        <f>Table3[[#This Row],[R Scale]]*Data!B$192+Table3[[#This Row],[HR Scale]]*Data!C$192+Table3[[#This Row],[RBI Scale]]*Data!D$192+Table3[[#This Row],[SB Scale]]*Data!E$192+Table3[[#This Row],[OBP Scale]]*Data!F$192</f>
        <v>1.638325199507106</v>
      </c>
      <c r="J93" s="1">
        <f>Table3[[#This Row],[R Scale]]*Data!B$192+Table3[[#This Row],[HR Scale]]*Data!C$192+Table3[[#This Row],[RBI Scale]]*Data!D$192+Table3[[#This Row],[SB Scale]]*Data!E$192+Table3[[#This Row],[OB Scale]]*Data!F$192</f>
        <v>1.8652296621811759</v>
      </c>
      <c r="K9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-1.341540923423389</v>
      </c>
      <c r="L9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-1.4224318027508644</v>
      </c>
      <c r="M93" s="1">
        <f ca="1">Table3[[#This Row],[Tot Scale]]*M$185+M$186</f>
        <v>-8.6583513588517249</v>
      </c>
      <c r="N93" s="1">
        <f ca="1">Table3[[#This Row],[OB Tot Scale]]*N$185+N$186</f>
        <v>-3.5432536474334455</v>
      </c>
      <c r="O93" s="1">
        <f ca="1">Table3[[#This Row],[Weighted Scale]]*O$185+O$186</f>
        <v>-9.8458155489765886</v>
      </c>
      <c r="P93" s="1">
        <f ca="1">Table3[[#This Row],[OB Weighted Scale]]*P$185+P$186</f>
        <v>-4.2116951536780007</v>
      </c>
      <c r="Q93" s="1">
        <f ca="1">Table3[[#This Row],[Z-score]]*Q$185+Q$186</f>
        <v>-8.4510969283918378</v>
      </c>
      <c r="R93" s="1">
        <f ca="1">Table3[[#This Row],[OBMod Z-Score]]*R$185+R$186</f>
        <v>-8.7041356063574344</v>
      </c>
      <c r="S93" s="1">
        <f ca="1">AVERAGE(Table3[[#This Row],[Tot Value]:[OB Z Value]])</f>
        <v>-7.2357247072815047</v>
      </c>
      <c r="T93" s="1" t="str">
        <f>IF(Table1[[#This Row],[Included?]], (Table1[[#This Row],[I R]]-Data!S$188)/(Data!S$187-Data!S$188), "")</f>
        <v/>
      </c>
      <c r="U93" s="1" t="str">
        <f>IF(Table1[[#This Row],[Included?]], (Table1[[#This Row],[I HR]]-Data!T$188)/(Data!T$187-Data!T$188), "")</f>
        <v/>
      </c>
      <c r="V93" s="1" t="str">
        <f>IF(Table1[[#This Row],[Included?]], (Table1[[#This Row],[I RBI]]-Data!U$188)/(Data!U$187-Data!U$188), "")</f>
        <v/>
      </c>
      <c r="W93" s="1" t="str">
        <f>IF(Table1[[#This Row],[Included?]], (Table1[[#This Row],[I SB]]-Data!V$188)/(Data!V$187-Data!V$188), "")</f>
        <v/>
      </c>
      <c r="X93" s="1" t="str">
        <f>IF(Table1[[#This Row],[Included?]], (Table1[[#This Row],[I OBP]]-Data!W$188)/(Data!W$187-Data!W$188), "")</f>
        <v/>
      </c>
      <c r="Y93" s="1" t="str">
        <f>IF(Table1[[#This Row],[Included?]], (Table1[[#This Row],[I OB]]-Data!AA$188)/(Data!AA$187-Data!AA$188), "")</f>
        <v/>
      </c>
      <c r="Z93" s="1" t="str">
        <f>IF(Table1[[#This Row],[Included?]], SUM(Table35[[#This Row],[I R Scale]:[I OBP Scale]]), "")</f>
        <v/>
      </c>
      <c r="AA93" s="1" t="str">
        <f>IF(Table1[[#This Row],[Included?]], SUM(Table35[[#This Row],[I R Scale]:[I SB Scale]],Table35[[#This Row],[I OB Scale]]), "")</f>
        <v/>
      </c>
      <c r="AB9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3" s="1" t="str">
        <f>IF(Table1[[#This Row],[Included?]], Table35[[#This Row],[I Tot Scale]]*AF$185+AF$186, "")</f>
        <v/>
      </c>
      <c r="AG93" s="1" t="str">
        <f>IF(Table1[[#This Row],[Included?]], Table35[[#This Row],[I OB Tot Scale]]*AG$185+AG$186, "")</f>
        <v/>
      </c>
      <c r="AH93" s="1" t="str">
        <f>IF(Table1[[#This Row],[Included?]], Table35[[#This Row],[I Weighted Scale]]*AH$185+AH$186, "")</f>
        <v/>
      </c>
      <c r="AI93" s="1" t="str">
        <f>IF(Table1[[#This Row],[Included?]], Table35[[#This Row],[I OB Weighted Scale]]*AI$185+AI$186, "")</f>
        <v/>
      </c>
      <c r="AJ93" s="1" t="str">
        <f>IF(Table1[[#This Row],[Included?]], Table35[[#This Row],[I Z-score]]*AJ$185+AJ$186, "")</f>
        <v/>
      </c>
      <c r="AK93" s="1" t="str">
        <f>IF(Table1[[#This Row],[Included?]], Table35[[#This Row],[I OBMod Z-Score]]*AK$185+AK$186, "")</f>
        <v/>
      </c>
      <c r="AL93" s="1" t="str">
        <f>IF(Table1[[#This Row],[Included?]], AVERAGE(Table35[[#This Row],[I Tot Value]:[I OB Z Value]]), "")</f>
        <v/>
      </c>
    </row>
    <row r="94" spans="1:38" hidden="1" x14ac:dyDescent="0.25">
      <c r="A94" s="1">
        <f>(Table1[[#This Row],[R]]-Data!H$188)/(Data!H$187-Data!H$188)</f>
        <v>0.36590909090909102</v>
      </c>
      <c r="B94" s="1">
        <f>(Table1[[#This Row],[HR]]-Data!I$188)/(Data!I$187-Data!I$188)</f>
        <v>0.41592920353982299</v>
      </c>
      <c r="C94" s="1">
        <f>(Table1[[#This Row],[RBI]]-Data!J$188)/(Data!J$187-Data!J$188)</f>
        <v>0.49039839495557458</v>
      </c>
      <c r="D94" s="1">
        <f>(Table1[[#This Row],[SB]]-Data!K$188)/(Data!K$187-Data!K$188)</f>
        <v>4.2659974905897104E-2</v>
      </c>
      <c r="E94" s="1">
        <f>(Table1[[#This Row],[OBP]]-Data!L$188)/(Data!L$187-Data!L$188)</f>
        <v>0.49614311041609754</v>
      </c>
      <c r="F94" s="1">
        <f>(Table1[[#This Row],[OB]]-Data!P$188)/(Data!P$187-Data!P$188)</f>
        <v>0.51060517241846703</v>
      </c>
      <c r="G94" s="1">
        <f>SUM(Table3[[#This Row],[R Scale]:[OBP Scale]])</f>
        <v>1.8110397747264833</v>
      </c>
      <c r="H94" s="1">
        <f>SUM(Table3[[#This Row],[R Scale]:[SB Scale]],Table3[[#This Row],[OB Scale]])</f>
        <v>1.8255018367288527</v>
      </c>
      <c r="I94" s="1">
        <f>Table3[[#This Row],[R Scale]]*Data!B$192+Table3[[#This Row],[HR Scale]]*Data!C$192+Table3[[#This Row],[RBI Scale]]*Data!D$192+Table3[[#This Row],[SB Scale]]*Data!E$192+Table3[[#This Row],[OBP Scale]]*Data!F$192</f>
        <v>1.9717571667099085</v>
      </c>
      <c r="J94" s="1">
        <f>Table3[[#This Row],[R Scale]]*Data!B$192+Table3[[#This Row],[HR Scale]]*Data!C$192+Table3[[#This Row],[RBI Scale]]*Data!D$192+Table3[[#This Row],[SB Scale]]*Data!E$192+Table3[[#This Row],[OB Scale]]*Data!F$192</f>
        <v>1.9891116411127518</v>
      </c>
      <c r="K9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-0.30752609232780415</v>
      </c>
      <c r="L9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-0.34242873564896914</v>
      </c>
      <c r="M94" s="1">
        <f ca="1">Table3[[#This Row],[Tot Scale]]*M$185+M$186</f>
        <v>0.42439774202134117</v>
      </c>
      <c r="N94" s="1">
        <f ca="1">Table3[[#This Row],[OB Tot Scale]]*N$185+N$186</f>
        <v>-0.94280380901749083</v>
      </c>
      <c r="O94" s="1">
        <f ca="1">Table3[[#This Row],[Weighted Scale]]*O$185+O$186</f>
        <v>1.6223306943470135</v>
      </c>
      <c r="P94" s="1">
        <f ca="1">Table3[[#This Row],[OB Weighted Scale]]*P$185+P$186</f>
        <v>1.771328977102371E-2</v>
      </c>
      <c r="Q94" s="1">
        <f ca="1">Table3[[#This Row],[Z-score]]*Q$185+Q$186</f>
        <v>-0.85340207739859064</v>
      </c>
      <c r="R94" s="1">
        <f ca="1">Table3[[#This Row],[OBMod Z-Score]]*R$185+R$186</f>
        <v>-0.84116114758998339</v>
      </c>
      <c r="S94" s="1">
        <f ca="1">AVERAGE(Table3[[#This Row],[Tot Value]:[OB Z Value]])</f>
        <v>-9.5487551311114416E-2</v>
      </c>
      <c r="T94" s="1" t="str">
        <f>IF(Table1[[#This Row],[Included?]], (Table1[[#This Row],[I R]]-Data!S$188)/(Data!S$187-Data!S$188), "")</f>
        <v/>
      </c>
      <c r="U94" s="1" t="str">
        <f>IF(Table1[[#This Row],[Included?]], (Table1[[#This Row],[I HR]]-Data!T$188)/(Data!T$187-Data!T$188), "")</f>
        <v/>
      </c>
      <c r="V94" s="1" t="str">
        <f>IF(Table1[[#This Row],[Included?]], (Table1[[#This Row],[I RBI]]-Data!U$188)/(Data!U$187-Data!U$188), "")</f>
        <v/>
      </c>
      <c r="W94" s="1" t="str">
        <f>IF(Table1[[#This Row],[Included?]], (Table1[[#This Row],[I SB]]-Data!V$188)/(Data!V$187-Data!V$188), "")</f>
        <v/>
      </c>
      <c r="X94" s="1" t="str">
        <f>IF(Table1[[#This Row],[Included?]], (Table1[[#This Row],[I OBP]]-Data!W$188)/(Data!W$187-Data!W$188), "")</f>
        <v/>
      </c>
      <c r="Y94" s="1" t="str">
        <f>IF(Table1[[#This Row],[Included?]], (Table1[[#This Row],[I OB]]-Data!AA$188)/(Data!AA$187-Data!AA$188), "")</f>
        <v/>
      </c>
      <c r="Z94" s="1" t="str">
        <f>IF(Table1[[#This Row],[Included?]], SUM(Table35[[#This Row],[I R Scale]:[I OBP Scale]]), "")</f>
        <v/>
      </c>
      <c r="AA94" s="1" t="str">
        <f>IF(Table1[[#This Row],[Included?]], SUM(Table35[[#This Row],[I R Scale]:[I SB Scale]],Table35[[#This Row],[I OB Scale]]), "")</f>
        <v/>
      </c>
      <c r="AB9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4" s="1" t="str">
        <f>IF(Table1[[#This Row],[Included?]], Table35[[#This Row],[I Tot Scale]]*AF$185+AF$186, "")</f>
        <v/>
      </c>
      <c r="AG94" s="1" t="str">
        <f>IF(Table1[[#This Row],[Included?]], Table35[[#This Row],[I OB Tot Scale]]*AG$185+AG$186, "")</f>
        <v/>
      </c>
      <c r="AH94" s="1" t="str">
        <f>IF(Table1[[#This Row],[Included?]], Table35[[#This Row],[I Weighted Scale]]*AH$185+AH$186, "")</f>
        <v/>
      </c>
      <c r="AI94" s="1" t="str">
        <f>IF(Table1[[#This Row],[Included?]], Table35[[#This Row],[I OB Weighted Scale]]*AI$185+AI$186, "")</f>
        <v/>
      </c>
      <c r="AJ94" s="1" t="str">
        <f>IF(Table1[[#This Row],[Included?]], Table35[[#This Row],[I Z-score]]*AJ$185+AJ$186, "")</f>
        <v/>
      </c>
      <c r="AK94" s="1" t="str">
        <f>IF(Table1[[#This Row],[Included?]], Table35[[#This Row],[I OBMod Z-Score]]*AK$185+AK$186, "")</f>
        <v/>
      </c>
      <c r="AL94" s="1" t="str">
        <f>IF(Table1[[#This Row],[Included?]], AVERAGE(Table35[[#This Row],[I Tot Value]:[I OB Z Value]]), "")</f>
        <v/>
      </c>
    </row>
    <row r="95" spans="1:38" hidden="1" x14ac:dyDescent="0.25">
      <c r="A95" s="1">
        <f>(Table1[[#This Row],[R]]-Data!H$188)/(Data!H$187-Data!H$188)</f>
        <v>0.39232954545454546</v>
      </c>
      <c r="B95" s="1">
        <f>(Table1[[#This Row],[HR]]-Data!I$188)/(Data!I$187-Data!I$188)</f>
        <v>0.63376446562287259</v>
      </c>
      <c r="C95" s="1">
        <f>(Table1[[#This Row],[RBI]]-Data!J$188)/(Data!J$187-Data!J$188)</f>
        <v>0.44081398681570644</v>
      </c>
      <c r="D95" s="1">
        <f>(Table1[[#This Row],[SB]]-Data!K$188)/(Data!K$187-Data!K$188)</f>
        <v>2.1329987452948555E-2</v>
      </c>
      <c r="E95" s="1">
        <f>(Table1[[#This Row],[OBP]]-Data!L$188)/(Data!L$187-Data!L$188)</f>
        <v>0.19914078932895396</v>
      </c>
      <c r="F95" s="1">
        <f>(Table1[[#This Row],[OB]]-Data!P$188)/(Data!P$187-Data!P$188)</f>
        <v>0.4742331446911518</v>
      </c>
      <c r="G95" s="1">
        <f>SUM(Table3[[#This Row],[R Scale]:[OBP Scale]])</f>
        <v>1.6873787746750271</v>
      </c>
      <c r="H95" s="1">
        <f>SUM(Table3[[#This Row],[R Scale]:[SB Scale]],Table3[[#This Row],[OB Scale]])</f>
        <v>1.9624711300372248</v>
      </c>
      <c r="I95" s="1">
        <f>Table3[[#This Row],[R Scale]]*Data!B$192+Table3[[#This Row],[HR Scale]]*Data!C$192+Table3[[#This Row],[RBI Scale]]*Data!D$192+Table3[[#This Row],[SB Scale]]*Data!E$192+Table3[[#This Row],[OBP Scale]]*Data!F$192</f>
        <v>1.7761367753585044</v>
      </c>
      <c r="J95" s="1">
        <f>Table3[[#This Row],[R Scale]]*Data!B$192+Table3[[#This Row],[HR Scale]]*Data!C$192+Table3[[#This Row],[RBI Scale]]*Data!D$192+Table3[[#This Row],[SB Scale]]*Data!E$192+Table3[[#This Row],[OB Scale]]*Data!F$192</f>
        <v>2.1062476017931417</v>
      </c>
      <c r="K9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-1.2481084353627139</v>
      </c>
      <c r="L9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-1.4100605022059913</v>
      </c>
      <c r="M95" s="1">
        <f ca="1">Table3[[#This Row],[Tot Scale]]*M$185+M$186</f>
        <v>-4.1426308620686498</v>
      </c>
      <c r="N95" s="1">
        <f ca="1">Table3[[#This Row],[OB Tot Scale]]*N$185+N$186</f>
        <v>4.0521904377798847</v>
      </c>
      <c r="O95" s="1">
        <f ca="1">Table3[[#This Row],[Weighted Scale]]*O$185+O$186</f>
        <v>-5.1058881834476182</v>
      </c>
      <c r="P95" s="1">
        <f ca="1">Table3[[#This Row],[OB Weighted Scale]]*P$185+P$186</f>
        <v>4.0168084398960531</v>
      </c>
      <c r="Q95" s="1">
        <f ca="1">Table3[[#This Row],[Z-score]]*Q$185+Q$186</f>
        <v>-7.764577245978832</v>
      </c>
      <c r="R95" s="1">
        <f ca="1">Table3[[#This Row],[OBMod Z-Score]]*R$185+R$186</f>
        <v>-8.6140662138073711</v>
      </c>
      <c r="S95" s="1">
        <f ca="1">AVERAGE(Table3[[#This Row],[Tot Value]:[OB Z Value]])</f>
        <v>-2.9263606046044224</v>
      </c>
      <c r="T95" s="1" t="str">
        <f>IF(Table1[[#This Row],[Included?]], (Table1[[#This Row],[I R]]-Data!S$188)/(Data!S$187-Data!S$188), "")</f>
        <v/>
      </c>
      <c r="U95" s="1" t="str">
        <f>IF(Table1[[#This Row],[Included?]], (Table1[[#This Row],[I HR]]-Data!T$188)/(Data!T$187-Data!T$188), "")</f>
        <v/>
      </c>
      <c r="V95" s="1" t="str">
        <f>IF(Table1[[#This Row],[Included?]], (Table1[[#This Row],[I RBI]]-Data!U$188)/(Data!U$187-Data!U$188), "")</f>
        <v/>
      </c>
      <c r="W95" s="1" t="str">
        <f>IF(Table1[[#This Row],[Included?]], (Table1[[#This Row],[I SB]]-Data!V$188)/(Data!V$187-Data!V$188), "")</f>
        <v/>
      </c>
      <c r="X95" s="1" t="str">
        <f>IF(Table1[[#This Row],[Included?]], (Table1[[#This Row],[I OBP]]-Data!W$188)/(Data!W$187-Data!W$188), "")</f>
        <v/>
      </c>
      <c r="Y95" s="1" t="str">
        <f>IF(Table1[[#This Row],[Included?]], (Table1[[#This Row],[I OB]]-Data!AA$188)/(Data!AA$187-Data!AA$188), "")</f>
        <v/>
      </c>
      <c r="Z95" s="1" t="str">
        <f>IF(Table1[[#This Row],[Included?]], SUM(Table35[[#This Row],[I R Scale]:[I OBP Scale]]), "")</f>
        <v/>
      </c>
      <c r="AA95" s="1" t="str">
        <f>IF(Table1[[#This Row],[Included?]], SUM(Table35[[#This Row],[I R Scale]:[I SB Scale]],Table35[[#This Row],[I OB Scale]]), "")</f>
        <v/>
      </c>
      <c r="AB9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5" s="1" t="str">
        <f>IF(Table1[[#This Row],[Included?]], Table35[[#This Row],[I Tot Scale]]*AF$185+AF$186, "")</f>
        <v/>
      </c>
      <c r="AG95" s="1" t="str">
        <f>IF(Table1[[#This Row],[Included?]], Table35[[#This Row],[I OB Tot Scale]]*AG$185+AG$186, "")</f>
        <v/>
      </c>
      <c r="AH95" s="1" t="str">
        <f>IF(Table1[[#This Row],[Included?]], Table35[[#This Row],[I Weighted Scale]]*AH$185+AH$186, "")</f>
        <v/>
      </c>
      <c r="AI95" s="1" t="str">
        <f>IF(Table1[[#This Row],[Included?]], Table35[[#This Row],[I OB Weighted Scale]]*AI$185+AI$186, "")</f>
        <v/>
      </c>
      <c r="AJ95" s="1" t="str">
        <f>IF(Table1[[#This Row],[Included?]], Table35[[#This Row],[I Z-score]]*AJ$185+AJ$186, "")</f>
        <v/>
      </c>
      <c r="AK95" s="1" t="str">
        <f>IF(Table1[[#This Row],[Included?]], Table35[[#This Row],[I OBMod Z-Score]]*AK$185+AK$186, "")</f>
        <v/>
      </c>
      <c r="AL95" s="1" t="str">
        <f>IF(Table1[[#This Row],[Included?]], AVERAGE(Table35[[#This Row],[I Tot Value]:[I OB Z Value]]), "")</f>
        <v/>
      </c>
    </row>
    <row r="96" spans="1:38" hidden="1" x14ac:dyDescent="0.25">
      <c r="A96" s="1">
        <f>(Table1[[#This Row],[R]]-Data!H$188)/(Data!H$187-Data!H$188)</f>
        <v>0.4363636363636364</v>
      </c>
      <c r="B96" s="1">
        <f>(Table1[[#This Row],[HR]]-Data!I$188)/(Data!I$187-Data!I$188)</f>
        <v>0.24029952348536421</v>
      </c>
      <c r="C96" s="1">
        <f>(Table1[[#This Row],[RBI]]-Data!J$188)/(Data!J$187-Data!J$188)</f>
        <v>0.24734881054743479</v>
      </c>
      <c r="D96" s="1">
        <f>(Table1[[#This Row],[SB]]-Data!K$188)/(Data!K$187-Data!K$188)</f>
        <v>0.44447929736511904</v>
      </c>
      <c r="E96" s="1">
        <f>(Table1[[#This Row],[OBP]]-Data!L$188)/(Data!L$187-Data!L$188)</f>
        <v>0.4990791706838168</v>
      </c>
      <c r="F96" s="1">
        <f>(Table1[[#This Row],[OB]]-Data!P$188)/(Data!P$187-Data!P$188)</f>
        <v>0.44599182252435382</v>
      </c>
      <c r="G96" s="1">
        <f>SUM(Table3[[#This Row],[R Scale]:[OBP Scale]])</f>
        <v>1.8675704384453713</v>
      </c>
      <c r="H96" s="1">
        <f>SUM(Table3[[#This Row],[R Scale]:[SB Scale]],Table3[[#This Row],[OB Scale]])</f>
        <v>1.8144830902859082</v>
      </c>
      <c r="I96" s="1">
        <f>Table3[[#This Row],[R Scale]]*Data!B$192+Table3[[#This Row],[HR Scale]]*Data!C$192+Table3[[#This Row],[RBI Scale]]*Data!D$192+Table3[[#This Row],[SB Scale]]*Data!E$192+Table3[[#This Row],[OBP Scale]]*Data!F$192</f>
        <v>1.9732196710552579</v>
      </c>
      <c r="J96" s="1">
        <f>Table3[[#This Row],[R Scale]]*Data!B$192+Table3[[#This Row],[HR Scale]]*Data!C$192+Table3[[#This Row],[RBI Scale]]*Data!D$192+Table3[[#This Row],[SB Scale]]*Data!E$192+Table3[[#This Row],[OB Scale]]*Data!F$192</f>
        <v>1.9095148532639024</v>
      </c>
      <c r="K9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0.90408630789041289</v>
      </c>
      <c r="L9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0.84730021945247924</v>
      </c>
      <c r="M96" s="1">
        <f ca="1">Table3[[#This Row],[Tot Scale]]*M$185+M$186</f>
        <v>2.5121793231578806</v>
      </c>
      <c r="N96" s="1">
        <f ca="1">Table3[[#This Row],[OB Tot Scale]]*N$185+N$186</f>
        <v>-1.3446352981054304</v>
      </c>
      <c r="O96" s="1">
        <f ca="1">Table3[[#This Row],[Weighted Scale]]*O$185+O$186</f>
        <v>1.6726324511181758</v>
      </c>
      <c r="P96" s="1">
        <f ca="1">Table3[[#This Row],[OB Weighted Scale]]*P$185+P$186</f>
        <v>-2.6997709601801887</v>
      </c>
      <c r="Q96" s="1">
        <f ca="1">Table3[[#This Row],[Z-score]]*Q$185+Q$186</f>
        <v>8.0492374377270473</v>
      </c>
      <c r="R96" s="1">
        <f ca="1">Table3[[#This Row],[OBMod Z-Score]]*R$185+R$186</f>
        <v>7.8206738710101771</v>
      </c>
      <c r="S96" s="1">
        <f ca="1">AVERAGE(Table3[[#This Row],[Tot Value]:[OB Z Value]])</f>
        <v>2.6683861374546098</v>
      </c>
      <c r="T96" s="1">
        <f>IF(Table1[[#This Row],[Included?]], (Table1[[#This Row],[I R]]-Data!S$188)/(Data!S$187-Data!S$188), "")</f>
        <v>0.2876122082585279</v>
      </c>
      <c r="U96" s="1">
        <f>IF(Table1[[#This Row],[Included?]], (Table1[[#This Row],[I HR]]-Data!T$188)/(Data!T$187-Data!T$188), "")</f>
        <v>0.24029952348536421</v>
      </c>
      <c r="V96" s="1">
        <f>IF(Table1[[#This Row],[Included?]], (Table1[[#This Row],[I RBI]]-Data!U$188)/(Data!U$187-Data!U$188), "")</f>
        <v>5.2669552669552713E-2</v>
      </c>
      <c r="W96" s="1">
        <f>IF(Table1[[#This Row],[Included?]], (Table1[[#This Row],[I SB]]-Data!V$188)/(Data!V$187-Data!V$188), "")</f>
        <v>0.44447929736511904</v>
      </c>
      <c r="X96" s="1">
        <f>IF(Table1[[#This Row],[Included?]], (Table1[[#This Row],[I OBP]]-Data!W$188)/(Data!W$187-Data!W$188), "")</f>
        <v>0.39771237316409647</v>
      </c>
      <c r="Y96" s="1">
        <f>IF(Table1[[#This Row],[Included?]], (Table1[[#This Row],[I OB]]-Data!AA$188)/(Data!AA$187-Data!AA$188), "")</f>
        <v>0.14709125608695112</v>
      </c>
      <c r="Z96" s="1">
        <f>IF(Table1[[#This Row],[Included?]], SUM(Table35[[#This Row],[I R Scale]:[I OBP Scale]]), "")</f>
        <v>1.4227729549426602</v>
      </c>
      <c r="AA96" s="1">
        <f>IF(Table1[[#This Row],[Included?]], SUM(Table35[[#This Row],[I R Scale]:[I SB Scale]],Table35[[#This Row],[I OB Scale]]), "")</f>
        <v>1.1721518378655149</v>
      </c>
      <c r="AB96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1.4840881192835371</v>
      </c>
      <c r="AC96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1.1833427787909629</v>
      </c>
      <c r="AD9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-2.0632267752971654</v>
      </c>
      <c r="AE96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-2.0171210133056197</v>
      </c>
      <c r="AF96" s="1">
        <f ca="1">IF(Table1[[#This Row],[Included?]], Table35[[#This Row],[I Tot Scale]]*AF$185+AF$186, "")</f>
        <v>8.5195789200290655</v>
      </c>
      <c r="AG96" s="1">
        <f ca="1">IF(Table1[[#This Row],[Included?]], Table35[[#This Row],[I OB Tot Scale]]*AG$185+AG$186, "")</f>
        <v>9.2481526596176256</v>
      </c>
      <c r="AH96" s="1">
        <f ca="1">IF(Table1[[#This Row],[Included?]], Table35[[#This Row],[I Weighted Scale]]*AH$185+AH$186, "")</f>
        <v>7.8866094177760715</v>
      </c>
      <c r="AI96" s="1">
        <f ca="1">IF(Table1[[#This Row],[Included?]], Table35[[#This Row],[I OB Weighted Scale]]*AI$185+AI$186, "")</f>
        <v>8.5174297144838924</v>
      </c>
      <c r="AJ96" s="1">
        <f ca="1">IF(Table1[[#This Row],[Included?]], Table35[[#This Row],[I Z-score]]*AJ$185+AJ$186, "")</f>
        <v>10.633159948673022</v>
      </c>
      <c r="AK96" s="1">
        <f ca="1">IF(Table1[[#This Row],[Included?]], Table35[[#This Row],[I OBMod Z-Score]]*AK$185+AK$186, "")</f>
        <v>10.85854810176351</v>
      </c>
      <c r="AL96" s="1">
        <f ca="1">IF(Table1[[#This Row],[Included?]], AVERAGE(Table35[[#This Row],[I Tot Value]:[I OB Z Value]]), "")</f>
        <v>9.2772464603905327</v>
      </c>
    </row>
    <row r="97" spans="1:38" hidden="1" x14ac:dyDescent="0.25">
      <c r="A97" s="1">
        <f>(Table1[[#This Row],[R]]-Data!H$188)/(Data!H$187-Data!H$188)</f>
        <v>0.54602272727272727</v>
      </c>
      <c r="B97" s="1">
        <f>(Table1[[#This Row],[HR]]-Data!I$188)/(Data!I$187-Data!I$188)</f>
        <v>0.14567733151803949</v>
      </c>
      <c r="C97" s="1">
        <f>(Table1[[#This Row],[RBI]]-Data!J$188)/(Data!J$187-Data!J$188)</f>
        <v>0.39466895958727433</v>
      </c>
      <c r="D97" s="1">
        <f>(Table1[[#This Row],[SB]]-Data!K$188)/(Data!K$187-Data!K$188)</f>
        <v>2.7603513174404008E-2</v>
      </c>
      <c r="E97" s="1">
        <f>(Table1[[#This Row],[OBP]]-Data!L$188)/(Data!L$187-Data!L$188)</f>
        <v>0.49869578741032389</v>
      </c>
      <c r="F97" s="1">
        <f>(Table1[[#This Row],[OB]]-Data!P$188)/(Data!P$187-Data!P$188)</f>
        <v>0.55140220199752965</v>
      </c>
      <c r="G97" s="1">
        <f>SUM(Table3[[#This Row],[R Scale]:[OBP Scale]])</f>
        <v>1.6126683189627691</v>
      </c>
      <c r="H97" s="1">
        <f>SUM(Table3[[#This Row],[R Scale]:[SB Scale]],Table3[[#This Row],[OB Scale]])</f>
        <v>1.6653747335499749</v>
      </c>
      <c r="I97" s="1">
        <f>Table3[[#This Row],[R Scale]]*Data!B$192+Table3[[#This Row],[HR Scale]]*Data!C$192+Table3[[#This Row],[RBI Scale]]*Data!D$192+Table3[[#This Row],[SB Scale]]*Data!E$192+Table3[[#This Row],[OBP Scale]]*Data!F$192</f>
        <v>1.7367389956350159</v>
      </c>
      <c r="J97" s="1">
        <f>Table3[[#This Row],[R Scale]]*Data!B$192+Table3[[#This Row],[HR Scale]]*Data!C$192+Table3[[#This Row],[RBI Scale]]*Data!D$192+Table3[[#This Row],[SB Scale]]*Data!E$192+Table3[[#This Row],[OB Scale]]*Data!F$192</f>
        <v>1.7999866931396626</v>
      </c>
      <c r="K9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-1.1579567080437385</v>
      </c>
      <c r="L9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-1.1800823300414138</v>
      </c>
      <c r="M97" s="1">
        <f ca="1">Table3[[#This Row],[Tot Scale]]*M$185+M$186</f>
        <v>-6.9018256617266118</v>
      </c>
      <c r="N97" s="1">
        <f ca="1">Table3[[#This Row],[OB Tot Scale]]*N$185+N$186</f>
        <v>-6.782316737904992</v>
      </c>
      <c r="O97" s="1">
        <f ca="1">Table3[[#This Row],[Weighted Scale]]*O$185+O$186</f>
        <v>-6.4609457183372072</v>
      </c>
      <c r="P97" s="1">
        <f ca="1">Table3[[#This Row],[OB Weighted Scale]]*P$185+P$186</f>
        <v>-6.4391310286915129</v>
      </c>
      <c r="Q97" s="1">
        <f ca="1">Table3[[#This Row],[Z-score]]*Q$185+Q$186</f>
        <v>-7.1021638125720825</v>
      </c>
      <c r="R97" s="1">
        <f ca="1">Table3[[#This Row],[OBMod Z-Score]]*R$185+R$186</f>
        <v>-6.9397075486449058</v>
      </c>
      <c r="S97" s="1">
        <f ca="1">AVERAGE(Table3[[#This Row],[Tot Value]:[OB Z Value]])</f>
        <v>-6.7710150846462183</v>
      </c>
      <c r="T97" s="1" t="str">
        <f>IF(Table1[[#This Row],[Included?]], (Table1[[#This Row],[I R]]-Data!S$188)/(Data!S$187-Data!S$188), "")</f>
        <v/>
      </c>
      <c r="U97" s="1" t="str">
        <f>IF(Table1[[#This Row],[Included?]], (Table1[[#This Row],[I HR]]-Data!T$188)/(Data!T$187-Data!T$188), "")</f>
        <v/>
      </c>
      <c r="V97" s="1" t="str">
        <f>IF(Table1[[#This Row],[Included?]], (Table1[[#This Row],[I RBI]]-Data!U$188)/(Data!U$187-Data!U$188), "")</f>
        <v/>
      </c>
      <c r="W97" s="1" t="str">
        <f>IF(Table1[[#This Row],[Included?]], (Table1[[#This Row],[I SB]]-Data!V$188)/(Data!V$187-Data!V$188), "")</f>
        <v/>
      </c>
      <c r="X97" s="1" t="str">
        <f>IF(Table1[[#This Row],[Included?]], (Table1[[#This Row],[I OBP]]-Data!W$188)/(Data!W$187-Data!W$188), "")</f>
        <v/>
      </c>
      <c r="Y97" s="1" t="str">
        <f>IF(Table1[[#This Row],[Included?]], (Table1[[#This Row],[I OB]]-Data!AA$188)/(Data!AA$187-Data!AA$188), "")</f>
        <v/>
      </c>
      <c r="Z97" s="1" t="str">
        <f>IF(Table1[[#This Row],[Included?]], SUM(Table35[[#This Row],[I R Scale]:[I OBP Scale]]), "")</f>
        <v/>
      </c>
      <c r="AA97" s="1" t="str">
        <f>IF(Table1[[#This Row],[Included?]], SUM(Table35[[#This Row],[I R Scale]:[I SB Scale]],Table35[[#This Row],[I OB Scale]]), "")</f>
        <v/>
      </c>
      <c r="AB9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7" s="1" t="str">
        <f>IF(Table1[[#This Row],[Included?]], Table35[[#This Row],[I Tot Scale]]*AF$185+AF$186, "")</f>
        <v/>
      </c>
      <c r="AG97" s="1" t="str">
        <f>IF(Table1[[#This Row],[Included?]], Table35[[#This Row],[I OB Tot Scale]]*AG$185+AG$186, "")</f>
        <v/>
      </c>
      <c r="AH97" s="1" t="str">
        <f>IF(Table1[[#This Row],[Included?]], Table35[[#This Row],[I Weighted Scale]]*AH$185+AH$186, "")</f>
        <v/>
      </c>
      <c r="AI97" s="1" t="str">
        <f>IF(Table1[[#This Row],[Included?]], Table35[[#This Row],[I OB Weighted Scale]]*AI$185+AI$186, "")</f>
        <v/>
      </c>
      <c r="AJ97" s="1" t="str">
        <f>IF(Table1[[#This Row],[Included?]], Table35[[#This Row],[I Z-score]]*AJ$185+AJ$186, "")</f>
        <v/>
      </c>
      <c r="AK97" s="1" t="str">
        <f>IF(Table1[[#This Row],[Included?]], Table35[[#This Row],[I OBMod Z-Score]]*AK$185+AK$186, "")</f>
        <v/>
      </c>
      <c r="AL97" s="1" t="str">
        <f>IF(Table1[[#This Row],[Included?]], AVERAGE(Table35[[#This Row],[I Tot Value]:[I OB Z Value]]), "")</f>
        <v/>
      </c>
    </row>
    <row r="98" spans="1:38" hidden="1" x14ac:dyDescent="0.25">
      <c r="A98" s="1">
        <f>(Table1[[#This Row],[R]]-Data!H$188)/(Data!H$187-Data!H$188)</f>
        <v>0.49801136363636372</v>
      </c>
      <c r="B98" s="1">
        <f>(Table1[[#This Row],[HR]]-Data!I$188)/(Data!I$187-Data!I$188)</f>
        <v>0.14771953710006805</v>
      </c>
      <c r="C98" s="1">
        <f>(Table1[[#This Row],[RBI]]-Data!J$188)/(Data!J$187-Data!J$188)</f>
        <v>0.29750644883920901</v>
      </c>
      <c r="D98" s="1">
        <f>(Table1[[#This Row],[SB]]-Data!K$188)/(Data!K$187-Data!K$188)</f>
        <v>0.14836888331242157</v>
      </c>
      <c r="E98" s="1">
        <f>(Table1[[#This Row],[OBP]]-Data!L$188)/(Data!L$187-Data!L$188)</f>
        <v>0.46580663665104211</v>
      </c>
      <c r="F98" s="1">
        <f>(Table1[[#This Row],[OB]]-Data!P$188)/(Data!P$187-Data!P$188)</f>
        <v>0.56560000153632306</v>
      </c>
      <c r="G98" s="1">
        <f>SUM(Table3[[#This Row],[R Scale]:[OBP Scale]])</f>
        <v>1.5574128695391043</v>
      </c>
      <c r="H98" s="1">
        <f>SUM(Table3[[#This Row],[R Scale]:[SB Scale]],Table3[[#This Row],[OB Scale]])</f>
        <v>1.6572062344243852</v>
      </c>
      <c r="I98" s="1">
        <f>Table3[[#This Row],[R Scale]]*Data!B$192+Table3[[#This Row],[HR Scale]]*Data!C$192+Table3[[#This Row],[RBI Scale]]*Data!D$192+Table3[[#This Row],[SB Scale]]*Data!E$192+Table3[[#This Row],[OBP Scale]]*Data!F$192</f>
        <v>1.6602743502735184</v>
      </c>
      <c r="J98" s="1">
        <f>Table3[[#This Row],[R Scale]]*Data!B$192+Table3[[#This Row],[HR Scale]]*Data!C$192+Table3[[#This Row],[RBI Scale]]*Data!D$192+Table3[[#This Row],[SB Scale]]*Data!E$192+Table3[[#This Row],[OB Scale]]*Data!F$192</f>
        <v>1.7800263881358553</v>
      </c>
      <c r="K9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-1.2100017378762711</v>
      </c>
      <c r="L9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-1.2341742436379328</v>
      </c>
      <c r="M98" s="1">
        <f ca="1">Table3[[#This Row],[Tot Scale]]*M$185+M$186</f>
        <v>-8.9425112290818731</v>
      </c>
      <c r="N98" s="1">
        <f ca="1">Table3[[#This Row],[OB Tot Scale]]*N$185+N$186</f>
        <v>-7.0802054482265717</v>
      </c>
      <c r="O98" s="1">
        <f ca="1">Table3[[#This Row],[Weighted Scale]]*O$185+O$186</f>
        <v>-9.0908907197298632</v>
      </c>
      <c r="P98" s="1">
        <f ca="1">Table3[[#This Row],[OB Weighted Scale]]*P$185+P$186</f>
        <v>-7.1205883580384111</v>
      </c>
      <c r="Q98" s="1">
        <f ca="1">Table3[[#This Row],[Z-score]]*Q$185+Q$186</f>
        <v>-7.4845783034352893</v>
      </c>
      <c r="R98" s="1">
        <f ca="1">Table3[[#This Row],[OBMod Z-Score]]*R$185+R$186</f>
        <v>-7.3335243330514608</v>
      </c>
      <c r="S98" s="1">
        <f ca="1">AVERAGE(Table3[[#This Row],[Tot Value]:[OB Z Value]])</f>
        <v>-7.8420497319272444</v>
      </c>
      <c r="T98" s="1" t="str">
        <f>IF(Table1[[#This Row],[Included?]], (Table1[[#This Row],[I R]]-Data!S$188)/(Data!S$187-Data!S$188), "")</f>
        <v/>
      </c>
      <c r="U98" s="1" t="str">
        <f>IF(Table1[[#This Row],[Included?]], (Table1[[#This Row],[I HR]]-Data!T$188)/(Data!T$187-Data!T$188), "")</f>
        <v/>
      </c>
      <c r="V98" s="1" t="str">
        <f>IF(Table1[[#This Row],[Included?]], (Table1[[#This Row],[I RBI]]-Data!U$188)/(Data!U$187-Data!U$188), "")</f>
        <v/>
      </c>
      <c r="W98" s="1" t="str">
        <f>IF(Table1[[#This Row],[Included?]], (Table1[[#This Row],[I SB]]-Data!V$188)/(Data!V$187-Data!V$188), "")</f>
        <v/>
      </c>
      <c r="X98" s="1" t="str">
        <f>IF(Table1[[#This Row],[Included?]], (Table1[[#This Row],[I OBP]]-Data!W$188)/(Data!W$187-Data!W$188), "")</f>
        <v/>
      </c>
      <c r="Y98" s="1" t="str">
        <f>IF(Table1[[#This Row],[Included?]], (Table1[[#This Row],[I OB]]-Data!AA$188)/(Data!AA$187-Data!AA$188), "")</f>
        <v/>
      </c>
      <c r="Z98" s="1" t="str">
        <f>IF(Table1[[#This Row],[Included?]], SUM(Table35[[#This Row],[I R Scale]:[I OBP Scale]]), "")</f>
        <v/>
      </c>
      <c r="AA98" s="1" t="str">
        <f>IF(Table1[[#This Row],[Included?]], SUM(Table35[[#This Row],[I R Scale]:[I SB Scale]],Table35[[#This Row],[I OB Scale]]), "")</f>
        <v/>
      </c>
      <c r="AB9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8" s="1" t="str">
        <f>IF(Table1[[#This Row],[Included?]], Table35[[#This Row],[I Tot Scale]]*AF$185+AF$186, "")</f>
        <v/>
      </c>
      <c r="AG98" s="1" t="str">
        <f>IF(Table1[[#This Row],[Included?]], Table35[[#This Row],[I OB Tot Scale]]*AG$185+AG$186, "")</f>
        <v/>
      </c>
      <c r="AH98" s="1" t="str">
        <f>IF(Table1[[#This Row],[Included?]], Table35[[#This Row],[I Weighted Scale]]*AH$185+AH$186, "")</f>
        <v/>
      </c>
      <c r="AI98" s="1" t="str">
        <f>IF(Table1[[#This Row],[Included?]], Table35[[#This Row],[I OB Weighted Scale]]*AI$185+AI$186, "")</f>
        <v/>
      </c>
      <c r="AJ98" s="1" t="str">
        <f>IF(Table1[[#This Row],[Included?]], Table35[[#This Row],[I Z-score]]*AJ$185+AJ$186, "")</f>
        <v/>
      </c>
      <c r="AK98" s="1" t="str">
        <f>IF(Table1[[#This Row],[Included?]], Table35[[#This Row],[I OBMod Z-Score]]*AK$185+AK$186, "")</f>
        <v/>
      </c>
      <c r="AL98" s="1" t="str">
        <f>IF(Table1[[#This Row],[Included?]], AVERAGE(Table35[[#This Row],[I Tot Value]:[I OB Z Value]]), "")</f>
        <v/>
      </c>
    </row>
    <row r="99" spans="1:38" hidden="1" x14ac:dyDescent="0.25">
      <c r="A99" s="1">
        <f>(Table1[[#This Row],[R]]-Data!H$188)/(Data!H$187-Data!H$188)</f>
        <v>0.38096590909090922</v>
      </c>
      <c r="B99" s="1">
        <f>(Table1[[#This Row],[HR]]-Data!I$188)/(Data!I$187-Data!I$188)</f>
        <v>0.32879509870660312</v>
      </c>
      <c r="C99" s="1">
        <f>(Table1[[#This Row],[RBI]]-Data!J$188)/(Data!J$187-Data!J$188)</f>
        <v>0.46460303811980508</v>
      </c>
      <c r="D99" s="1">
        <f>(Table1[[#This Row],[SB]]-Data!K$188)/(Data!K$187-Data!K$188)</f>
        <v>0.14460476787954829</v>
      </c>
      <c r="E99" s="1">
        <f>(Table1[[#This Row],[OBP]]-Data!L$188)/(Data!L$187-Data!L$188)</f>
        <v>0.37557623505778975</v>
      </c>
      <c r="F99" s="1">
        <f>(Table1[[#This Row],[OB]]-Data!P$188)/(Data!P$187-Data!P$188)</f>
        <v>0.48471068473227463</v>
      </c>
      <c r="G99" s="1">
        <f>SUM(Table3[[#This Row],[R Scale]:[OBP Scale]])</f>
        <v>1.6945450488546554</v>
      </c>
      <c r="H99" s="1">
        <f>SUM(Table3[[#This Row],[R Scale]:[SB Scale]],Table3[[#This Row],[OB Scale]])</f>
        <v>1.8036794985291402</v>
      </c>
      <c r="I99" s="1">
        <f>Table3[[#This Row],[R Scale]]*Data!B$192+Table3[[#This Row],[HR Scale]]*Data!C$192+Table3[[#This Row],[RBI Scale]]*Data!D$192+Table3[[#This Row],[SB Scale]]*Data!E$192+Table3[[#This Row],[OBP Scale]]*Data!F$192</f>
        <v>1.8244843125810837</v>
      </c>
      <c r="J99" s="1">
        <f>Table3[[#This Row],[R Scale]]*Data!B$192+Table3[[#This Row],[HR Scale]]*Data!C$192+Table3[[#This Row],[RBI Scale]]*Data!D$192+Table3[[#This Row],[SB Scale]]*Data!E$192+Table3[[#This Row],[OB Scale]]*Data!F$192</f>
        <v>1.9554456521904655</v>
      </c>
      <c r="K9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-0.70923214395524203</v>
      </c>
      <c r="L9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-0.74910149310631879</v>
      </c>
      <c r="M99" s="1">
        <f ca="1">Table3[[#This Row],[Tot Scale]]*M$185+M$186</f>
        <v>-3.8779671512018794</v>
      </c>
      <c r="N99" s="1">
        <f ca="1">Table3[[#This Row],[OB Tot Scale]]*N$185+N$186</f>
        <v>-1.7386205291477523</v>
      </c>
      <c r="O99" s="1">
        <f ca="1">Table3[[#This Row],[Weighted Scale]]*O$185+O$186</f>
        <v>-3.4430103495540436</v>
      </c>
      <c r="P99" s="1">
        <f ca="1">Table3[[#This Row],[OB Weighted Scale]]*P$185+P$186</f>
        <v>-1.1316646829817643</v>
      </c>
      <c r="Q99" s="1">
        <f ca="1">Table3[[#This Row],[Z-score]]*Q$185+Q$186</f>
        <v>-3.80504252614229</v>
      </c>
      <c r="R99" s="1">
        <f ca="1">Table3[[#This Row],[OBMod Z-Score]]*R$185+R$186</f>
        <v>-3.8019467253053665</v>
      </c>
      <c r="S99" s="1">
        <f ca="1">AVERAGE(Table3[[#This Row],[Tot Value]:[OB Z Value]])</f>
        <v>-2.9663753273888496</v>
      </c>
      <c r="T99" s="1" t="str">
        <f>IF(Table1[[#This Row],[Included?]], (Table1[[#This Row],[I R]]-Data!S$188)/(Data!S$187-Data!S$188), "")</f>
        <v/>
      </c>
      <c r="U99" s="1" t="str">
        <f>IF(Table1[[#This Row],[Included?]], (Table1[[#This Row],[I HR]]-Data!T$188)/(Data!T$187-Data!T$188), "")</f>
        <v/>
      </c>
      <c r="V99" s="1" t="str">
        <f>IF(Table1[[#This Row],[Included?]], (Table1[[#This Row],[I RBI]]-Data!U$188)/(Data!U$187-Data!U$188), "")</f>
        <v/>
      </c>
      <c r="W99" s="1" t="str">
        <f>IF(Table1[[#This Row],[Included?]], (Table1[[#This Row],[I SB]]-Data!V$188)/(Data!V$187-Data!V$188), "")</f>
        <v/>
      </c>
      <c r="X99" s="1" t="str">
        <f>IF(Table1[[#This Row],[Included?]], (Table1[[#This Row],[I OBP]]-Data!W$188)/(Data!W$187-Data!W$188), "")</f>
        <v/>
      </c>
      <c r="Y99" s="1" t="str">
        <f>IF(Table1[[#This Row],[Included?]], (Table1[[#This Row],[I OB]]-Data!AA$188)/(Data!AA$187-Data!AA$188), "")</f>
        <v/>
      </c>
      <c r="Z99" s="1" t="str">
        <f>IF(Table1[[#This Row],[Included?]], SUM(Table35[[#This Row],[I R Scale]:[I OBP Scale]]), "")</f>
        <v/>
      </c>
      <c r="AA99" s="1" t="str">
        <f>IF(Table1[[#This Row],[Included?]], SUM(Table35[[#This Row],[I R Scale]:[I SB Scale]],Table35[[#This Row],[I OB Scale]]), "")</f>
        <v/>
      </c>
      <c r="AB9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9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9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9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99" s="1" t="str">
        <f>IF(Table1[[#This Row],[Included?]], Table35[[#This Row],[I Tot Scale]]*AF$185+AF$186, "")</f>
        <v/>
      </c>
      <c r="AG99" s="1" t="str">
        <f>IF(Table1[[#This Row],[Included?]], Table35[[#This Row],[I OB Tot Scale]]*AG$185+AG$186, "")</f>
        <v/>
      </c>
      <c r="AH99" s="1" t="str">
        <f>IF(Table1[[#This Row],[Included?]], Table35[[#This Row],[I Weighted Scale]]*AH$185+AH$186, "")</f>
        <v/>
      </c>
      <c r="AI99" s="1" t="str">
        <f>IF(Table1[[#This Row],[Included?]], Table35[[#This Row],[I OB Weighted Scale]]*AI$185+AI$186, "")</f>
        <v/>
      </c>
      <c r="AJ99" s="1" t="str">
        <f>IF(Table1[[#This Row],[Included?]], Table35[[#This Row],[I Z-score]]*AJ$185+AJ$186, "")</f>
        <v/>
      </c>
      <c r="AK99" s="1" t="str">
        <f>IF(Table1[[#This Row],[Included?]], Table35[[#This Row],[I OBMod Z-Score]]*AK$185+AK$186, "")</f>
        <v/>
      </c>
      <c r="AL99" s="1" t="str">
        <f>IF(Table1[[#This Row],[Included?]], AVERAGE(Table35[[#This Row],[I Tot Value]:[I OB Z Value]]), "")</f>
        <v/>
      </c>
    </row>
    <row r="100" spans="1:38" hidden="1" x14ac:dyDescent="0.25">
      <c r="A100" s="1">
        <f>(Table1[[#This Row],[R]]-Data!H$188)/(Data!H$187-Data!H$188)</f>
        <v>0.39857954545454549</v>
      </c>
      <c r="B100" s="1">
        <f>(Table1[[#This Row],[HR]]-Data!I$188)/(Data!I$187-Data!I$188)</f>
        <v>0.54526889040163373</v>
      </c>
      <c r="C100" s="1">
        <f>(Table1[[#This Row],[RBI]]-Data!J$188)/(Data!J$187-Data!J$188)</f>
        <v>0.49154485525938657</v>
      </c>
      <c r="D100" s="1">
        <f>(Table1[[#This Row],[SB]]-Data!K$188)/(Data!K$187-Data!K$188)</f>
        <v>1.8193224592220822E-2</v>
      </c>
      <c r="E100" s="1">
        <f>(Table1[[#This Row],[OBP]]-Data!L$188)/(Data!L$187-Data!L$188)</f>
        <v>0.76370104489699753</v>
      </c>
      <c r="F100" s="1">
        <f>(Table1[[#This Row],[OB]]-Data!P$188)/(Data!P$187-Data!P$188)</f>
        <v>0.42288098964483528</v>
      </c>
      <c r="G100" s="1">
        <f>SUM(Table3[[#This Row],[R Scale]:[OBP Scale]])</f>
        <v>2.2172875606047842</v>
      </c>
      <c r="H100" s="1">
        <f>SUM(Table3[[#This Row],[R Scale]:[SB Scale]],Table3[[#This Row],[OB Scale]])</f>
        <v>1.8764675053526219</v>
      </c>
      <c r="I100" s="1">
        <f>Table3[[#This Row],[R Scale]]*Data!B$192+Table3[[#This Row],[HR Scale]]*Data!C$192+Table3[[#This Row],[RBI Scale]]*Data!D$192+Table3[[#This Row],[SB Scale]]*Data!E$192+Table3[[#This Row],[OBP Scale]]*Data!F$192</f>
        <v>2.4284787860906061</v>
      </c>
      <c r="J100" s="1">
        <f>Table3[[#This Row],[R Scale]]*Data!B$192+Table3[[#This Row],[HR Scale]]*Data!C$192+Table3[[#This Row],[RBI Scale]]*Data!D$192+Table3[[#This Row],[SB Scale]]*Data!E$192+Table3[[#This Row],[OB Scale]]*Data!F$192</f>
        <v>2.0194947197880113</v>
      </c>
      <c r="K10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1.7737596955459081</v>
      </c>
      <c r="L10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1.3980550577503656</v>
      </c>
      <c r="M100" s="1">
        <f ca="1">Table3[[#This Row],[Tot Scale]]*M$185+M$186</f>
        <v>15.427877074085657</v>
      </c>
      <c r="N100" s="1">
        <f ca="1">Table3[[#This Row],[OB Tot Scale]]*N$185+N$186</f>
        <v>0.91581147190363765</v>
      </c>
      <c r="O100" s="1">
        <f ca="1">Table3[[#This Row],[Weighted Scale]]*O$185+O$186</f>
        <v>17.330933464157852</v>
      </c>
      <c r="P100" s="1">
        <f ca="1">Table3[[#This Row],[OB Weighted Scale]]*P$185+P$186</f>
        <v>1.0550106480744148</v>
      </c>
      <c r="Q100" s="1">
        <f ca="1">Table3[[#This Row],[Z-score]]*Q$185+Q$186</f>
        <v>14.439390480730363</v>
      </c>
      <c r="R100" s="1">
        <f ca="1">Table3[[#This Row],[OBMod Z-Score]]*R$185+R$186</f>
        <v>11.830450656366567</v>
      </c>
      <c r="S100" s="1">
        <f ca="1">AVERAGE(Table3[[#This Row],[Tot Value]:[OB Z Value]])</f>
        <v>10.166578965886416</v>
      </c>
      <c r="T100" s="1">
        <f>IF(Table1[[#This Row],[Included?]], (Table1[[#This Row],[I R]]-Data!S$188)/(Data!S$187-Data!S$188), "")</f>
        <v>0.23985637342908442</v>
      </c>
      <c r="U100" s="1">
        <f>IF(Table1[[#This Row],[Included?]], (Table1[[#This Row],[I HR]]-Data!T$188)/(Data!T$187-Data!T$188), "")</f>
        <v>0.54526889040163373</v>
      </c>
      <c r="V100" s="1">
        <f>IF(Table1[[#This Row],[Included?]], (Table1[[#This Row],[I RBI]]-Data!U$188)/(Data!U$187-Data!U$188), "")</f>
        <v>0.36002886002885998</v>
      </c>
      <c r="W100" s="1">
        <f>IF(Table1[[#This Row],[Included?]], (Table1[[#This Row],[I SB]]-Data!V$188)/(Data!V$187-Data!V$188), "")</f>
        <v>1.8193224592220822E-2</v>
      </c>
      <c r="X100" s="1">
        <f>IF(Table1[[#This Row],[Included?]], (Table1[[#This Row],[I OBP]]-Data!W$188)/(Data!W$187-Data!W$188), "")</f>
        <v>0.71588337205487185</v>
      </c>
      <c r="Y100" s="1">
        <f>IF(Table1[[#This Row],[Included?]], (Table1[[#This Row],[I OB]]-Data!AA$188)/(Data!AA$187-Data!AA$188), "")</f>
        <v>0.11151158011200389</v>
      </c>
      <c r="Z100" s="1">
        <f>IF(Table1[[#This Row],[Included?]], SUM(Table35[[#This Row],[I R Scale]:[I OBP Scale]]), "")</f>
        <v>1.8792307205066707</v>
      </c>
      <c r="AA100" s="1">
        <f>IF(Table1[[#This Row],[Included?]], SUM(Table35[[#This Row],[I R Scale]:[I SB Scale]],Table35[[#This Row],[I OB Scale]]), "")</f>
        <v>1.2748589285638028</v>
      </c>
      <c r="AB10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2.0704275295805088</v>
      </c>
      <c r="AC10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1.345181379249067</v>
      </c>
      <c r="AD10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-0.3423361289431206</v>
      </c>
      <c r="AE10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-0.69090495182810518</v>
      </c>
      <c r="AF100" s="1">
        <f ca="1">IF(Table1[[#This Row],[Included?]], Table35[[#This Row],[I Tot Scale]]*AF$185+AF$186, "")</f>
        <v>18.186772303398282</v>
      </c>
      <c r="AG100" s="1">
        <f ca="1">IF(Table1[[#This Row],[Included?]], Table35[[#This Row],[I OB Tot Scale]]*AG$185+AG$186, "")</f>
        <v>10.863226275286328</v>
      </c>
      <c r="AH100" s="1">
        <f ca="1">IF(Table1[[#This Row],[Included?]], Table35[[#This Row],[I Weighted Scale]]*AH$185+AH$186, "")</f>
        <v>19.453256243864615</v>
      </c>
      <c r="AI100" s="1">
        <f ca="1">IF(Table1[[#This Row],[Included?]], Table35[[#This Row],[I OB Weighted Scale]]*AI$185+AI$186, "")</f>
        <v>10.88757194285191</v>
      </c>
      <c r="AJ100" s="1">
        <f ca="1">IF(Table1[[#This Row],[Included?]], Table35[[#This Row],[I Z-score]]*AJ$185+AJ$186, "")</f>
        <v>18.445828736814992</v>
      </c>
      <c r="AK100" s="1">
        <f ca="1">IF(Table1[[#This Row],[Included?]], Table35[[#This Row],[I OBMod Z-Score]]*AK$185+AK$186, "")</f>
        <v>16.868866894089113</v>
      </c>
      <c r="AL100" s="1">
        <f ca="1">IF(Table1[[#This Row],[Included?]], AVERAGE(Table35[[#This Row],[I Tot Value]:[I OB Z Value]]), "")</f>
        <v>15.784253732717538</v>
      </c>
    </row>
    <row r="101" spans="1:38" hidden="1" x14ac:dyDescent="0.25">
      <c r="A101" s="1">
        <f>(Table1[[#This Row],[R]]-Data!H$188)/(Data!H$187-Data!H$188)</f>
        <v>0.4406250000000001</v>
      </c>
      <c r="B101" s="1">
        <f>(Table1[[#This Row],[HR]]-Data!I$188)/(Data!I$187-Data!I$188)</f>
        <v>0.50170183798502377</v>
      </c>
      <c r="C101" s="1">
        <f>(Table1[[#This Row],[RBI]]-Data!J$188)/(Data!J$187-Data!J$188)</f>
        <v>0.58727429062768699</v>
      </c>
      <c r="D101" s="1">
        <f>(Table1[[#This Row],[SB]]-Data!K$188)/(Data!K$187-Data!K$188)</f>
        <v>0</v>
      </c>
      <c r="E101" s="1">
        <f>(Table1[[#This Row],[OBP]]-Data!L$188)/(Data!L$187-Data!L$188)</f>
        <v>0.25765329377731983</v>
      </c>
      <c r="F101" s="1">
        <f>(Table1[[#This Row],[OB]]-Data!P$188)/(Data!P$187-Data!P$188)</f>
        <v>0.40375077629299511</v>
      </c>
      <c r="G101" s="1">
        <f>SUM(Table3[[#This Row],[R Scale]:[OBP Scale]])</f>
        <v>1.7872544223900304</v>
      </c>
      <c r="H101" s="1">
        <f>SUM(Table3[[#This Row],[R Scale]:[SB Scale]],Table3[[#This Row],[OB Scale]])</f>
        <v>1.9333519049057057</v>
      </c>
      <c r="I101" s="1">
        <f>Table3[[#This Row],[R Scale]]*Data!B$192+Table3[[#This Row],[HR Scale]]*Data!C$192+Table3[[#This Row],[RBI Scale]]*Data!D$192+Table3[[#This Row],[SB Scale]]*Data!E$192+Table3[[#This Row],[OBP Scale]]*Data!F$192</f>
        <v>1.912177439271032</v>
      </c>
      <c r="J101" s="1">
        <f>Table3[[#This Row],[R Scale]]*Data!B$192+Table3[[#This Row],[HR Scale]]*Data!C$192+Table3[[#This Row],[RBI Scale]]*Data!D$192+Table3[[#This Row],[SB Scale]]*Data!E$192+Table3[[#This Row],[OB Scale]]*Data!F$192</f>
        <v>2.0874944182898423</v>
      </c>
      <c r="K10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-0.69724970744022485</v>
      </c>
      <c r="L10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-0.71484730507853023</v>
      </c>
      <c r="M101" s="1">
        <f ca="1">Table3[[#This Row],[Tot Scale]]*M$185+M$186</f>
        <v>-0.45403914942977508</v>
      </c>
      <c r="N101" s="1">
        <f ca="1">Table3[[#This Row],[OB Tot Scale]]*N$185+N$186</f>
        <v>2.9902709484556027</v>
      </c>
      <c r="O101" s="1">
        <f ca="1">Table3[[#This Row],[Weighted Scale]]*O$185+O$186</f>
        <v>-0.42687002608305136</v>
      </c>
      <c r="P101" s="1">
        <f ca="1">Table3[[#This Row],[OB Weighted Scale]]*P$185+P$186</f>
        <v>3.3765629955266832</v>
      </c>
      <c r="Q101" s="1">
        <f ca="1">Table3[[#This Row],[Z-score]]*Q$185+Q$186</f>
        <v>-3.716998434824915</v>
      </c>
      <c r="R101" s="1">
        <f ca="1">Table3[[#This Row],[OBMod Z-Score]]*R$185+R$186</f>
        <v>-3.5525587246850798</v>
      </c>
      <c r="S101" s="1">
        <f ca="1">AVERAGE(Table3[[#This Row],[Tot Value]:[OB Z Value]])</f>
        <v>-0.29727206517342258</v>
      </c>
      <c r="T101" s="1" t="str">
        <f>IF(Table1[[#This Row],[Included?]], (Table1[[#This Row],[I R]]-Data!S$188)/(Data!S$187-Data!S$188), "")</f>
        <v/>
      </c>
      <c r="U101" s="1" t="str">
        <f>IF(Table1[[#This Row],[Included?]], (Table1[[#This Row],[I HR]]-Data!T$188)/(Data!T$187-Data!T$188), "")</f>
        <v/>
      </c>
      <c r="V101" s="1" t="str">
        <f>IF(Table1[[#This Row],[Included?]], (Table1[[#This Row],[I RBI]]-Data!U$188)/(Data!U$187-Data!U$188), "")</f>
        <v/>
      </c>
      <c r="W101" s="1" t="str">
        <f>IF(Table1[[#This Row],[Included?]], (Table1[[#This Row],[I SB]]-Data!V$188)/(Data!V$187-Data!V$188), "")</f>
        <v/>
      </c>
      <c r="X101" s="1" t="str">
        <f>IF(Table1[[#This Row],[Included?]], (Table1[[#This Row],[I OBP]]-Data!W$188)/(Data!W$187-Data!W$188), "")</f>
        <v/>
      </c>
      <c r="Y101" s="1" t="str">
        <f>IF(Table1[[#This Row],[Included?]], (Table1[[#This Row],[I OB]]-Data!AA$188)/(Data!AA$187-Data!AA$188), "")</f>
        <v/>
      </c>
      <c r="Z101" s="1" t="str">
        <f>IF(Table1[[#This Row],[Included?]], SUM(Table35[[#This Row],[I R Scale]:[I OBP Scale]]), "")</f>
        <v/>
      </c>
      <c r="AA101" s="1" t="str">
        <f>IF(Table1[[#This Row],[Included?]], SUM(Table35[[#This Row],[I R Scale]:[I SB Scale]],Table35[[#This Row],[I OB Scale]]), "")</f>
        <v/>
      </c>
      <c r="AB10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1" s="1" t="str">
        <f>IF(Table1[[#This Row],[Included?]], Table35[[#This Row],[I Tot Scale]]*AF$185+AF$186, "")</f>
        <v/>
      </c>
      <c r="AG101" s="1" t="str">
        <f>IF(Table1[[#This Row],[Included?]], Table35[[#This Row],[I OB Tot Scale]]*AG$185+AG$186, "")</f>
        <v/>
      </c>
      <c r="AH101" s="1" t="str">
        <f>IF(Table1[[#This Row],[Included?]], Table35[[#This Row],[I Weighted Scale]]*AH$185+AH$186, "")</f>
        <v/>
      </c>
      <c r="AI101" s="1" t="str">
        <f>IF(Table1[[#This Row],[Included?]], Table35[[#This Row],[I OB Weighted Scale]]*AI$185+AI$186, "")</f>
        <v/>
      </c>
      <c r="AJ101" s="1" t="str">
        <f>IF(Table1[[#This Row],[Included?]], Table35[[#This Row],[I Z-score]]*AJ$185+AJ$186, "")</f>
        <v/>
      </c>
      <c r="AK101" s="1" t="str">
        <f>IF(Table1[[#This Row],[Included?]], Table35[[#This Row],[I OBMod Z-Score]]*AK$185+AK$186, "")</f>
        <v/>
      </c>
      <c r="AL101" s="1" t="str">
        <f>IF(Table1[[#This Row],[Included?]], AVERAGE(Table35[[#This Row],[I Tot Value]:[I OB Z Value]]), "")</f>
        <v/>
      </c>
    </row>
    <row r="102" spans="1:38" hidden="1" x14ac:dyDescent="0.25">
      <c r="A102" s="1">
        <f>(Table1[[#This Row],[R]]-Data!H$188)/(Data!H$187-Data!H$188)</f>
        <v>0.54261363636363646</v>
      </c>
      <c r="B102" s="1">
        <f>(Table1[[#This Row],[HR]]-Data!I$188)/(Data!I$187-Data!I$188)</f>
        <v>0.37236215112321303</v>
      </c>
      <c r="C102" s="1">
        <f>(Table1[[#This Row],[RBI]]-Data!J$188)/(Data!J$187-Data!J$188)</f>
        <v>0.36772714244769267</v>
      </c>
      <c r="D102" s="1">
        <f>(Table1[[#This Row],[SB]]-Data!K$188)/(Data!K$187-Data!K$188)</f>
        <v>9.5357590966122938E-2</v>
      </c>
      <c r="E102" s="1">
        <f>(Table1[[#This Row],[OBP]]-Data!L$188)/(Data!L$187-Data!L$188)</f>
        <v>0.44939069962098294</v>
      </c>
      <c r="F102" s="1">
        <f>(Table1[[#This Row],[OB]]-Data!P$188)/(Data!P$187-Data!P$188)</f>
        <v>0.43394257505885442</v>
      </c>
      <c r="G102" s="1">
        <f>SUM(Table3[[#This Row],[R Scale]:[OBP Scale]])</f>
        <v>1.827451220521648</v>
      </c>
      <c r="H102" s="1">
        <f>SUM(Table3[[#This Row],[R Scale]:[SB Scale]],Table3[[#This Row],[OB Scale]])</f>
        <v>1.8120030959595195</v>
      </c>
      <c r="I102" s="1">
        <f>Table3[[#This Row],[R Scale]]*Data!B$192+Table3[[#This Row],[HR Scale]]*Data!C$192+Table3[[#This Row],[RBI Scale]]*Data!D$192+Table3[[#This Row],[SB Scale]]*Data!E$192+Table3[[#This Row],[OBP Scale]]*Data!F$192</f>
        <v>1.9366134252990193</v>
      </c>
      <c r="J102" s="1">
        <f>Table3[[#This Row],[R Scale]]*Data!B$192+Table3[[#This Row],[HR Scale]]*Data!C$192+Table3[[#This Row],[RBI Scale]]*Data!D$192+Table3[[#This Row],[SB Scale]]*Data!E$192+Table3[[#This Row],[OB Scale]]*Data!F$192</f>
        <v>1.918075675824465</v>
      </c>
      <c r="K10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-9.0125817185501708E-2</v>
      </c>
      <c r="L10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-0.12601994289762455</v>
      </c>
      <c r="M102" s="1">
        <f ca="1">Table3[[#This Row],[Tot Scale]]*M$185+M$186</f>
        <v>1.0305026768819943</v>
      </c>
      <c r="N102" s="1">
        <f ca="1">Table3[[#This Row],[OB Tot Scale]]*N$185+N$186</f>
        <v>-1.4350756960456579</v>
      </c>
      <c r="O102" s="1">
        <f ca="1">Table3[[#This Row],[Weighted Scale]]*O$185+O$186</f>
        <v>0.41358766524059831</v>
      </c>
      <c r="P102" s="1">
        <f ca="1">Table3[[#This Row],[OB Weighted Scale]]*P$185+P$186</f>
        <v>-2.4074991097239433</v>
      </c>
      <c r="Q102" s="1">
        <f ca="1">Table3[[#This Row],[Z-score]]*Q$185+Q$186</f>
        <v>0.74400339627637913</v>
      </c>
      <c r="R102" s="1">
        <f ca="1">Table3[[#This Row],[OBMod Z-Score]]*R$185+R$186</f>
        <v>0.73440549836656766</v>
      </c>
      <c r="S102" s="1">
        <f ca="1">AVERAGE(Table3[[#This Row],[Tot Value]:[OB Z Value]])</f>
        <v>-0.15334592816734366</v>
      </c>
      <c r="T102" s="1">
        <f>IF(Table1[[#This Row],[Included?]], (Table1[[#This Row],[I R]]-Data!S$188)/(Data!S$187-Data!S$188), "")</f>
        <v>0.42190305206463208</v>
      </c>
      <c r="U102" s="1">
        <f>IF(Table1[[#This Row],[Included?]], (Table1[[#This Row],[I HR]]-Data!T$188)/(Data!T$187-Data!T$188), "")</f>
        <v>0.37236215112321303</v>
      </c>
      <c r="V102" s="1">
        <f>IF(Table1[[#This Row],[Included?]], (Table1[[#This Row],[I RBI]]-Data!U$188)/(Data!U$187-Data!U$188), "")</f>
        <v>0.20418470418470419</v>
      </c>
      <c r="W102" s="1">
        <f>IF(Table1[[#This Row],[Included?]], (Table1[[#This Row],[I SB]]-Data!V$188)/(Data!V$187-Data!V$188), "")</f>
        <v>9.5357590966122938E-2</v>
      </c>
      <c r="X102" s="1">
        <f>IF(Table1[[#This Row],[Included?]], (Table1[[#This Row],[I OBP]]-Data!W$188)/(Data!W$187-Data!W$188), "")</f>
        <v>0.33796889761648891</v>
      </c>
      <c r="Y102" s="1">
        <f>IF(Table1[[#This Row],[Included?]], (Table1[[#This Row],[I OB]]-Data!AA$188)/(Data!AA$187-Data!AA$188), "")</f>
        <v>0.12854115350954237</v>
      </c>
      <c r="Z102" s="1">
        <f>IF(Table1[[#This Row],[Included?]], SUM(Table35[[#This Row],[I R Scale]:[I OBP Scale]]), "")</f>
        <v>1.431776395955161</v>
      </c>
      <c r="AA102" s="1">
        <f>IF(Table1[[#This Row],[Included?]], SUM(Table35[[#This Row],[I R Scale]:[I SB Scale]],Table35[[#This Row],[I OB Scale]]), "")</f>
        <v>1.2223486518482145</v>
      </c>
      <c r="AB10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1.4980168111089365</v>
      </c>
      <c r="AC10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1.2467035181806008</v>
      </c>
      <c r="AD10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-2.5101536378599496</v>
      </c>
      <c r="AE10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-2.4239448912731945</v>
      </c>
      <c r="AF102" s="1">
        <f ca="1">IF(Table1[[#This Row],[Included?]], Table35[[#This Row],[I Tot Scale]]*AF$185+AF$186, "")</f>
        <v>8.7102603191636732</v>
      </c>
      <c r="AG102" s="1">
        <f ca="1">IF(Table1[[#This Row],[Included?]], Table35[[#This Row],[I OB Tot Scale]]*AG$185+AG$186, "")</f>
        <v>10.037499814744853</v>
      </c>
      <c r="AH102" s="1">
        <f ca="1">IF(Table1[[#This Row],[Included?]], Table35[[#This Row],[I Weighted Scale]]*AH$185+AH$186, "")</f>
        <v>8.1613790414181544</v>
      </c>
      <c r="AI102" s="1">
        <f ca="1">IF(Table1[[#This Row],[Included?]], Table35[[#This Row],[I OB Weighted Scale]]*AI$185+AI$186, "")</f>
        <v>9.4453539774404156</v>
      </c>
      <c r="AJ102" s="1">
        <f ca="1">IF(Table1[[#This Row],[Included?]], Table35[[#This Row],[I Z-score]]*AJ$185+AJ$186, "")</f>
        <v>8.6041573754275156</v>
      </c>
      <c r="AK102" s="1">
        <f ca="1">IF(Table1[[#This Row],[Included?]], Table35[[#This Row],[I OBMod Z-Score]]*AK$185+AK$186, "")</f>
        <v>9.0148506304848084</v>
      </c>
      <c r="AL102" s="1">
        <f ca="1">IF(Table1[[#This Row],[Included?]], AVERAGE(Table35[[#This Row],[I Tot Value]:[I OB Z Value]]), "")</f>
        <v>8.9955835264465698</v>
      </c>
    </row>
    <row r="103" spans="1:38" hidden="1" x14ac:dyDescent="0.25">
      <c r="A103" s="1">
        <f>(Table1[[#This Row],[R]]-Data!H$188)/(Data!H$187-Data!H$188)</f>
        <v>0.47329545454545457</v>
      </c>
      <c r="B103" s="1">
        <f>(Table1[[#This Row],[HR]]-Data!I$188)/(Data!I$187-Data!I$188)</f>
        <v>3.1994554118447927E-2</v>
      </c>
      <c r="C103" s="1">
        <f>(Table1[[#This Row],[RBI]]-Data!J$188)/(Data!J$187-Data!J$188)</f>
        <v>0.25738033820578954</v>
      </c>
      <c r="D103" s="1">
        <f>(Table1[[#This Row],[SB]]-Data!K$188)/(Data!K$187-Data!K$188)</f>
        <v>0.26317440401505643</v>
      </c>
      <c r="E103" s="1">
        <f>(Table1[[#This Row],[OBP]]-Data!L$188)/(Data!L$187-Data!L$188)</f>
        <v>0.53144588120547664</v>
      </c>
      <c r="F103" s="1">
        <f>(Table1[[#This Row],[OB]]-Data!P$188)/(Data!P$187-Data!P$188)</f>
        <v>0.56803203357035548</v>
      </c>
      <c r="G103" s="1">
        <f>SUM(Table3[[#This Row],[R Scale]:[OBP Scale]])</f>
        <v>1.5572906320902251</v>
      </c>
      <c r="H103" s="1">
        <f>SUM(Table3[[#This Row],[R Scale]:[SB Scale]],Table3[[#This Row],[OB Scale]])</f>
        <v>1.5938767844551038</v>
      </c>
      <c r="I103" s="1">
        <f>Table3[[#This Row],[R Scale]]*Data!B$192+Table3[[#This Row],[HR Scale]]*Data!C$192+Table3[[#This Row],[RBI Scale]]*Data!D$192+Table3[[#This Row],[SB Scale]]*Data!E$192+Table3[[#This Row],[OBP Scale]]*Data!F$192</f>
        <v>1.6677263305179331</v>
      </c>
      <c r="J103" s="1">
        <f>Table3[[#This Row],[R Scale]]*Data!B$192+Table3[[#This Row],[HR Scale]]*Data!C$192+Table3[[#This Row],[RBI Scale]]*Data!D$192+Table3[[#This Row],[SB Scale]]*Data!E$192+Table3[[#This Row],[OB Scale]]*Data!F$192</f>
        <v>1.7116297133557876</v>
      </c>
      <c r="K10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-0.88216664861792526</v>
      </c>
      <c r="L10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-0.89711817610608302</v>
      </c>
      <c r="M103" s="1">
        <f ca="1">Table3[[#This Row],[Tot Scale]]*M$185+M$186</f>
        <v>-8.9470256833179675</v>
      </c>
      <c r="N103" s="1">
        <f ca="1">Table3[[#This Row],[OB Tot Scale]]*N$185+N$186</f>
        <v>-9.3897029319962968</v>
      </c>
      <c r="O103" s="1">
        <f ca="1">Table3[[#This Row],[Weighted Scale]]*O$185+O$186</f>
        <v>-8.8345853631611959</v>
      </c>
      <c r="P103" s="1">
        <f ca="1">Table3[[#This Row],[OB Weighted Scale]]*P$185+P$186</f>
        <v>-9.4556937245617689</v>
      </c>
      <c r="Q103" s="1">
        <f ca="1">Table3[[#This Row],[Z-score]]*Q$185+Q$186</f>
        <v>-5.0757241025782838</v>
      </c>
      <c r="R103" s="1">
        <f ca="1">Table3[[#This Row],[OBMod Z-Score]]*R$185+R$186</f>
        <v>-4.8795838481532954</v>
      </c>
      <c r="S103" s="1">
        <f ca="1">AVERAGE(Table3[[#This Row],[Tot Value]:[OB Z Value]])</f>
        <v>-7.7637192756281346</v>
      </c>
      <c r="T103" s="1">
        <f>IF(Table1[[#This Row],[Included?]], (Table1[[#This Row],[I R]]-Data!S$188)/(Data!S$187-Data!S$188), "")</f>
        <v>0.33429084380610413</v>
      </c>
      <c r="U103" s="1">
        <f>IF(Table1[[#This Row],[Included?]], (Table1[[#This Row],[I HR]]-Data!T$188)/(Data!T$187-Data!T$188), "")</f>
        <v>3.1994554118447927E-2</v>
      </c>
      <c r="V103" s="1">
        <f>IF(Table1[[#This Row],[Included?]], (Table1[[#This Row],[I RBI]]-Data!U$188)/(Data!U$187-Data!U$188), "")</f>
        <v>6.5295815295815227E-2</v>
      </c>
      <c r="W103" s="1">
        <f>IF(Table1[[#This Row],[Included?]], (Table1[[#This Row],[I SB]]-Data!V$188)/(Data!V$187-Data!V$188), "")</f>
        <v>0.26317440401505643</v>
      </c>
      <c r="X103" s="1">
        <f>IF(Table1[[#This Row],[Included?]], (Table1[[#This Row],[I OBP]]-Data!W$188)/(Data!W$187-Data!W$188), "")</f>
        <v>0.43662884085258707</v>
      </c>
      <c r="Y103" s="1">
        <f>IF(Table1[[#This Row],[Included?]], (Table1[[#This Row],[I OB]]-Data!AA$188)/(Data!AA$187-Data!AA$188), "")</f>
        <v>0.33497505878534067</v>
      </c>
      <c r="Z103" s="1">
        <f>IF(Table1[[#This Row],[Included?]], SUM(Table35[[#This Row],[I R Scale]:[I OBP Scale]]), "")</f>
        <v>1.1313844580880108</v>
      </c>
      <c r="AA103" s="1">
        <f>IF(Table1[[#This Row],[Included?]], SUM(Table35[[#This Row],[I R Scale]:[I SB Scale]],Table35[[#This Row],[I OB Scale]]), "")</f>
        <v>1.0297306760207643</v>
      </c>
      <c r="AB10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1.1983403049370809</v>
      </c>
      <c r="AC10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1.0763557664563852</v>
      </c>
      <c r="AD10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-3.5270203435767424</v>
      </c>
      <c r="AE10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-3.5226115865929533</v>
      </c>
      <c r="AF103" s="1">
        <f ca="1">IF(Table1[[#This Row],[Included?]], Table35[[#This Row],[I Tot Scale]]*AF$185+AF$186, "")</f>
        <v>2.3483421456858196</v>
      </c>
      <c r="AG103" s="1">
        <f ca="1">IF(Table1[[#This Row],[Included?]], Table35[[#This Row],[I OB Tot Scale]]*AG$185+AG$186, "")</f>
        <v>7.008573490891612</v>
      </c>
      <c r="AH103" s="1">
        <f ca="1">IF(Table1[[#This Row],[Included?]], Table35[[#This Row],[I Weighted Scale]]*AH$185+AH$186, "")</f>
        <v>2.2496967493982538</v>
      </c>
      <c r="AI103" s="1">
        <f ca="1">IF(Table1[[#This Row],[Included?]], Table35[[#This Row],[I OB Weighted Scale]]*AI$185+AI$186, "")</f>
        <v>6.9505943914933397</v>
      </c>
      <c r="AJ103" s="1">
        <f ca="1">IF(Table1[[#This Row],[Included?]], Table35[[#This Row],[I Z-score]]*AJ$185+AJ$186, "")</f>
        <v>3.9876857882957104</v>
      </c>
      <c r="AK103" s="1">
        <f ca="1">IF(Table1[[#This Row],[Included?]], Table35[[#This Row],[I OBMod Z-Score]]*AK$185+AK$186, "")</f>
        <v>4.0357697120815512</v>
      </c>
      <c r="AL103" s="1">
        <f ca="1">IF(Table1[[#This Row],[Included?]], AVERAGE(Table35[[#This Row],[I Tot Value]:[I OB Z Value]]), "")</f>
        <v>4.4301103796410475</v>
      </c>
    </row>
    <row r="104" spans="1:38" hidden="1" x14ac:dyDescent="0.25">
      <c r="A104" s="1">
        <f>(Table1[[#This Row],[R]]-Data!H$188)/(Data!H$187-Data!H$188)</f>
        <v>0.29943181818181819</v>
      </c>
      <c r="B104" s="1">
        <f>(Table1[[#This Row],[HR]]-Data!I$188)/(Data!I$187-Data!I$188)</f>
        <v>0.38938053097345127</v>
      </c>
      <c r="C104" s="1">
        <f>(Table1[[#This Row],[RBI]]-Data!J$188)/(Data!J$187-Data!J$188)</f>
        <v>0.38779019776440232</v>
      </c>
      <c r="D104" s="1">
        <f>(Table1[[#This Row],[SB]]-Data!K$188)/(Data!K$187-Data!K$188)</f>
        <v>0.21298619824341275</v>
      </c>
      <c r="E104" s="1">
        <f>(Table1[[#This Row],[OBP]]-Data!L$188)/(Data!L$187-Data!L$188)</f>
        <v>0.32134732396631738</v>
      </c>
      <c r="F104" s="1">
        <f>(Table1[[#This Row],[OB]]-Data!P$188)/(Data!P$187-Data!P$188)</f>
        <v>0.50594694152903086</v>
      </c>
      <c r="G104" s="1">
        <f>SUM(Table3[[#This Row],[R Scale]:[OBP Scale]])</f>
        <v>1.6109360691294019</v>
      </c>
      <c r="H104" s="1">
        <f>SUM(Table3[[#This Row],[R Scale]:[SB Scale]],Table3[[#This Row],[OB Scale]])</f>
        <v>1.7955356866921153</v>
      </c>
      <c r="I104" s="1">
        <f>Table3[[#This Row],[R Scale]]*Data!B$192+Table3[[#This Row],[HR Scale]]*Data!C$192+Table3[[#This Row],[RBI Scale]]*Data!D$192+Table3[[#This Row],[SB Scale]]*Data!E$192+Table3[[#This Row],[OBP Scale]]*Data!F$192</f>
        <v>1.7228203916573639</v>
      </c>
      <c r="J104" s="1">
        <f>Table3[[#This Row],[R Scale]]*Data!B$192+Table3[[#This Row],[HR Scale]]*Data!C$192+Table3[[#This Row],[RBI Scale]]*Data!D$192+Table3[[#This Row],[SB Scale]]*Data!E$192+Table3[[#This Row],[OB Scale]]*Data!F$192</f>
        <v>1.9443399327326203</v>
      </c>
      <c r="K10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-1.0569109505267007</v>
      </c>
      <c r="L10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-1.1351774487775357</v>
      </c>
      <c r="M104" s="1">
        <f ca="1">Table3[[#This Row],[Tot Scale]]*M$185+M$186</f>
        <v>-6.965800840118554</v>
      </c>
      <c r="N104" s="1">
        <f ca="1">Table3[[#This Row],[OB Tot Scale]]*N$185+N$186</f>
        <v>-2.0356089437799199</v>
      </c>
      <c r="O104" s="1">
        <f ca="1">Table3[[#This Row],[Weighted Scale]]*O$185+O$186</f>
        <v>-6.9396658220444039</v>
      </c>
      <c r="P104" s="1">
        <f ca="1">Table3[[#This Row],[OB Weighted Scale]]*P$185+P$186</f>
        <v>-1.5108209093408078</v>
      </c>
      <c r="Q104" s="1">
        <f ca="1">Table3[[#This Row],[Z-score]]*Q$185+Q$186</f>
        <v>-6.3597036383901679</v>
      </c>
      <c r="R104" s="1">
        <f ca="1">Table3[[#This Row],[OBMod Z-Score]]*R$185+R$186</f>
        <v>-6.6127770563090493</v>
      </c>
      <c r="S104" s="1">
        <f ca="1">AVERAGE(Table3[[#This Row],[Tot Value]:[OB Z Value]])</f>
        <v>-5.0707295349971506</v>
      </c>
      <c r="T104" s="1" t="str">
        <f>IF(Table1[[#This Row],[Included?]], (Table1[[#This Row],[I R]]-Data!S$188)/(Data!S$187-Data!S$188), "")</f>
        <v/>
      </c>
      <c r="U104" s="1" t="str">
        <f>IF(Table1[[#This Row],[Included?]], (Table1[[#This Row],[I HR]]-Data!T$188)/(Data!T$187-Data!T$188), "")</f>
        <v/>
      </c>
      <c r="V104" s="1" t="str">
        <f>IF(Table1[[#This Row],[Included?]], (Table1[[#This Row],[I RBI]]-Data!U$188)/(Data!U$187-Data!U$188), "")</f>
        <v/>
      </c>
      <c r="W104" s="1" t="str">
        <f>IF(Table1[[#This Row],[Included?]], (Table1[[#This Row],[I SB]]-Data!V$188)/(Data!V$187-Data!V$188), "")</f>
        <v/>
      </c>
      <c r="X104" s="1" t="str">
        <f>IF(Table1[[#This Row],[Included?]], (Table1[[#This Row],[I OBP]]-Data!W$188)/(Data!W$187-Data!W$188), "")</f>
        <v/>
      </c>
      <c r="Y104" s="1" t="str">
        <f>IF(Table1[[#This Row],[Included?]], (Table1[[#This Row],[I OB]]-Data!AA$188)/(Data!AA$187-Data!AA$188), "")</f>
        <v/>
      </c>
      <c r="Z104" s="1" t="str">
        <f>IF(Table1[[#This Row],[Included?]], SUM(Table35[[#This Row],[I R Scale]:[I OBP Scale]]), "")</f>
        <v/>
      </c>
      <c r="AA104" s="1" t="str">
        <f>IF(Table1[[#This Row],[Included?]], SUM(Table35[[#This Row],[I R Scale]:[I SB Scale]],Table35[[#This Row],[I OB Scale]]), "")</f>
        <v/>
      </c>
      <c r="AB10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4" s="1" t="str">
        <f>IF(Table1[[#This Row],[Included?]], Table35[[#This Row],[I Tot Scale]]*AF$185+AF$186, "")</f>
        <v/>
      </c>
      <c r="AG104" s="1" t="str">
        <f>IF(Table1[[#This Row],[Included?]], Table35[[#This Row],[I OB Tot Scale]]*AG$185+AG$186, "")</f>
        <v/>
      </c>
      <c r="AH104" s="1" t="str">
        <f>IF(Table1[[#This Row],[Included?]], Table35[[#This Row],[I Weighted Scale]]*AH$185+AH$186, "")</f>
        <v/>
      </c>
      <c r="AI104" s="1" t="str">
        <f>IF(Table1[[#This Row],[Included?]], Table35[[#This Row],[I OB Weighted Scale]]*AI$185+AI$186, "")</f>
        <v/>
      </c>
      <c r="AJ104" s="1" t="str">
        <f>IF(Table1[[#This Row],[Included?]], Table35[[#This Row],[I Z-score]]*AJ$185+AJ$186, "")</f>
        <v/>
      </c>
      <c r="AK104" s="1" t="str">
        <f>IF(Table1[[#This Row],[Included?]], Table35[[#This Row],[I OBMod Z-Score]]*AK$185+AK$186, "")</f>
        <v/>
      </c>
      <c r="AL104" s="1" t="str">
        <f>IF(Table1[[#This Row],[Included?]], AVERAGE(Table35[[#This Row],[I Tot Value]:[I OB Z Value]]), "")</f>
        <v/>
      </c>
    </row>
    <row r="105" spans="1:38" hidden="1" x14ac:dyDescent="0.25">
      <c r="A105" s="1">
        <f>(Table1[[#This Row],[R]]-Data!H$188)/(Data!H$187-Data!H$188)</f>
        <v>0.43181818181818188</v>
      </c>
      <c r="B105" s="1">
        <f>(Table1[[#This Row],[HR]]-Data!I$188)/(Data!I$187-Data!I$188)</f>
        <v>0.55071477195370999</v>
      </c>
      <c r="C105" s="1">
        <f>(Table1[[#This Row],[RBI]]-Data!J$188)/(Data!J$187-Data!J$188)</f>
        <v>0.57265692175408411</v>
      </c>
      <c r="D105" s="1">
        <f>(Table1[[#This Row],[SB]]-Data!K$188)/(Data!K$187-Data!K$188)</f>
        <v>0</v>
      </c>
      <c r="E105" s="1">
        <f>(Table1[[#This Row],[OBP]]-Data!L$188)/(Data!L$187-Data!L$188)</f>
        <v>0.21455482496250905</v>
      </c>
      <c r="F105" s="1">
        <f>(Table1[[#This Row],[OB]]-Data!P$188)/(Data!P$187-Data!P$188)</f>
        <v>0.38782212596854621</v>
      </c>
      <c r="G105" s="1">
        <f>SUM(Table3[[#This Row],[R Scale]:[OBP Scale]])</f>
        <v>1.7697447004884852</v>
      </c>
      <c r="H105" s="1">
        <f>SUM(Table3[[#This Row],[R Scale]:[SB Scale]],Table3[[#This Row],[OB Scale]])</f>
        <v>1.9430120014945222</v>
      </c>
      <c r="I105" s="1">
        <f>Table3[[#This Row],[R Scale]]*Data!B$192+Table3[[#This Row],[HR Scale]]*Data!C$192+Table3[[#This Row],[RBI Scale]]*Data!D$192+Table3[[#This Row],[SB Scale]]*Data!E$192+Table3[[#This Row],[OBP Scale]]*Data!F$192</f>
        <v>1.8840052316499853</v>
      </c>
      <c r="J105" s="1">
        <f>Table3[[#This Row],[R Scale]]*Data!B$192+Table3[[#This Row],[HR Scale]]*Data!C$192+Table3[[#This Row],[RBI Scale]]*Data!D$192+Table3[[#This Row],[SB Scale]]*Data!E$192+Table3[[#This Row],[OB Scale]]*Data!F$192</f>
        <v>2.09192599285723</v>
      </c>
      <c r="K10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-0.83515008623969522</v>
      </c>
      <c r="L10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-0.85210156032727769</v>
      </c>
      <c r="M105" s="1">
        <f ca="1">Table3[[#This Row],[Tot Scale]]*M$185+M$186</f>
        <v>-1.1007054447107691</v>
      </c>
      <c r="N105" s="1">
        <f ca="1">Table3[[#This Row],[OB Tot Scale]]*N$185+N$186</f>
        <v>3.3425552139223953</v>
      </c>
      <c r="O105" s="1">
        <f ca="1">Table3[[#This Row],[Weighted Scale]]*O$185+O$186</f>
        <v>-1.3958322995741526</v>
      </c>
      <c r="P105" s="1">
        <f ca="1">Table3[[#This Row],[OB Weighted Scale]]*P$185+P$186</f>
        <v>3.5278597301666395</v>
      </c>
      <c r="Q105" s="1">
        <f ca="1">Table3[[#This Row],[Z-score]]*Q$185+Q$186</f>
        <v>-4.730257593636634</v>
      </c>
      <c r="R105" s="1">
        <f ca="1">Table3[[#This Row],[OBMod Z-Score]]*R$185+R$186</f>
        <v>-4.5518398714267008</v>
      </c>
      <c r="S105" s="1">
        <f ca="1">AVERAGE(Table3[[#This Row],[Tot Value]:[OB Z Value]])</f>
        <v>-0.81803671087653695</v>
      </c>
      <c r="T105" s="1" t="str">
        <f>IF(Table1[[#This Row],[Included?]], (Table1[[#This Row],[I R]]-Data!S$188)/(Data!S$187-Data!S$188), "")</f>
        <v/>
      </c>
      <c r="U105" s="1" t="str">
        <f>IF(Table1[[#This Row],[Included?]], (Table1[[#This Row],[I HR]]-Data!T$188)/(Data!T$187-Data!T$188), "")</f>
        <v/>
      </c>
      <c r="V105" s="1" t="str">
        <f>IF(Table1[[#This Row],[Included?]], (Table1[[#This Row],[I RBI]]-Data!U$188)/(Data!U$187-Data!U$188), "")</f>
        <v/>
      </c>
      <c r="W105" s="1" t="str">
        <f>IF(Table1[[#This Row],[Included?]], (Table1[[#This Row],[I SB]]-Data!V$188)/(Data!V$187-Data!V$188), "")</f>
        <v/>
      </c>
      <c r="X105" s="1" t="str">
        <f>IF(Table1[[#This Row],[Included?]], (Table1[[#This Row],[I OBP]]-Data!W$188)/(Data!W$187-Data!W$188), "")</f>
        <v/>
      </c>
      <c r="Y105" s="1" t="str">
        <f>IF(Table1[[#This Row],[Included?]], (Table1[[#This Row],[I OB]]-Data!AA$188)/(Data!AA$187-Data!AA$188), "")</f>
        <v/>
      </c>
      <c r="Z105" s="1" t="str">
        <f>IF(Table1[[#This Row],[Included?]], SUM(Table35[[#This Row],[I R Scale]:[I OBP Scale]]), "")</f>
        <v/>
      </c>
      <c r="AA105" s="1" t="str">
        <f>IF(Table1[[#This Row],[Included?]], SUM(Table35[[#This Row],[I R Scale]:[I SB Scale]],Table35[[#This Row],[I OB Scale]]), "")</f>
        <v/>
      </c>
      <c r="AB10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5" s="1" t="str">
        <f>IF(Table1[[#This Row],[Included?]], Table35[[#This Row],[I Tot Scale]]*AF$185+AF$186, "")</f>
        <v/>
      </c>
      <c r="AG105" s="1" t="str">
        <f>IF(Table1[[#This Row],[Included?]], Table35[[#This Row],[I OB Tot Scale]]*AG$185+AG$186, "")</f>
        <v/>
      </c>
      <c r="AH105" s="1" t="str">
        <f>IF(Table1[[#This Row],[Included?]], Table35[[#This Row],[I Weighted Scale]]*AH$185+AH$186, "")</f>
        <v/>
      </c>
      <c r="AI105" s="1" t="str">
        <f>IF(Table1[[#This Row],[Included?]], Table35[[#This Row],[I OB Weighted Scale]]*AI$185+AI$186, "")</f>
        <v/>
      </c>
      <c r="AJ105" s="1" t="str">
        <f>IF(Table1[[#This Row],[Included?]], Table35[[#This Row],[I Z-score]]*AJ$185+AJ$186, "")</f>
        <v/>
      </c>
      <c r="AK105" s="1" t="str">
        <f>IF(Table1[[#This Row],[Included?]], Table35[[#This Row],[I OBMod Z-Score]]*AK$185+AK$186, "")</f>
        <v/>
      </c>
      <c r="AL105" s="1" t="str">
        <f>IF(Table1[[#This Row],[Included?]], AVERAGE(Table35[[#This Row],[I Tot Value]:[I OB Z Value]]), "")</f>
        <v/>
      </c>
    </row>
    <row r="106" spans="1:38" hidden="1" x14ac:dyDescent="0.25">
      <c r="A106" s="1">
        <f>(Table1[[#This Row],[R]]-Data!H$188)/(Data!H$187-Data!H$188)</f>
        <v>0.47443181818181823</v>
      </c>
      <c r="B106" s="1">
        <f>(Table1[[#This Row],[HR]]-Data!I$188)/(Data!I$187-Data!I$188)</f>
        <v>0.22940776038121172</v>
      </c>
      <c r="C106" s="1">
        <f>(Table1[[#This Row],[RBI]]-Data!J$188)/(Data!J$187-Data!J$188)</f>
        <v>0.26626540556033246</v>
      </c>
      <c r="D106" s="1">
        <f>(Table1[[#This Row],[SB]]-Data!K$188)/(Data!K$187-Data!K$188)</f>
        <v>0.27917189460476782</v>
      </c>
      <c r="E106" s="1">
        <f>(Table1[[#This Row],[OBP]]-Data!L$188)/(Data!L$187-Data!L$188)</f>
        <v>0.33738239894328026</v>
      </c>
      <c r="F106" s="1">
        <f>(Table1[[#This Row],[OB]]-Data!P$188)/(Data!P$187-Data!P$188)</f>
        <v>0.47964444975575121</v>
      </c>
      <c r="G106" s="1">
        <f>SUM(Table3[[#This Row],[R Scale]:[OBP Scale]])</f>
        <v>1.5866592776714106</v>
      </c>
      <c r="H106" s="1">
        <f>SUM(Table3[[#This Row],[R Scale]:[SB Scale]],Table3[[#This Row],[OB Scale]])</f>
        <v>1.7289213284838816</v>
      </c>
      <c r="I106" s="1">
        <f>Table3[[#This Row],[R Scale]]*Data!B$192+Table3[[#This Row],[HR Scale]]*Data!C$192+Table3[[#This Row],[RBI Scale]]*Data!D$192+Table3[[#This Row],[SB Scale]]*Data!E$192+Table3[[#This Row],[OBP Scale]]*Data!F$192</f>
        <v>1.6599456567539512</v>
      </c>
      <c r="J106" s="1">
        <f>Table3[[#This Row],[R Scale]]*Data!B$192+Table3[[#This Row],[HR Scale]]*Data!C$192+Table3[[#This Row],[RBI Scale]]*Data!D$192+Table3[[#This Row],[SB Scale]]*Data!E$192+Table3[[#This Row],[OB Scale]]*Data!F$192</f>
        <v>1.8306601177289163</v>
      </c>
      <c r="K10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-0.91985072337807883</v>
      </c>
      <c r="L10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-0.97104047169566621</v>
      </c>
      <c r="M106" s="1">
        <f ca="1">Table3[[#This Row],[Tot Scale]]*M$185+M$186</f>
        <v>-7.8623874839111707</v>
      </c>
      <c r="N106" s="1">
        <f ca="1">Table3[[#This Row],[OB Tot Scale]]*N$185+N$186</f>
        <v>-4.4649004146433953</v>
      </c>
      <c r="O106" s="1">
        <f ca="1">Table3[[#This Row],[Weighted Scale]]*O$185+O$186</f>
        <v>-9.102195890566513</v>
      </c>
      <c r="P106" s="1">
        <f ca="1">Table3[[#This Row],[OB Weighted Scale]]*P$185+P$186</f>
        <v>-5.3919210788170346</v>
      </c>
      <c r="Q106" s="1">
        <f ca="1">Table3[[#This Row],[Z-score]]*Q$185+Q$186</f>
        <v>-5.3526177139264917</v>
      </c>
      <c r="R106" s="1">
        <f ca="1">Table3[[#This Row],[OBMod Z-Score]]*R$185+R$186</f>
        <v>-5.4177759513610084</v>
      </c>
      <c r="S106" s="1">
        <f ca="1">AVERAGE(Table3[[#This Row],[Tot Value]:[OB Z Value]])</f>
        <v>-6.265299755537602</v>
      </c>
      <c r="T106" s="1" t="str">
        <f>IF(Table1[[#This Row],[Included?]], (Table1[[#This Row],[I R]]-Data!S$188)/(Data!S$187-Data!S$188), "")</f>
        <v/>
      </c>
      <c r="U106" s="1" t="str">
        <f>IF(Table1[[#This Row],[Included?]], (Table1[[#This Row],[I HR]]-Data!T$188)/(Data!T$187-Data!T$188), "")</f>
        <v/>
      </c>
      <c r="V106" s="1" t="str">
        <f>IF(Table1[[#This Row],[Included?]], (Table1[[#This Row],[I RBI]]-Data!U$188)/(Data!U$187-Data!U$188), "")</f>
        <v/>
      </c>
      <c r="W106" s="1" t="str">
        <f>IF(Table1[[#This Row],[Included?]], (Table1[[#This Row],[I SB]]-Data!V$188)/(Data!V$187-Data!V$188), "")</f>
        <v/>
      </c>
      <c r="X106" s="1" t="str">
        <f>IF(Table1[[#This Row],[Included?]], (Table1[[#This Row],[I OBP]]-Data!W$188)/(Data!W$187-Data!W$188), "")</f>
        <v/>
      </c>
      <c r="Y106" s="1" t="str">
        <f>IF(Table1[[#This Row],[Included?]], (Table1[[#This Row],[I OB]]-Data!AA$188)/(Data!AA$187-Data!AA$188), "")</f>
        <v/>
      </c>
      <c r="Z106" s="1" t="str">
        <f>IF(Table1[[#This Row],[Included?]], SUM(Table35[[#This Row],[I R Scale]:[I OBP Scale]]), "")</f>
        <v/>
      </c>
      <c r="AA106" s="1" t="str">
        <f>IF(Table1[[#This Row],[Included?]], SUM(Table35[[#This Row],[I R Scale]:[I SB Scale]],Table35[[#This Row],[I OB Scale]]), "")</f>
        <v/>
      </c>
      <c r="AB10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6" s="1" t="str">
        <f>IF(Table1[[#This Row],[Included?]], Table35[[#This Row],[I Tot Scale]]*AF$185+AF$186, "")</f>
        <v/>
      </c>
      <c r="AG106" s="1" t="str">
        <f>IF(Table1[[#This Row],[Included?]], Table35[[#This Row],[I OB Tot Scale]]*AG$185+AG$186, "")</f>
        <v/>
      </c>
      <c r="AH106" s="1" t="str">
        <f>IF(Table1[[#This Row],[Included?]], Table35[[#This Row],[I Weighted Scale]]*AH$185+AH$186, "")</f>
        <v/>
      </c>
      <c r="AI106" s="1" t="str">
        <f>IF(Table1[[#This Row],[Included?]], Table35[[#This Row],[I OB Weighted Scale]]*AI$185+AI$186, "")</f>
        <v/>
      </c>
      <c r="AJ106" s="1" t="str">
        <f>IF(Table1[[#This Row],[Included?]], Table35[[#This Row],[I Z-score]]*AJ$185+AJ$186, "")</f>
        <v/>
      </c>
      <c r="AK106" s="1" t="str">
        <f>IF(Table1[[#This Row],[Included?]], Table35[[#This Row],[I OBMod Z-Score]]*AK$185+AK$186, "")</f>
        <v/>
      </c>
      <c r="AL106" s="1" t="str">
        <f>IF(Table1[[#This Row],[Included?]], AVERAGE(Table35[[#This Row],[I Tot Value]:[I OB Z Value]]), "")</f>
        <v/>
      </c>
    </row>
    <row r="107" spans="1:38" hidden="1" x14ac:dyDescent="0.25">
      <c r="A107" s="1">
        <f>(Table1[[#This Row],[R]]-Data!H$188)/(Data!H$187-Data!H$188)</f>
        <v>0.46704545454545449</v>
      </c>
      <c r="B107" s="1">
        <f>(Table1[[#This Row],[HR]]-Data!I$188)/(Data!I$187-Data!I$188)</f>
        <v>0.53233492171545271</v>
      </c>
      <c r="C107" s="1">
        <f>(Table1[[#This Row],[RBI]]-Data!J$188)/(Data!J$187-Data!J$188)</f>
        <v>0.27113786185153343</v>
      </c>
      <c r="D107" s="1">
        <f>(Table1[[#This Row],[SB]]-Data!K$188)/(Data!K$187-Data!K$188)</f>
        <v>0.14836888331242154</v>
      </c>
      <c r="E107" s="1">
        <f>(Table1[[#This Row],[OBP]]-Data!L$188)/(Data!L$187-Data!L$188)</f>
        <v>0.40339383164455983</v>
      </c>
      <c r="F107" s="1">
        <f>(Table1[[#This Row],[OB]]-Data!P$188)/(Data!P$187-Data!P$188)</f>
        <v>0.41632809888343164</v>
      </c>
      <c r="G107" s="1">
        <f>SUM(Table3[[#This Row],[R Scale]:[OBP Scale]])</f>
        <v>1.8222809530694219</v>
      </c>
      <c r="H107" s="1">
        <f>SUM(Table3[[#This Row],[R Scale]:[SB Scale]],Table3[[#This Row],[OB Scale]])</f>
        <v>1.8352152203082939</v>
      </c>
      <c r="I107" s="1">
        <f>Table3[[#This Row],[R Scale]]*Data!B$192+Table3[[#This Row],[HR Scale]]*Data!C$192+Table3[[#This Row],[RBI Scale]]*Data!D$192+Table3[[#This Row],[SB Scale]]*Data!E$192+Table3[[#This Row],[OBP Scale]]*Data!F$192</f>
        <v>1.910482746314095</v>
      </c>
      <c r="J107" s="1">
        <f>Table3[[#This Row],[R Scale]]*Data!B$192+Table3[[#This Row],[HR Scale]]*Data!C$192+Table3[[#This Row],[RBI Scale]]*Data!D$192+Table3[[#This Row],[SB Scale]]*Data!E$192+Table3[[#This Row],[OB Scale]]*Data!F$192</f>
        <v>1.9260038670007411</v>
      </c>
      <c r="K10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-0.11901652579213567</v>
      </c>
      <c r="L10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-0.13793207882370928</v>
      </c>
      <c r="M107" s="1">
        <f ca="1">Table3[[#This Row],[Tot Scale]]*M$185+M$186</f>
        <v>0.83955517253311029</v>
      </c>
      <c r="N107" s="1">
        <f ca="1">Table3[[#This Row],[OB Tot Scale]]*N$185+N$186</f>
        <v>-0.58857627433194182</v>
      </c>
      <c r="O107" s="1">
        <f ca="1">Table3[[#This Row],[Weighted Scale]]*O$185+O$186</f>
        <v>-0.48515773865820222</v>
      </c>
      <c r="P107" s="1">
        <f ca="1">Table3[[#This Row],[OB Weighted Scale]]*P$185+P$186</f>
        <v>-2.1368256914316817</v>
      </c>
      <c r="Q107" s="1">
        <f ca="1">Table3[[#This Row],[Z-score]]*Q$185+Q$186</f>
        <v>0.53172134632783419</v>
      </c>
      <c r="R107" s="1">
        <f ca="1">Table3[[#This Row],[OBMod Z-Score]]*R$185+R$186</f>
        <v>0.64767905898013822</v>
      </c>
      <c r="S107" s="1">
        <f ca="1">AVERAGE(Table3[[#This Row],[Tot Value]:[OB Z Value]])</f>
        <v>-0.19860068776345718</v>
      </c>
      <c r="T107" s="1" t="str">
        <f>IF(Table1[[#This Row],[Included?]], (Table1[[#This Row],[I R]]-Data!S$188)/(Data!S$187-Data!S$188), "")</f>
        <v/>
      </c>
      <c r="U107" s="1" t="str">
        <f>IF(Table1[[#This Row],[Included?]], (Table1[[#This Row],[I HR]]-Data!T$188)/(Data!T$187-Data!T$188), "")</f>
        <v/>
      </c>
      <c r="V107" s="1" t="str">
        <f>IF(Table1[[#This Row],[Included?]], (Table1[[#This Row],[I RBI]]-Data!U$188)/(Data!U$187-Data!U$188), "")</f>
        <v/>
      </c>
      <c r="W107" s="1" t="str">
        <f>IF(Table1[[#This Row],[Included?]], (Table1[[#This Row],[I SB]]-Data!V$188)/(Data!V$187-Data!V$188), "")</f>
        <v/>
      </c>
      <c r="X107" s="1" t="str">
        <f>IF(Table1[[#This Row],[Included?]], (Table1[[#This Row],[I OBP]]-Data!W$188)/(Data!W$187-Data!W$188), "")</f>
        <v/>
      </c>
      <c r="Y107" s="1" t="str">
        <f>IF(Table1[[#This Row],[Included?]], (Table1[[#This Row],[I OB]]-Data!AA$188)/(Data!AA$187-Data!AA$188), "")</f>
        <v/>
      </c>
      <c r="Z107" s="1" t="str">
        <f>IF(Table1[[#This Row],[Included?]], SUM(Table35[[#This Row],[I R Scale]:[I OBP Scale]]), "")</f>
        <v/>
      </c>
      <c r="AA107" s="1" t="str">
        <f>IF(Table1[[#This Row],[Included?]], SUM(Table35[[#This Row],[I R Scale]:[I SB Scale]],Table35[[#This Row],[I OB Scale]]), "")</f>
        <v/>
      </c>
      <c r="AB10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7" s="1" t="str">
        <f>IF(Table1[[#This Row],[Included?]], Table35[[#This Row],[I Tot Scale]]*AF$185+AF$186, "")</f>
        <v/>
      </c>
      <c r="AG107" s="1" t="str">
        <f>IF(Table1[[#This Row],[Included?]], Table35[[#This Row],[I OB Tot Scale]]*AG$185+AG$186, "")</f>
        <v/>
      </c>
      <c r="AH107" s="1" t="str">
        <f>IF(Table1[[#This Row],[Included?]], Table35[[#This Row],[I Weighted Scale]]*AH$185+AH$186, "")</f>
        <v/>
      </c>
      <c r="AI107" s="1" t="str">
        <f>IF(Table1[[#This Row],[Included?]], Table35[[#This Row],[I OB Weighted Scale]]*AI$185+AI$186, "")</f>
        <v/>
      </c>
      <c r="AJ107" s="1" t="str">
        <f>IF(Table1[[#This Row],[Included?]], Table35[[#This Row],[I Z-score]]*AJ$185+AJ$186, "")</f>
        <v/>
      </c>
      <c r="AK107" s="1" t="str">
        <f>IF(Table1[[#This Row],[Included?]], Table35[[#This Row],[I OBMod Z-Score]]*AK$185+AK$186, "")</f>
        <v/>
      </c>
      <c r="AL107" s="1" t="str">
        <f>IF(Table1[[#This Row],[Included?]], AVERAGE(Table35[[#This Row],[I Tot Value]:[I OB Z Value]]), "")</f>
        <v/>
      </c>
    </row>
    <row r="108" spans="1:38" hidden="1" x14ac:dyDescent="0.25">
      <c r="A108" s="1">
        <f>(Table1[[#This Row],[R]]-Data!H$188)/(Data!H$187-Data!H$188)</f>
        <v>0.45397727272727273</v>
      </c>
      <c r="B108" s="1">
        <f>(Table1[[#This Row],[HR]]-Data!I$188)/(Data!I$187-Data!I$188)</f>
        <v>0.44043567052416599</v>
      </c>
      <c r="C108" s="1">
        <f>(Table1[[#This Row],[RBI]]-Data!J$188)/(Data!J$187-Data!J$188)</f>
        <v>0.28575523072513609</v>
      </c>
      <c r="D108" s="1">
        <f>(Table1[[#This Row],[SB]]-Data!K$188)/(Data!K$187-Data!K$188)</f>
        <v>0.20012547051442908</v>
      </c>
      <c r="E108" s="1">
        <f>(Table1[[#This Row],[OBP]]-Data!L$188)/(Data!L$187-Data!L$188)</f>
        <v>0.44292001708639039</v>
      </c>
      <c r="F108" s="1">
        <f>(Table1[[#This Row],[OB]]-Data!P$188)/(Data!P$187-Data!P$188)</f>
        <v>0.41999260210186867</v>
      </c>
      <c r="G108" s="1">
        <f>SUM(Table3[[#This Row],[R Scale]:[OBP Scale]])</f>
        <v>1.8232136615773942</v>
      </c>
      <c r="H108" s="1">
        <f>SUM(Table3[[#This Row],[R Scale]:[SB Scale]],Table3[[#This Row],[OB Scale]])</f>
        <v>1.8002862465928726</v>
      </c>
      <c r="I108" s="1">
        <f>Table3[[#This Row],[R Scale]]*Data!B$192+Table3[[#This Row],[HR Scale]]*Data!C$192+Table3[[#This Row],[RBI Scale]]*Data!D$192+Table3[[#This Row],[SB Scale]]*Data!E$192+Table3[[#This Row],[OBP Scale]]*Data!F$192</f>
        <v>1.9235509838669724</v>
      </c>
      <c r="J108" s="1">
        <f>Table3[[#This Row],[R Scale]]*Data!B$192+Table3[[#This Row],[HR Scale]]*Data!C$192+Table3[[#This Row],[RBI Scale]]*Data!D$192+Table3[[#This Row],[SB Scale]]*Data!E$192+Table3[[#This Row],[OB Scale]]*Data!F$192</f>
        <v>1.8960380858855463</v>
      </c>
      <c r="K10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5.6342233220494656E-2</v>
      </c>
      <c r="L10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2.2717161817954863E-2</v>
      </c>
      <c r="M108" s="1">
        <f ca="1">Table3[[#This Row],[Tot Scale]]*M$185+M$186</f>
        <v>0.87400181645007535</v>
      </c>
      <c r="N108" s="1">
        <f ca="1">Table3[[#This Row],[OB Tot Scale]]*N$185+N$186</f>
        <v>-1.8623655926594154</v>
      </c>
      <c r="O108" s="1">
        <f ca="1">Table3[[#This Row],[Weighted Scale]]*O$185+O$186</f>
        <v>-3.5685360061279425E-2</v>
      </c>
      <c r="P108" s="1">
        <f ca="1">Table3[[#This Row],[OB Weighted Scale]]*P$185+P$186</f>
        <v>-3.1598762493594847</v>
      </c>
      <c r="Q108" s="1">
        <f ca="1">Table3[[#This Row],[Z-score]]*Q$185+Q$186</f>
        <v>1.820215766678819</v>
      </c>
      <c r="R108" s="1">
        <f ca="1">Table3[[#This Row],[OBMod Z-Score]]*R$185+R$186</f>
        <v>1.8172876596070229</v>
      </c>
      <c r="S108" s="1">
        <f ca="1">AVERAGE(Table3[[#This Row],[Tot Value]:[OB Z Value]])</f>
        <v>-9.1070326557377013E-2</v>
      </c>
      <c r="T108" s="1">
        <f>IF(Table1[[#This Row],[Included?]], (Table1[[#This Row],[I R]]-Data!S$188)/(Data!S$187-Data!S$188), "")</f>
        <v>0.30987432675044885</v>
      </c>
      <c r="U108" s="1">
        <f>IF(Table1[[#This Row],[Included?]], (Table1[[#This Row],[I HR]]-Data!T$188)/(Data!T$187-Data!T$188), "")</f>
        <v>0.44043567052416599</v>
      </c>
      <c r="V108" s="1">
        <f>IF(Table1[[#This Row],[Included?]], (Table1[[#This Row],[I RBI]]-Data!U$188)/(Data!U$187-Data!U$188), "")</f>
        <v>0.10101010101010101</v>
      </c>
      <c r="W108" s="1">
        <f>IF(Table1[[#This Row],[Included?]], (Table1[[#This Row],[I SB]]-Data!V$188)/(Data!V$187-Data!V$188), "")</f>
        <v>0.20012547051442908</v>
      </c>
      <c r="X108" s="1">
        <f>IF(Table1[[#This Row],[Included?]], (Table1[[#This Row],[I OBP]]-Data!W$188)/(Data!W$187-Data!W$188), "")</f>
        <v>0.33018880184149696</v>
      </c>
      <c r="Y108" s="1">
        <f>IF(Table1[[#This Row],[Included?]], (Table1[[#This Row],[I OB]]-Data!AA$188)/(Data!AA$187-Data!AA$188), "")</f>
        <v>0.10706483890606922</v>
      </c>
      <c r="Z108" s="1">
        <f>IF(Table1[[#This Row],[Included?]], SUM(Table35[[#This Row],[I R Scale]:[I OBP Scale]]), "")</f>
        <v>1.3816343706406418</v>
      </c>
      <c r="AA108" s="1">
        <f>IF(Table1[[#This Row],[Included?]], SUM(Table35[[#This Row],[I R Scale]:[I SB Scale]],Table35[[#This Row],[I OB Scale]]), "")</f>
        <v>1.1585104077052142</v>
      </c>
      <c r="AB10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1.4368867185359169</v>
      </c>
      <c r="AC10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1.1691379630134036</v>
      </c>
      <c r="AD10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-2.6283790120558486</v>
      </c>
      <c r="AE10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-2.5285776843099086</v>
      </c>
      <c r="AF108" s="1">
        <f ca="1">IF(Table1[[#This Row],[Included?]], Table35[[#This Row],[I Tot Scale]]*AF$185+AF$186, "")</f>
        <v>7.6483161659071186</v>
      </c>
      <c r="AG108" s="1">
        <f ca="1">IF(Table1[[#This Row],[Included?]], Table35[[#This Row],[I OB Tot Scale]]*AG$185+AG$186, "")</f>
        <v>9.0336405574628689</v>
      </c>
      <c r="AH108" s="1">
        <f ca="1">IF(Table1[[#This Row],[Included?]], Table35[[#This Row],[I Weighted Scale]]*AH$185+AH$186, "")</f>
        <v>6.9554730783854204</v>
      </c>
      <c r="AI108" s="1">
        <f ca="1">IF(Table1[[#This Row],[Included?]], Table35[[#This Row],[I OB Weighted Scale]]*AI$185+AI$186, "")</f>
        <v>8.309398789690416</v>
      </c>
      <c r="AJ108" s="1">
        <f ca="1">IF(Table1[[#This Row],[Included?]], Table35[[#This Row],[I Z-score]]*AJ$185+AJ$186, "")</f>
        <v>8.0674261816682815</v>
      </c>
      <c r="AK108" s="1">
        <f ca="1">IF(Table1[[#This Row],[Included?]], Table35[[#This Row],[I OBMod Z-Score]]*AK$185+AK$186, "")</f>
        <v>8.5406621022736076</v>
      </c>
      <c r="AL108" s="1">
        <f ca="1">IF(Table1[[#This Row],[Included?]], AVERAGE(Table35[[#This Row],[I Tot Value]:[I OB Z Value]]), "")</f>
        <v>8.0924861458979525</v>
      </c>
    </row>
    <row r="109" spans="1:38" hidden="1" x14ac:dyDescent="0.25">
      <c r="A109" s="1">
        <f>(Table1[[#This Row],[R]]-Data!H$188)/(Data!H$187-Data!H$188)</f>
        <v>0.42017045454545449</v>
      </c>
      <c r="B109" s="1">
        <f>(Table1[[#This Row],[HR]]-Data!I$188)/(Data!I$187-Data!I$188)</f>
        <v>0.13138189244383935</v>
      </c>
      <c r="C109" s="1">
        <f>(Table1[[#This Row],[RBI]]-Data!J$188)/(Data!J$187-Data!J$188)</f>
        <v>0.4726282602464888</v>
      </c>
      <c r="D109" s="1">
        <f>(Table1[[#This Row],[SB]]-Data!K$188)/(Data!K$187-Data!K$188)</f>
        <v>1.442910915934755E-2</v>
      </c>
      <c r="E109" s="1">
        <f>(Table1[[#This Row],[OBP]]-Data!L$188)/(Data!L$187-Data!L$188)</f>
        <v>0.57299579292982605</v>
      </c>
      <c r="F109" s="1">
        <f>(Table1[[#This Row],[OB]]-Data!P$188)/(Data!P$187-Data!P$188)</f>
        <v>0.55403939646813638</v>
      </c>
      <c r="G109" s="1">
        <f>SUM(Table3[[#This Row],[R Scale]:[OBP Scale]])</f>
        <v>1.6116055093249564</v>
      </c>
      <c r="H109" s="1">
        <f>SUM(Table3[[#This Row],[R Scale]:[SB Scale]],Table3[[#This Row],[OB Scale]])</f>
        <v>1.5926491128632665</v>
      </c>
      <c r="I109" s="1">
        <f>Table3[[#This Row],[R Scale]]*Data!B$192+Table3[[#This Row],[HR Scale]]*Data!C$192+Table3[[#This Row],[RBI Scale]]*Data!D$192+Table3[[#This Row],[SB Scale]]*Data!E$192+Table3[[#This Row],[OBP Scale]]*Data!F$192</f>
        <v>1.7787132745056735</v>
      </c>
      <c r="J109" s="1">
        <f>Table3[[#This Row],[R Scale]]*Data!B$192+Table3[[#This Row],[HR Scale]]*Data!C$192+Table3[[#This Row],[RBI Scale]]*Data!D$192+Table3[[#This Row],[SB Scale]]*Data!E$192+Table3[[#This Row],[OB Scale]]*Data!F$192</f>
        <v>1.755965598751646</v>
      </c>
      <c r="K10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-1.1624828531599425</v>
      </c>
      <c r="L10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-1.1922903135945961</v>
      </c>
      <c r="M109" s="1">
        <f ca="1">Table3[[#This Row],[Tot Scale]]*M$185+M$186</f>
        <v>-6.9410771801081026</v>
      </c>
      <c r="N109" s="1">
        <f ca="1">Table3[[#This Row],[OB Tot Scale]]*N$185+N$186</f>
        <v>-9.4344736422048854</v>
      </c>
      <c r="O109" s="1">
        <f ca="1">Table3[[#This Row],[Weighted Scale]]*O$185+O$186</f>
        <v>-5.0172713982502941</v>
      </c>
      <c r="P109" s="1">
        <f ca="1">Table3[[#This Row],[OB Weighted Scale]]*P$185+P$186</f>
        <v>-7.9420387954247147</v>
      </c>
      <c r="Q109" s="1">
        <f ca="1">Table3[[#This Row],[Z-score]]*Q$185+Q$186</f>
        <v>-7.1354208495217319</v>
      </c>
      <c r="R109" s="1">
        <f ca="1">Table3[[#This Row],[OBMod Z-Score]]*R$185+R$186</f>
        <v>-7.0285879100028694</v>
      </c>
      <c r="S109" s="1">
        <f ca="1">AVERAGE(Table3[[#This Row],[Tot Value]:[OB Z Value]])</f>
        <v>-7.2498116292520995</v>
      </c>
      <c r="T109" s="1" t="str">
        <f>IF(Table1[[#This Row],[Included?]], (Table1[[#This Row],[I R]]-Data!S$188)/(Data!S$187-Data!S$188), "")</f>
        <v/>
      </c>
      <c r="U109" s="1" t="str">
        <f>IF(Table1[[#This Row],[Included?]], (Table1[[#This Row],[I HR]]-Data!T$188)/(Data!T$187-Data!T$188), "")</f>
        <v/>
      </c>
      <c r="V109" s="1" t="str">
        <f>IF(Table1[[#This Row],[Included?]], (Table1[[#This Row],[I RBI]]-Data!U$188)/(Data!U$187-Data!U$188), "")</f>
        <v/>
      </c>
      <c r="W109" s="1" t="str">
        <f>IF(Table1[[#This Row],[Included?]], (Table1[[#This Row],[I SB]]-Data!V$188)/(Data!V$187-Data!V$188), "")</f>
        <v/>
      </c>
      <c r="X109" s="1" t="str">
        <f>IF(Table1[[#This Row],[Included?]], (Table1[[#This Row],[I OBP]]-Data!W$188)/(Data!W$187-Data!W$188), "")</f>
        <v/>
      </c>
      <c r="Y109" s="1" t="str">
        <f>IF(Table1[[#This Row],[Included?]], (Table1[[#This Row],[I OB]]-Data!AA$188)/(Data!AA$187-Data!AA$188), "")</f>
        <v/>
      </c>
      <c r="Z109" s="1" t="str">
        <f>IF(Table1[[#This Row],[Included?]], SUM(Table35[[#This Row],[I R Scale]:[I OBP Scale]]), "")</f>
        <v/>
      </c>
      <c r="AA109" s="1" t="str">
        <f>IF(Table1[[#This Row],[Included?]], SUM(Table35[[#This Row],[I R Scale]:[I SB Scale]],Table35[[#This Row],[I OB Scale]]), "")</f>
        <v/>
      </c>
      <c r="AB10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0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0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0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09" s="1" t="str">
        <f>IF(Table1[[#This Row],[Included?]], Table35[[#This Row],[I Tot Scale]]*AF$185+AF$186, "")</f>
        <v/>
      </c>
      <c r="AG109" s="1" t="str">
        <f>IF(Table1[[#This Row],[Included?]], Table35[[#This Row],[I OB Tot Scale]]*AG$185+AG$186, "")</f>
        <v/>
      </c>
      <c r="AH109" s="1" t="str">
        <f>IF(Table1[[#This Row],[Included?]], Table35[[#This Row],[I Weighted Scale]]*AH$185+AH$186, "")</f>
        <v/>
      </c>
      <c r="AI109" s="1" t="str">
        <f>IF(Table1[[#This Row],[Included?]], Table35[[#This Row],[I OB Weighted Scale]]*AI$185+AI$186, "")</f>
        <v/>
      </c>
      <c r="AJ109" s="1" t="str">
        <f>IF(Table1[[#This Row],[Included?]], Table35[[#This Row],[I Z-score]]*AJ$185+AJ$186, "")</f>
        <v/>
      </c>
      <c r="AK109" s="1" t="str">
        <f>IF(Table1[[#This Row],[Included?]], Table35[[#This Row],[I OBMod Z-Score]]*AK$185+AK$186, "")</f>
        <v/>
      </c>
      <c r="AL109" s="1" t="str">
        <f>IF(Table1[[#This Row],[Included?]], AVERAGE(Table35[[#This Row],[I Tot Value]:[I OB Z Value]]), "")</f>
        <v/>
      </c>
    </row>
    <row r="110" spans="1:38" hidden="1" x14ac:dyDescent="0.25">
      <c r="A110" s="1">
        <f>(Table1[[#This Row],[R]]-Data!H$188)/(Data!H$187-Data!H$188)</f>
        <v>0.33721590909090909</v>
      </c>
      <c r="B110" s="1">
        <f>(Table1[[#This Row],[HR]]-Data!I$188)/(Data!I$187-Data!I$188)</f>
        <v>0.34717494894486034</v>
      </c>
      <c r="C110" s="1">
        <f>(Table1[[#This Row],[RBI]]-Data!J$188)/(Data!J$187-Data!J$188)</f>
        <v>0.33018056749785024</v>
      </c>
      <c r="D110" s="1">
        <f>(Table1[[#This Row],[SB]]-Data!K$188)/(Data!K$187-Data!K$188)</f>
        <v>9.3161856963613524E-2</v>
      </c>
      <c r="E110" s="1">
        <f>(Table1[[#This Row],[OBP]]-Data!L$188)/(Data!L$187-Data!L$188)</f>
        <v>0.34630928047906873</v>
      </c>
      <c r="F110" s="1">
        <f>(Table1[[#This Row],[OB]]-Data!P$188)/(Data!P$187-Data!P$188)</f>
        <v>0.55922339419662459</v>
      </c>
      <c r="G110" s="1">
        <f>SUM(Table3[[#This Row],[R Scale]:[OBP Scale]])</f>
        <v>1.4540425629763019</v>
      </c>
      <c r="H110" s="1">
        <f>SUM(Table3[[#This Row],[R Scale]:[SB Scale]],Table3[[#This Row],[OB Scale]])</f>
        <v>1.6669566766938577</v>
      </c>
      <c r="I110" s="1">
        <f>Table3[[#This Row],[R Scale]]*Data!B$192+Table3[[#This Row],[HR Scale]]*Data!C$192+Table3[[#This Row],[RBI Scale]]*Data!D$192+Table3[[#This Row],[SB Scale]]*Data!E$192+Table3[[#This Row],[OBP Scale]]*Data!F$192</f>
        <v>1.5556189416625947</v>
      </c>
      <c r="J110" s="1">
        <f>Table3[[#This Row],[R Scale]]*Data!B$192+Table3[[#This Row],[HR Scale]]*Data!C$192+Table3[[#This Row],[RBI Scale]]*Data!D$192+Table3[[#This Row],[SB Scale]]*Data!E$192+Table3[[#This Row],[OB Scale]]*Data!F$192</f>
        <v>1.8111158781236618</v>
      </c>
      <c r="K11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-2.0347258929889764</v>
      </c>
      <c r="L11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-2.1270618149947911</v>
      </c>
      <c r="M110" s="1">
        <f ca="1">Table3[[#This Row],[Tot Scale]]*M$185+M$186</f>
        <v>-12.760167132636177</v>
      </c>
      <c r="N110" s="1">
        <f ca="1">Table3[[#This Row],[OB Tot Scale]]*N$185+N$186</f>
        <v>-6.7246264577582906</v>
      </c>
      <c r="O110" s="1">
        <f ca="1">Table3[[#This Row],[Weighted Scale]]*O$185+O$186</f>
        <v>-12.690436201746778</v>
      </c>
      <c r="P110" s="1">
        <f ca="1">Table3[[#This Row],[OB Weighted Scale]]*P$185+P$186</f>
        <v>-6.0591736745550335</v>
      </c>
      <c r="Q110" s="1">
        <f ca="1">Table3[[#This Row],[Z-score]]*Q$185+Q$186</f>
        <v>-13.544455085038553</v>
      </c>
      <c r="R110" s="1">
        <f ca="1">Table3[[#This Row],[OBMod Z-Score]]*R$185+R$186</f>
        <v>-13.834202323688581</v>
      </c>
      <c r="S110" s="1">
        <f ca="1">AVERAGE(Table3[[#This Row],[Tot Value]:[OB Z Value]])</f>
        <v>-10.935510145903903</v>
      </c>
      <c r="T110" s="1" t="str">
        <f>IF(Table1[[#This Row],[Included?]], (Table1[[#This Row],[I R]]-Data!S$188)/(Data!S$187-Data!S$188), "")</f>
        <v/>
      </c>
      <c r="U110" s="1" t="str">
        <f>IF(Table1[[#This Row],[Included?]], (Table1[[#This Row],[I HR]]-Data!T$188)/(Data!T$187-Data!T$188), "")</f>
        <v/>
      </c>
      <c r="V110" s="1" t="str">
        <f>IF(Table1[[#This Row],[Included?]], (Table1[[#This Row],[I RBI]]-Data!U$188)/(Data!U$187-Data!U$188), "")</f>
        <v/>
      </c>
      <c r="W110" s="1" t="str">
        <f>IF(Table1[[#This Row],[Included?]], (Table1[[#This Row],[I SB]]-Data!V$188)/(Data!V$187-Data!V$188), "")</f>
        <v/>
      </c>
      <c r="X110" s="1" t="str">
        <f>IF(Table1[[#This Row],[Included?]], (Table1[[#This Row],[I OBP]]-Data!W$188)/(Data!W$187-Data!W$188), "")</f>
        <v/>
      </c>
      <c r="Y110" s="1" t="str">
        <f>IF(Table1[[#This Row],[Included?]], (Table1[[#This Row],[I OB]]-Data!AA$188)/(Data!AA$187-Data!AA$188), "")</f>
        <v/>
      </c>
      <c r="Z110" s="1" t="str">
        <f>IF(Table1[[#This Row],[Included?]], SUM(Table35[[#This Row],[I R Scale]:[I OBP Scale]]), "")</f>
        <v/>
      </c>
      <c r="AA110" s="1" t="str">
        <f>IF(Table1[[#This Row],[Included?]], SUM(Table35[[#This Row],[I R Scale]:[I SB Scale]],Table35[[#This Row],[I OB Scale]]), "")</f>
        <v/>
      </c>
      <c r="AB11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0" s="1" t="str">
        <f>IF(Table1[[#This Row],[Included?]], Table35[[#This Row],[I Tot Scale]]*AF$185+AF$186, "")</f>
        <v/>
      </c>
      <c r="AG110" s="1" t="str">
        <f>IF(Table1[[#This Row],[Included?]], Table35[[#This Row],[I OB Tot Scale]]*AG$185+AG$186, "")</f>
        <v/>
      </c>
      <c r="AH110" s="1" t="str">
        <f>IF(Table1[[#This Row],[Included?]], Table35[[#This Row],[I Weighted Scale]]*AH$185+AH$186, "")</f>
        <v/>
      </c>
      <c r="AI110" s="1" t="str">
        <f>IF(Table1[[#This Row],[Included?]], Table35[[#This Row],[I OB Weighted Scale]]*AI$185+AI$186, "")</f>
        <v/>
      </c>
      <c r="AJ110" s="1" t="str">
        <f>IF(Table1[[#This Row],[Included?]], Table35[[#This Row],[I Z-score]]*AJ$185+AJ$186, "")</f>
        <v/>
      </c>
      <c r="AK110" s="1" t="str">
        <f>IF(Table1[[#This Row],[Included?]], Table35[[#This Row],[I OBMod Z-Score]]*AK$185+AK$186, "")</f>
        <v/>
      </c>
      <c r="AL110" s="1" t="str">
        <f>IF(Table1[[#This Row],[Included?]], AVERAGE(Table35[[#This Row],[I Tot Value]:[I OB Z Value]]), "")</f>
        <v/>
      </c>
    </row>
    <row r="111" spans="1:38" hidden="1" x14ac:dyDescent="0.25">
      <c r="A111" s="1">
        <f>(Table1[[#This Row],[R]]-Data!H$188)/(Data!H$187-Data!H$188)</f>
        <v>0.31079545454545454</v>
      </c>
      <c r="B111" s="1">
        <f>(Table1[[#This Row],[HR]]-Data!I$188)/(Data!I$187-Data!I$188)</f>
        <v>0.57181756296800534</v>
      </c>
      <c r="C111" s="1">
        <f>(Table1[[#This Row],[RBI]]-Data!J$188)/(Data!J$187-Data!J$188)</f>
        <v>0.31097735740899968</v>
      </c>
      <c r="D111" s="1">
        <f>(Table1[[#This Row],[SB]]-Data!K$188)/(Data!K$187-Data!K$188)</f>
        <v>6.3676286072772884E-2</v>
      </c>
      <c r="E111" s="1">
        <f>(Table1[[#This Row],[OBP]]-Data!L$188)/(Data!L$187-Data!L$188)</f>
        <v>0.50542028350135149</v>
      </c>
      <c r="F111" s="1">
        <f>(Table1[[#This Row],[OB]]-Data!P$188)/(Data!P$187-Data!P$188)</f>
        <v>0.49982461019809299</v>
      </c>
      <c r="G111" s="1">
        <f>SUM(Table3[[#This Row],[R Scale]:[OBP Scale]])</f>
        <v>1.762686944496584</v>
      </c>
      <c r="H111" s="1">
        <f>SUM(Table3[[#This Row],[R Scale]:[SB Scale]],Table3[[#This Row],[OB Scale]])</f>
        <v>1.7570912711933255</v>
      </c>
      <c r="I111" s="1">
        <f>Table3[[#This Row],[R Scale]]*Data!B$192+Table3[[#This Row],[HR Scale]]*Data!C$192+Table3[[#This Row],[RBI Scale]]*Data!D$192+Table3[[#This Row],[SB Scale]]*Data!E$192+Table3[[#This Row],[OBP Scale]]*Data!F$192</f>
        <v>1.8948869272241087</v>
      </c>
      <c r="J111" s="1">
        <f>Table3[[#This Row],[R Scale]]*Data!B$192+Table3[[#This Row],[HR Scale]]*Data!C$192+Table3[[#This Row],[RBI Scale]]*Data!D$192+Table3[[#This Row],[SB Scale]]*Data!E$192+Table3[[#This Row],[OB Scale]]*Data!F$192</f>
        <v>1.8881721192601986</v>
      </c>
      <c r="K11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-0.57062641505377987</v>
      </c>
      <c r="L11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-0.61121526413000493</v>
      </c>
      <c r="M111" s="1">
        <f ca="1">Table3[[#This Row],[Tot Scale]]*M$185+M$186</f>
        <v>-1.3613613789365075</v>
      </c>
      <c r="N111" s="1">
        <f ca="1">Table3[[#This Row],[OB Tot Scale]]*N$185+N$186</f>
        <v>-3.4375993432310281</v>
      </c>
      <c r="O111" s="1">
        <f ca="1">Table3[[#This Row],[Weighted Scale]]*O$185+O$186</f>
        <v>-1.0215644173843401</v>
      </c>
      <c r="P111" s="1">
        <f ca="1">Table3[[#This Row],[OB Weighted Scale]]*P$185+P$186</f>
        <v>-3.4284252824638912</v>
      </c>
      <c r="Q111" s="1">
        <f ca="1">Table3[[#This Row],[Z-score]]*Q$185+Q$186</f>
        <v>-2.7866006226765379</v>
      </c>
      <c r="R111" s="1">
        <f ca="1">Table3[[#This Row],[OBMod Z-Score]]*R$185+R$186</f>
        <v>-2.7980644867429594</v>
      </c>
      <c r="S111" s="1">
        <f ca="1">AVERAGE(Table3[[#This Row],[Tot Value]:[OB Z Value]])</f>
        <v>-2.4722692552392105</v>
      </c>
      <c r="T111" s="1" t="str">
        <f>IF(Table1[[#This Row],[Included?]], (Table1[[#This Row],[I R]]-Data!S$188)/(Data!S$187-Data!S$188), "")</f>
        <v/>
      </c>
      <c r="U111" s="1" t="str">
        <f>IF(Table1[[#This Row],[Included?]], (Table1[[#This Row],[I HR]]-Data!T$188)/(Data!T$187-Data!T$188), "")</f>
        <v/>
      </c>
      <c r="V111" s="1" t="str">
        <f>IF(Table1[[#This Row],[Included?]], (Table1[[#This Row],[I RBI]]-Data!U$188)/(Data!U$187-Data!U$188), "")</f>
        <v/>
      </c>
      <c r="W111" s="1" t="str">
        <f>IF(Table1[[#This Row],[Included?]], (Table1[[#This Row],[I SB]]-Data!V$188)/(Data!V$187-Data!V$188), "")</f>
        <v/>
      </c>
      <c r="X111" s="1" t="str">
        <f>IF(Table1[[#This Row],[Included?]], (Table1[[#This Row],[I OBP]]-Data!W$188)/(Data!W$187-Data!W$188), "")</f>
        <v/>
      </c>
      <c r="Y111" s="1" t="str">
        <f>IF(Table1[[#This Row],[Included?]], (Table1[[#This Row],[I OB]]-Data!AA$188)/(Data!AA$187-Data!AA$188), "")</f>
        <v/>
      </c>
      <c r="Z111" s="1" t="str">
        <f>IF(Table1[[#This Row],[Included?]], SUM(Table35[[#This Row],[I R Scale]:[I OBP Scale]]), "")</f>
        <v/>
      </c>
      <c r="AA111" s="1" t="str">
        <f>IF(Table1[[#This Row],[Included?]], SUM(Table35[[#This Row],[I R Scale]:[I SB Scale]],Table35[[#This Row],[I OB Scale]]), "")</f>
        <v/>
      </c>
      <c r="AB11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1" s="1" t="str">
        <f>IF(Table1[[#This Row],[Included?]], Table35[[#This Row],[I Tot Scale]]*AF$185+AF$186, "")</f>
        <v/>
      </c>
      <c r="AG111" s="1" t="str">
        <f>IF(Table1[[#This Row],[Included?]], Table35[[#This Row],[I OB Tot Scale]]*AG$185+AG$186, "")</f>
        <v/>
      </c>
      <c r="AH111" s="1" t="str">
        <f>IF(Table1[[#This Row],[Included?]], Table35[[#This Row],[I Weighted Scale]]*AH$185+AH$186, "")</f>
        <v/>
      </c>
      <c r="AI111" s="1" t="str">
        <f>IF(Table1[[#This Row],[Included?]], Table35[[#This Row],[I OB Weighted Scale]]*AI$185+AI$186, "")</f>
        <v/>
      </c>
      <c r="AJ111" s="1" t="str">
        <f>IF(Table1[[#This Row],[Included?]], Table35[[#This Row],[I Z-score]]*AJ$185+AJ$186, "")</f>
        <v/>
      </c>
      <c r="AK111" s="1" t="str">
        <f>IF(Table1[[#This Row],[Included?]], Table35[[#This Row],[I OBMod Z-Score]]*AK$185+AK$186, "")</f>
        <v/>
      </c>
      <c r="AL111" s="1" t="str">
        <f>IF(Table1[[#This Row],[Included?]], AVERAGE(Table35[[#This Row],[I Tot Value]:[I OB Z Value]]), "")</f>
        <v/>
      </c>
    </row>
    <row r="112" spans="1:38" hidden="1" x14ac:dyDescent="0.25">
      <c r="A112" s="1">
        <f>(Table1[[#This Row],[R]]-Data!H$188)/(Data!H$187-Data!H$188)</f>
        <v>0.62698863636363666</v>
      </c>
      <c r="B112" s="1">
        <f>(Table1[[#This Row],[HR]]-Data!I$188)/(Data!I$187-Data!I$188)</f>
        <v>0.13410483321987746</v>
      </c>
      <c r="C112" s="1">
        <f>(Table1[[#This Row],[RBI]]-Data!J$188)/(Data!J$187-Data!J$188)</f>
        <v>0.32645457151046137</v>
      </c>
      <c r="D112" s="1">
        <f>(Table1[[#This Row],[SB]]-Data!K$188)/(Data!K$187-Data!K$188)</f>
        <v>4.7992471769134244E-2</v>
      </c>
      <c r="E112" s="1">
        <f>(Table1[[#This Row],[OBP]]-Data!L$188)/(Data!L$187-Data!L$188)</f>
        <v>0.25146956638125401</v>
      </c>
      <c r="F112" s="1">
        <f>(Table1[[#This Row],[OB]]-Data!P$188)/(Data!P$187-Data!P$188)</f>
        <v>0.49672810855078287</v>
      </c>
      <c r="G112" s="1">
        <f>SUM(Table3[[#This Row],[R Scale]:[OBP Scale]])</f>
        <v>1.3870100792443638</v>
      </c>
      <c r="H112" s="1">
        <f>SUM(Table3[[#This Row],[R Scale]:[SB Scale]],Table3[[#This Row],[OB Scale]])</f>
        <v>1.6322686214138926</v>
      </c>
      <c r="I112" s="1">
        <f>Table3[[#This Row],[R Scale]]*Data!B$192+Table3[[#This Row],[HR Scale]]*Data!C$192+Table3[[#This Row],[RBI Scale]]*Data!D$192+Table3[[#This Row],[SB Scale]]*Data!E$192+Table3[[#This Row],[OBP Scale]]*Data!F$192</f>
        <v>1.4398960431863432</v>
      </c>
      <c r="J112" s="1">
        <f>Table3[[#This Row],[R Scale]]*Data!B$192+Table3[[#This Row],[HR Scale]]*Data!C$192+Table3[[#This Row],[RBI Scale]]*Data!D$192+Table3[[#This Row],[SB Scale]]*Data!E$192+Table3[[#This Row],[OB Scale]]*Data!F$192</f>
        <v>1.7342062937897778</v>
      </c>
      <c r="K11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-2.37000936481367</v>
      </c>
      <c r="L11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-2.5016295916292126</v>
      </c>
      <c r="M112" s="1">
        <f ca="1">Table3[[#This Row],[Tot Scale]]*M$185+M$186</f>
        <v>-15.235800278733741</v>
      </c>
      <c r="N112" s="1">
        <f ca="1">Table3[[#This Row],[OB Tot Scale]]*N$185+N$186</f>
        <v>-7.9896299659966203</v>
      </c>
      <c r="O112" s="1">
        <f ca="1">Table3[[#This Row],[Weighted Scale]]*O$185+O$186</f>
        <v>-16.670639823374181</v>
      </c>
      <c r="P112" s="1">
        <f ca="1">Table3[[#This Row],[OB Weighted Scale]]*P$185+P$186</f>
        <v>-8.68491511143948</v>
      </c>
      <c r="Q112" s="1">
        <f ca="1">Table3[[#This Row],[Z-score]]*Q$185+Q$186</f>
        <v>-16.008038228044878</v>
      </c>
      <c r="R112" s="1">
        <f ca="1">Table3[[#This Row],[OBMod Z-Score]]*R$185+R$186</f>
        <v>-16.561247227974853</v>
      </c>
      <c r="S112" s="1">
        <f ca="1">AVERAGE(Table3[[#This Row],[Tot Value]:[OB Z Value]])</f>
        <v>-13.52504510592729</v>
      </c>
      <c r="T112" s="1" t="str">
        <f>IF(Table1[[#This Row],[Included?]], (Table1[[#This Row],[I R]]-Data!S$188)/(Data!S$187-Data!S$188), "")</f>
        <v/>
      </c>
      <c r="U112" s="1" t="str">
        <f>IF(Table1[[#This Row],[Included?]], (Table1[[#This Row],[I HR]]-Data!T$188)/(Data!T$187-Data!T$188), "")</f>
        <v/>
      </c>
      <c r="V112" s="1" t="str">
        <f>IF(Table1[[#This Row],[Included?]], (Table1[[#This Row],[I RBI]]-Data!U$188)/(Data!U$187-Data!U$188), "")</f>
        <v/>
      </c>
      <c r="W112" s="1" t="str">
        <f>IF(Table1[[#This Row],[Included?]], (Table1[[#This Row],[I SB]]-Data!V$188)/(Data!V$187-Data!V$188), "")</f>
        <v/>
      </c>
      <c r="X112" s="1" t="str">
        <f>IF(Table1[[#This Row],[Included?]], (Table1[[#This Row],[I OBP]]-Data!W$188)/(Data!W$187-Data!W$188), "")</f>
        <v/>
      </c>
      <c r="Y112" s="1" t="str">
        <f>IF(Table1[[#This Row],[Included?]], (Table1[[#This Row],[I OB]]-Data!AA$188)/(Data!AA$187-Data!AA$188), "")</f>
        <v/>
      </c>
      <c r="Z112" s="1" t="str">
        <f>IF(Table1[[#This Row],[Included?]], SUM(Table35[[#This Row],[I R Scale]:[I OBP Scale]]), "")</f>
        <v/>
      </c>
      <c r="AA112" s="1" t="str">
        <f>IF(Table1[[#This Row],[Included?]], SUM(Table35[[#This Row],[I R Scale]:[I SB Scale]],Table35[[#This Row],[I OB Scale]]), "")</f>
        <v/>
      </c>
      <c r="AB11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2" s="1" t="str">
        <f>IF(Table1[[#This Row],[Included?]], Table35[[#This Row],[I Tot Scale]]*AF$185+AF$186, "")</f>
        <v/>
      </c>
      <c r="AG112" s="1" t="str">
        <f>IF(Table1[[#This Row],[Included?]], Table35[[#This Row],[I OB Tot Scale]]*AG$185+AG$186, "")</f>
        <v/>
      </c>
      <c r="AH112" s="1" t="str">
        <f>IF(Table1[[#This Row],[Included?]], Table35[[#This Row],[I Weighted Scale]]*AH$185+AH$186, "")</f>
        <v/>
      </c>
      <c r="AI112" s="1" t="str">
        <f>IF(Table1[[#This Row],[Included?]], Table35[[#This Row],[I OB Weighted Scale]]*AI$185+AI$186, "")</f>
        <v/>
      </c>
      <c r="AJ112" s="1" t="str">
        <f>IF(Table1[[#This Row],[Included?]], Table35[[#This Row],[I Z-score]]*AJ$185+AJ$186, "")</f>
        <v/>
      </c>
      <c r="AK112" s="1" t="str">
        <f>IF(Table1[[#This Row],[Included?]], Table35[[#This Row],[I OBMod Z-Score]]*AK$185+AK$186, "")</f>
        <v/>
      </c>
      <c r="AL112" s="1" t="str">
        <f>IF(Table1[[#This Row],[Included?]], AVERAGE(Table35[[#This Row],[I Tot Value]:[I OB Z Value]]), "")</f>
        <v/>
      </c>
    </row>
    <row r="113" spans="1:38" hidden="1" x14ac:dyDescent="0.25">
      <c r="A113" s="1">
        <f>(Table1[[#This Row],[R]]-Data!H$188)/(Data!H$187-Data!H$188)</f>
        <v>0.54744318181818186</v>
      </c>
      <c r="B113" s="1">
        <f>(Table1[[#This Row],[HR]]-Data!I$188)/(Data!I$187-Data!I$188)</f>
        <v>9.598366235534378E-2</v>
      </c>
      <c r="C113" s="1">
        <f>(Table1[[#This Row],[RBI]]-Data!J$188)/(Data!J$187-Data!J$188)</f>
        <v>0.45313843508168522</v>
      </c>
      <c r="D113" s="1">
        <f>(Table1[[#This Row],[SB]]-Data!K$188)/(Data!K$187-Data!K$188)</f>
        <v>6.461731493099121E-2</v>
      </c>
      <c r="E113" s="1">
        <f>(Table1[[#This Row],[OBP]]-Data!L$188)/(Data!L$187-Data!L$188)</f>
        <v>0.31646822892873583</v>
      </c>
      <c r="F113" s="1">
        <f>(Table1[[#This Row],[OB]]-Data!P$188)/(Data!P$187-Data!P$188)</f>
        <v>0.48556426127485069</v>
      </c>
      <c r="G113" s="1">
        <f>SUM(Table3[[#This Row],[R Scale]:[OBP Scale]])</f>
        <v>1.4776508231149377</v>
      </c>
      <c r="H113" s="1">
        <f>SUM(Table3[[#This Row],[R Scale]:[SB Scale]],Table3[[#This Row],[OB Scale]])</f>
        <v>1.6467468554610527</v>
      </c>
      <c r="I113" s="1">
        <f>Table3[[#This Row],[R Scale]]*Data!B$192+Table3[[#This Row],[HR Scale]]*Data!C$192+Table3[[#This Row],[RBI Scale]]*Data!D$192+Table3[[#This Row],[SB Scale]]*Data!E$192+Table3[[#This Row],[OBP Scale]]*Data!F$192</f>
        <v>1.5768278377352036</v>
      </c>
      <c r="J113" s="1">
        <f>Table3[[#This Row],[R Scale]]*Data!B$192+Table3[[#This Row],[HR Scale]]*Data!C$192+Table3[[#This Row],[RBI Scale]]*Data!D$192+Table3[[#This Row],[SB Scale]]*Data!E$192+Table3[[#This Row],[OB Scale]]*Data!F$192</f>
        <v>1.7797430765505415</v>
      </c>
      <c r="K11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-1.848206070609357</v>
      </c>
      <c r="L11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-1.9145773611647643</v>
      </c>
      <c r="M113" s="1">
        <f ca="1">Table3[[#This Row],[Tot Scale]]*M$185+M$186</f>
        <v>-11.888270582381182</v>
      </c>
      <c r="N113" s="1">
        <f ca="1">Table3[[#This Row],[OB Tot Scale]]*N$185+N$186</f>
        <v>-7.4616379319971955</v>
      </c>
      <c r="O113" s="1">
        <f ca="1">Table3[[#This Row],[Weighted Scale]]*O$185+O$186</f>
        <v>-11.960971885950705</v>
      </c>
      <c r="P113" s="1">
        <f ca="1">Table3[[#This Row],[OB Weighted Scale]]*P$185+P$186</f>
        <v>-7.1302607932173387</v>
      </c>
      <c r="Q113" s="1">
        <f ca="1">Table3[[#This Row],[Z-score]]*Q$185+Q$186</f>
        <v>-12.173951827749384</v>
      </c>
      <c r="R113" s="1">
        <f ca="1">Table3[[#This Row],[OBMod Z-Score]]*R$185+R$186</f>
        <v>-12.287206871320093</v>
      </c>
      <c r="S113" s="1">
        <f ca="1">AVERAGE(Table3[[#This Row],[Tot Value]:[OB Z Value]])</f>
        <v>-10.483716648769317</v>
      </c>
      <c r="T113" s="1" t="str">
        <f>IF(Table1[[#This Row],[Included?]], (Table1[[#This Row],[I R]]-Data!S$188)/(Data!S$187-Data!S$188), "")</f>
        <v/>
      </c>
      <c r="U113" s="1" t="str">
        <f>IF(Table1[[#This Row],[Included?]], (Table1[[#This Row],[I HR]]-Data!T$188)/(Data!T$187-Data!T$188), "")</f>
        <v/>
      </c>
      <c r="V113" s="1" t="str">
        <f>IF(Table1[[#This Row],[Included?]], (Table1[[#This Row],[I RBI]]-Data!U$188)/(Data!U$187-Data!U$188), "")</f>
        <v/>
      </c>
      <c r="W113" s="1" t="str">
        <f>IF(Table1[[#This Row],[Included?]], (Table1[[#This Row],[I SB]]-Data!V$188)/(Data!V$187-Data!V$188), "")</f>
        <v/>
      </c>
      <c r="X113" s="1" t="str">
        <f>IF(Table1[[#This Row],[Included?]], (Table1[[#This Row],[I OBP]]-Data!W$188)/(Data!W$187-Data!W$188), "")</f>
        <v/>
      </c>
      <c r="Y113" s="1" t="str">
        <f>IF(Table1[[#This Row],[Included?]], (Table1[[#This Row],[I OB]]-Data!AA$188)/(Data!AA$187-Data!AA$188), "")</f>
        <v/>
      </c>
      <c r="Z113" s="1" t="str">
        <f>IF(Table1[[#This Row],[Included?]], SUM(Table35[[#This Row],[I R Scale]:[I OBP Scale]]), "")</f>
        <v/>
      </c>
      <c r="AA113" s="1" t="str">
        <f>IF(Table1[[#This Row],[Included?]], SUM(Table35[[#This Row],[I R Scale]:[I SB Scale]],Table35[[#This Row],[I OB Scale]]), "")</f>
        <v/>
      </c>
      <c r="AB11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3" s="1" t="str">
        <f>IF(Table1[[#This Row],[Included?]], Table35[[#This Row],[I Tot Scale]]*AF$185+AF$186, "")</f>
        <v/>
      </c>
      <c r="AG113" s="1" t="str">
        <f>IF(Table1[[#This Row],[Included?]], Table35[[#This Row],[I OB Tot Scale]]*AG$185+AG$186, "")</f>
        <v/>
      </c>
      <c r="AH113" s="1" t="str">
        <f>IF(Table1[[#This Row],[Included?]], Table35[[#This Row],[I Weighted Scale]]*AH$185+AH$186, "")</f>
        <v/>
      </c>
      <c r="AI113" s="1" t="str">
        <f>IF(Table1[[#This Row],[Included?]], Table35[[#This Row],[I OB Weighted Scale]]*AI$185+AI$186, "")</f>
        <v/>
      </c>
      <c r="AJ113" s="1" t="str">
        <f>IF(Table1[[#This Row],[Included?]], Table35[[#This Row],[I Z-score]]*AJ$185+AJ$186, "")</f>
        <v/>
      </c>
      <c r="AK113" s="1" t="str">
        <f>IF(Table1[[#This Row],[Included?]], Table35[[#This Row],[I OBMod Z-Score]]*AK$185+AK$186, "")</f>
        <v/>
      </c>
      <c r="AL113" s="1" t="str">
        <f>IF(Table1[[#This Row],[Included?]], AVERAGE(Table35[[#This Row],[I Tot Value]:[I OB Z Value]]), "")</f>
        <v/>
      </c>
    </row>
    <row r="114" spans="1:38" hidden="1" x14ac:dyDescent="0.25">
      <c r="A114" s="1">
        <f>(Table1[[#This Row],[R]]-Data!H$188)/(Data!H$187-Data!H$188)</f>
        <v>0.51136363636363635</v>
      </c>
      <c r="B114" s="1">
        <f>(Table1[[#This Row],[HR]]-Data!I$188)/(Data!I$187-Data!I$188)</f>
        <v>0.11980939414567733</v>
      </c>
      <c r="C114" s="1">
        <f>(Table1[[#This Row],[RBI]]-Data!J$188)/(Data!J$187-Data!J$188)</f>
        <v>0.17139581541989113</v>
      </c>
      <c r="D114" s="1">
        <f>(Table1[[#This Row],[SB]]-Data!K$188)/(Data!K$187-Data!K$188)</f>
        <v>0.24749058971141777</v>
      </c>
      <c r="E114" s="1">
        <f>(Table1[[#This Row],[OBP]]-Data!L$188)/(Data!L$187-Data!L$188)</f>
        <v>0.39050132896381701</v>
      </c>
      <c r="F114" s="1">
        <f>(Table1[[#This Row],[OB]]-Data!P$188)/(Data!P$187-Data!P$188)</f>
        <v>0.52550771431133703</v>
      </c>
      <c r="G114" s="1">
        <f>SUM(Table3[[#This Row],[R Scale]:[OBP Scale]])</f>
        <v>1.4405607646044396</v>
      </c>
      <c r="H114" s="1">
        <f>SUM(Table3[[#This Row],[R Scale]:[SB Scale]],Table3[[#This Row],[OB Scale]])</f>
        <v>1.5755671499519597</v>
      </c>
      <c r="I114" s="1">
        <f>Table3[[#This Row],[R Scale]]*Data!B$192+Table3[[#This Row],[HR Scale]]*Data!C$192+Table3[[#This Row],[RBI Scale]]*Data!D$192+Table3[[#This Row],[SB Scale]]*Data!E$192+Table3[[#This Row],[OBP Scale]]*Data!F$192</f>
        <v>1.5018038298448175</v>
      </c>
      <c r="J114" s="1">
        <f>Table3[[#This Row],[R Scale]]*Data!B$192+Table3[[#This Row],[HR Scale]]*Data!C$192+Table3[[#This Row],[RBI Scale]]*Data!D$192+Table3[[#This Row],[SB Scale]]*Data!E$192+Table3[[#This Row],[OB Scale]]*Data!F$192</f>
        <v>1.6638114922618414</v>
      </c>
      <c r="K11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-1.6126051734311164</v>
      </c>
      <c r="L11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-1.6610569495096132</v>
      </c>
      <c r="M114" s="1">
        <f ca="1">Table3[[#This Row],[Tot Scale]]*M$185+M$186</f>
        <v>-13.258074789644027</v>
      </c>
      <c r="N114" s="1">
        <f ca="1">Table3[[#This Row],[OB Tot Scale]]*N$185+N$186</f>
        <v>-10.057418423513532</v>
      </c>
      <c r="O114" s="1">
        <f ca="1">Table3[[#This Row],[Weighted Scale]]*O$185+O$186</f>
        <v>-14.541367225561025</v>
      </c>
      <c r="P114" s="1">
        <f ca="1">Table3[[#This Row],[OB Weighted Scale]]*P$185+P$186</f>
        <v>-11.088237778101252</v>
      </c>
      <c r="Q114" s="1">
        <f ca="1">Table3[[#This Row],[Z-score]]*Q$185+Q$186</f>
        <v>-10.442812515672113</v>
      </c>
      <c r="R114" s="1">
        <f ca="1">Table3[[#This Row],[OBMod Z-Score]]*R$185+R$186</f>
        <v>-10.441448667160669</v>
      </c>
      <c r="S114" s="1">
        <f ca="1">AVERAGE(Table3[[#This Row],[Tot Value]:[OB Z Value]])</f>
        <v>-11.63822656660877</v>
      </c>
      <c r="T114" s="1" t="str">
        <f>IF(Table1[[#This Row],[Included?]], (Table1[[#This Row],[I R]]-Data!S$188)/(Data!S$187-Data!S$188), "")</f>
        <v/>
      </c>
      <c r="U114" s="1" t="str">
        <f>IF(Table1[[#This Row],[Included?]], (Table1[[#This Row],[I HR]]-Data!T$188)/(Data!T$187-Data!T$188), "")</f>
        <v/>
      </c>
      <c r="V114" s="1" t="str">
        <f>IF(Table1[[#This Row],[Included?]], (Table1[[#This Row],[I RBI]]-Data!U$188)/(Data!U$187-Data!U$188), "")</f>
        <v/>
      </c>
      <c r="W114" s="1" t="str">
        <f>IF(Table1[[#This Row],[Included?]], (Table1[[#This Row],[I SB]]-Data!V$188)/(Data!V$187-Data!V$188), "")</f>
        <v/>
      </c>
      <c r="X114" s="1" t="str">
        <f>IF(Table1[[#This Row],[Included?]], (Table1[[#This Row],[I OBP]]-Data!W$188)/(Data!W$187-Data!W$188), "")</f>
        <v/>
      </c>
      <c r="Y114" s="1" t="str">
        <f>IF(Table1[[#This Row],[Included?]], (Table1[[#This Row],[I OB]]-Data!AA$188)/(Data!AA$187-Data!AA$188), "")</f>
        <v/>
      </c>
      <c r="Z114" s="1" t="str">
        <f>IF(Table1[[#This Row],[Included?]], SUM(Table35[[#This Row],[I R Scale]:[I OBP Scale]]), "")</f>
        <v/>
      </c>
      <c r="AA114" s="1" t="str">
        <f>IF(Table1[[#This Row],[Included?]], SUM(Table35[[#This Row],[I R Scale]:[I SB Scale]],Table35[[#This Row],[I OB Scale]]), "")</f>
        <v/>
      </c>
      <c r="AB11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4" s="1" t="str">
        <f>IF(Table1[[#This Row],[Included?]], Table35[[#This Row],[I Tot Scale]]*AF$185+AF$186, "")</f>
        <v/>
      </c>
      <c r="AG114" s="1" t="str">
        <f>IF(Table1[[#This Row],[Included?]], Table35[[#This Row],[I OB Tot Scale]]*AG$185+AG$186, "")</f>
        <v/>
      </c>
      <c r="AH114" s="1" t="str">
        <f>IF(Table1[[#This Row],[Included?]], Table35[[#This Row],[I Weighted Scale]]*AH$185+AH$186, "")</f>
        <v/>
      </c>
      <c r="AI114" s="1" t="str">
        <f>IF(Table1[[#This Row],[Included?]], Table35[[#This Row],[I OB Weighted Scale]]*AI$185+AI$186, "")</f>
        <v/>
      </c>
      <c r="AJ114" s="1" t="str">
        <f>IF(Table1[[#This Row],[Included?]], Table35[[#This Row],[I Z-score]]*AJ$185+AJ$186, "")</f>
        <v/>
      </c>
      <c r="AK114" s="1" t="str">
        <f>IF(Table1[[#This Row],[Included?]], Table35[[#This Row],[I OBMod Z-Score]]*AK$185+AK$186, "")</f>
        <v/>
      </c>
      <c r="AL114" s="1" t="str">
        <f>IF(Table1[[#This Row],[Included?]], AVERAGE(Table35[[#This Row],[I Tot Value]:[I OB Z Value]]), "")</f>
        <v/>
      </c>
    </row>
    <row r="115" spans="1:38" hidden="1" x14ac:dyDescent="0.25">
      <c r="A115" s="1">
        <f>(Table1[[#This Row],[R]]-Data!H$188)/(Data!H$187-Data!H$188)</f>
        <v>0.36704545454545467</v>
      </c>
      <c r="B115" s="1">
        <f>(Table1[[#This Row],[HR]]-Data!I$188)/(Data!I$187-Data!I$188)</f>
        <v>0.59292035398230081</v>
      </c>
      <c r="C115" s="1">
        <f>(Table1[[#This Row],[RBI]]-Data!J$188)/(Data!J$187-Data!J$188)</f>
        <v>0.5139008311837201</v>
      </c>
      <c r="D115" s="1">
        <f>(Table1[[#This Row],[SB]]-Data!K$188)/(Data!K$187-Data!K$188)</f>
        <v>5.677540777917188E-2</v>
      </c>
      <c r="E115" s="1">
        <f>(Table1[[#This Row],[OBP]]-Data!L$188)/(Data!L$187-Data!L$188)</f>
        <v>0.35981135329055847</v>
      </c>
      <c r="F115" s="1">
        <f>(Table1[[#This Row],[OB]]-Data!P$188)/(Data!P$187-Data!P$188)</f>
        <v>0.3509714631187576</v>
      </c>
      <c r="G115" s="1">
        <f>SUM(Table3[[#This Row],[R Scale]:[OBP Scale]])</f>
        <v>1.8904534007812057</v>
      </c>
      <c r="H115" s="1">
        <f>SUM(Table3[[#This Row],[R Scale]:[SB Scale]],Table3[[#This Row],[OB Scale]])</f>
        <v>1.8816135106094047</v>
      </c>
      <c r="I115" s="1">
        <f>Table3[[#This Row],[R Scale]]*Data!B$192+Table3[[#This Row],[HR Scale]]*Data!C$192+Table3[[#This Row],[RBI Scale]]*Data!D$192+Table3[[#This Row],[SB Scale]]*Data!E$192+Table3[[#This Row],[OBP Scale]]*Data!F$192</f>
        <v>2.0284912922215161</v>
      </c>
      <c r="J115" s="1">
        <f>Table3[[#This Row],[R Scale]]*Data!B$192+Table3[[#This Row],[HR Scale]]*Data!C$192+Table3[[#This Row],[RBI Scale]]*Data!D$192+Table3[[#This Row],[SB Scale]]*Data!E$192+Table3[[#This Row],[OB Scale]]*Data!F$192</f>
        <v>2.0178834240153551</v>
      </c>
      <c r="K11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-5.5285738694363262E-2</v>
      </c>
      <c r="L11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-3.3917536777381962E-2</v>
      </c>
      <c r="M115" s="1">
        <f ca="1">Table3[[#This Row],[Tot Scale]]*M$185+M$186</f>
        <v>3.3572892890370412</v>
      </c>
      <c r="N115" s="1">
        <f ca="1">Table3[[#This Row],[OB Tot Scale]]*N$185+N$186</f>
        <v>1.1034759186621557</v>
      </c>
      <c r="O115" s="1">
        <f ca="1">Table3[[#This Row],[Weighted Scale]]*O$185+O$186</f>
        <v>3.5736590382141173</v>
      </c>
      <c r="P115" s="1">
        <f ca="1">Table3[[#This Row],[OB Weighted Scale]]*P$185+P$186</f>
        <v>1</v>
      </c>
      <c r="Q115" s="1">
        <f ca="1">Table3[[#This Row],[Z-score]]*Q$185+Q$186</f>
        <v>0.99999999999999989</v>
      </c>
      <c r="R115" s="1">
        <f ca="1">Table3[[#This Row],[OBMod Z-Score]]*R$185+R$186</f>
        <v>1.4049581004603988</v>
      </c>
      <c r="S115" s="1">
        <f ca="1">AVERAGE(Table3[[#This Row],[Tot Value]:[OB Z Value]])</f>
        <v>1.9065637243956186</v>
      </c>
      <c r="T115" s="1" t="str">
        <f>IF(Table1[[#This Row],[Included?]], (Table1[[#This Row],[I R]]-Data!S$188)/(Data!S$187-Data!S$188), "")</f>
        <v/>
      </c>
      <c r="U115" s="1" t="str">
        <f>IF(Table1[[#This Row],[Included?]], (Table1[[#This Row],[I HR]]-Data!T$188)/(Data!T$187-Data!T$188), "")</f>
        <v/>
      </c>
      <c r="V115" s="1" t="str">
        <f>IF(Table1[[#This Row],[Included?]], (Table1[[#This Row],[I RBI]]-Data!U$188)/(Data!U$187-Data!U$188), "")</f>
        <v/>
      </c>
      <c r="W115" s="1" t="str">
        <f>IF(Table1[[#This Row],[Included?]], (Table1[[#This Row],[I SB]]-Data!V$188)/(Data!V$187-Data!V$188), "")</f>
        <v/>
      </c>
      <c r="X115" s="1" t="str">
        <f>IF(Table1[[#This Row],[Included?]], (Table1[[#This Row],[I OBP]]-Data!W$188)/(Data!W$187-Data!W$188), "")</f>
        <v/>
      </c>
      <c r="Y115" s="1" t="str">
        <f>IF(Table1[[#This Row],[Included?]], (Table1[[#This Row],[I OB]]-Data!AA$188)/(Data!AA$187-Data!AA$188), "")</f>
        <v/>
      </c>
      <c r="Z115" s="1" t="str">
        <f>IF(Table1[[#This Row],[Included?]], SUM(Table35[[#This Row],[I R Scale]:[I OBP Scale]]), "")</f>
        <v/>
      </c>
      <c r="AA115" s="1" t="str">
        <f>IF(Table1[[#This Row],[Included?]], SUM(Table35[[#This Row],[I R Scale]:[I SB Scale]],Table35[[#This Row],[I OB Scale]]), "")</f>
        <v/>
      </c>
      <c r="AB11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5" s="1" t="str">
        <f>IF(Table1[[#This Row],[Included?]], Table35[[#This Row],[I Tot Scale]]*AF$185+AF$186, "")</f>
        <v/>
      </c>
      <c r="AG115" s="1" t="str">
        <f>IF(Table1[[#This Row],[Included?]], Table35[[#This Row],[I OB Tot Scale]]*AG$185+AG$186, "")</f>
        <v/>
      </c>
      <c r="AH115" s="1" t="str">
        <f>IF(Table1[[#This Row],[Included?]], Table35[[#This Row],[I Weighted Scale]]*AH$185+AH$186, "")</f>
        <v/>
      </c>
      <c r="AI115" s="1" t="str">
        <f>IF(Table1[[#This Row],[Included?]], Table35[[#This Row],[I OB Weighted Scale]]*AI$185+AI$186, "")</f>
        <v/>
      </c>
      <c r="AJ115" s="1" t="str">
        <f>IF(Table1[[#This Row],[Included?]], Table35[[#This Row],[I Z-score]]*AJ$185+AJ$186, "")</f>
        <v/>
      </c>
      <c r="AK115" s="1" t="str">
        <f>IF(Table1[[#This Row],[Included?]], Table35[[#This Row],[I OBMod Z-Score]]*AK$185+AK$186, "")</f>
        <v/>
      </c>
      <c r="AL115" s="1" t="str">
        <f>IF(Table1[[#This Row],[Included?]], AVERAGE(Table35[[#This Row],[I Tot Value]:[I OB Z Value]]), "")</f>
        <v/>
      </c>
    </row>
    <row r="116" spans="1:38" hidden="1" x14ac:dyDescent="0.25">
      <c r="A116" s="1">
        <f>(Table1[[#This Row],[R]]-Data!H$188)/(Data!H$187-Data!H$188)</f>
        <v>0.36704545454545456</v>
      </c>
      <c r="B116" s="1">
        <f>(Table1[[#This Row],[HR]]-Data!I$188)/(Data!I$187-Data!I$188)</f>
        <v>0.67733151803948266</v>
      </c>
      <c r="C116" s="1">
        <f>(Table1[[#This Row],[RBI]]-Data!J$188)/(Data!J$187-Data!J$188)</f>
        <v>0.46775580395528793</v>
      </c>
      <c r="D116" s="1">
        <f>(Table1[[#This Row],[SB]]-Data!K$188)/(Data!K$187-Data!K$188)</f>
        <v>1.4115432873274778E-2</v>
      </c>
      <c r="E116" s="1">
        <f>(Table1[[#This Row],[OBP]]-Data!L$188)/(Data!L$187-Data!L$188)</f>
        <v>0.40419120778416157</v>
      </c>
      <c r="F116" s="1">
        <f>(Table1[[#This Row],[OB]]-Data!P$188)/(Data!P$187-Data!P$188)</f>
        <v>0.35252785579490586</v>
      </c>
      <c r="G116" s="1">
        <f>SUM(Table3[[#This Row],[R Scale]:[OBP Scale]])</f>
        <v>1.9304394171976618</v>
      </c>
      <c r="H116" s="1">
        <f>SUM(Table3[[#This Row],[R Scale]:[SB Scale]],Table3[[#This Row],[OB Scale]])</f>
        <v>1.878776065208406</v>
      </c>
      <c r="I116" s="1">
        <f>Table3[[#This Row],[R Scale]]*Data!B$192+Table3[[#This Row],[HR Scale]]*Data!C$192+Table3[[#This Row],[RBI Scale]]*Data!D$192+Table3[[#This Row],[SB Scale]]*Data!E$192+Table3[[#This Row],[OBP Scale]]*Data!F$192</f>
        <v>2.068124274091006</v>
      </c>
      <c r="J116" s="1">
        <f>Table3[[#This Row],[R Scale]]*Data!B$192+Table3[[#This Row],[HR Scale]]*Data!C$192+Table3[[#This Row],[RBI Scale]]*Data!D$192+Table3[[#This Row],[SB Scale]]*Data!E$192+Table3[[#This Row],[OB Scale]]*Data!F$192</f>
        <v>2.0061282517038994</v>
      </c>
      <c r="K11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4.7446720696908945E-2</v>
      </c>
      <c r="L11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4.2505720161218702E-2</v>
      </c>
      <c r="M116" s="1">
        <f ca="1">Table3[[#This Row],[Tot Scale]]*M$185+M$186</f>
        <v>4.834046558196917</v>
      </c>
      <c r="N116" s="1">
        <f ca="1">Table3[[#This Row],[OB Tot Scale]]*N$185+N$186</f>
        <v>1</v>
      </c>
      <c r="O116" s="1">
        <f ca="1">Table3[[#This Row],[Weighted Scale]]*O$185+O$186</f>
        <v>4.9368061771980933</v>
      </c>
      <c r="P116" s="1">
        <f ca="1">Table3[[#This Row],[OB Weighted Scale]]*P$185+P$186</f>
        <v>0.59867104596602871</v>
      </c>
      <c r="Q116" s="1">
        <f ca="1">Table3[[#This Row],[Z-score]]*Q$185+Q$186</f>
        <v>1.7548536580659442</v>
      </c>
      <c r="R116" s="1">
        <f ca="1">Table3[[#This Row],[OBMod Z-Score]]*R$185+R$186</f>
        <v>1.9613584808561193</v>
      </c>
      <c r="S116" s="1">
        <f ca="1">AVERAGE(Table3[[#This Row],[Tot Value]:[OB Z Value]])</f>
        <v>2.5142893200471836</v>
      </c>
      <c r="T116" s="1" t="str">
        <f>IF(Table1[[#This Row],[Included?]], (Table1[[#This Row],[I R]]-Data!S$188)/(Data!S$187-Data!S$188), "")</f>
        <v/>
      </c>
      <c r="U116" s="1" t="str">
        <f>IF(Table1[[#This Row],[Included?]], (Table1[[#This Row],[I HR]]-Data!T$188)/(Data!T$187-Data!T$188), "")</f>
        <v/>
      </c>
      <c r="V116" s="1" t="str">
        <f>IF(Table1[[#This Row],[Included?]], (Table1[[#This Row],[I RBI]]-Data!U$188)/(Data!U$187-Data!U$188), "")</f>
        <v/>
      </c>
      <c r="W116" s="1" t="str">
        <f>IF(Table1[[#This Row],[Included?]], (Table1[[#This Row],[I SB]]-Data!V$188)/(Data!V$187-Data!V$188), "")</f>
        <v/>
      </c>
      <c r="X116" s="1" t="str">
        <f>IF(Table1[[#This Row],[Included?]], (Table1[[#This Row],[I OBP]]-Data!W$188)/(Data!W$187-Data!W$188), "")</f>
        <v/>
      </c>
      <c r="Y116" s="1" t="str">
        <f>IF(Table1[[#This Row],[Included?]], (Table1[[#This Row],[I OB]]-Data!AA$188)/(Data!AA$187-Data!AA$188), "")</f>
        <v/>
      </c>
      <c r="Z116" s="1" t="str">
        <f>IF(Table1[[#This Row],[Included?]], SUM(Table35[[#This Row],[I R Scale]:[I OBP Scale]]), "")</f>
        <v/>
      </c>
      <c r="AA116" s="1" t="str">
        <f>IF(Table1[[#This Row],[Included?]], SUM(Table35[[#This Row],[I R Scale]:[I SB Scale]],Table35[[#This Row],[I OB Scale]]), "")</f>
        <v/>
      </c>
      <c r="AB11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1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1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1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16" s="1" t="str">
        <f>IF(Table1[[#This Row],[Included?]], Table35[[#This Row],[I Tot Scale]]*AF$185+AF$186, "")</f>
        <v/>
      </c>
      <c r="AG116" s="1" t="str">
        <f>IF(Table1[[#This Row],[Included?]], Table35[[#This Row],[I OB Tot Scale]]*AG$185+AG$186, "")</f>
        <v/>
      </c>
      <c r="AH116" s="1" t="str">
        <f>IF(Table1[[#This Row],[Included?]], Table35[[#This Row],[I Weighted Scale]]*AH$185+AH$186, "")</f>
        <v/>
      </c>
      <c r="AI116" s="1" t="str">
        <f>IF(Table1[[#This Row],[Included?]], Table35[[#This Row],[I OB Weighted Scale]]*AI$185+AI$186, "")</f>
        <v/>
      </c>
      <c r="AJ116" s="1" t="str">
        <f>IF(Table1[[#This Row],[Included?]], Table35[[#This Row],[I Z-score]]*AJ$185+AJ$186, "")</f>
        <v/>
      </c>
      <c r="AK116" s="1" t="str">
        <f>IF(Table1[[#This Row],[Included?]], Table35[[#This Row],[I OBMod Z-Score]]*AK$185+AK$186, "")</f>
        <v/>
      </c>
      <c r="AL116" s="1" t="str">
        <f>IF(Table1[[#This Row],[Included?]], AVERAGE(Table35[[#This Row],[I Tot Value]:[I OB Z Value]]), "")</f>
        <v/>
      </c>
    </row>
    <row r="117" spans="1:38" hidden="1" x14ac:dyDescent="0.25">
      <c r="A117" s="1">
        <f>(Table1[[#This Row],[R]]-Data!H$188)/(Data!H$187-Data!H$188)</f>
        <v>0.3173295454545455</v>
      </c>
      <c r="B117" s="1">
        <f>(Table1[[#This Row],[HR]]-Data!I$188)/(Data!I$187-Data!I$188)</f>
        <v>0.4234172906739278</v>
      </c>
      <c r="C117" s="1">
        <f>(Table1[[#This Row],[RBI]]-Data!J$188)/(Data!J$187-Data!J$188)</f>
        <v>0.43880768128403541</v>
      </c>
      <c r="D117" s="1">
        <f>(Table1[[#This Row],[SB]]-Data!K$188)/(Data!K$187-Data!K$188)</f>
        <v>0.27509410288582176</v>
      </c>
      <c r="E117" s="1">
        <f>(Table1[[#This Row],[OBP]]-Data!L$188)/(Data!L$187-Data!L$188)</f>
        <v>0.50269587168180063</v>
      </c>
      <c r="F117" s="1">
        <f>(Table1[[#This Row],[OB]]-Data!P$188)/(Data!P$187-Data!P$188)</f>
        <v>0.35717493000021333</v>
      </c>
      <c r="G117" s="1">
        <f>SUM(Table3[[#This Row],[R Scale]:[OBP Scale]])</f>
        <v>1.9573444919801311</v>
      </c>
      <c r="H117" s="1">
        <f>SUM(Table3[[#This Row],[R Scale]:[SB Scale]],Table3[[#This Row],[OB Scale]])</f>
        <v>1.8118235502985438</v>
      </c>
      <c r="I117" s="1">
        <f>Table3[[#This Row],[R Scale]]*Data!B$192+Table3[[#This Row],[HR Scale]]*Data!C$192+Table3[[#This Row],[RBI Scale]]*Data!D$192+Table3[[#This Row],[SB Scale]]*Data!E$192+Table3[[#This Row],[OBP Scale]]*Data!F$192</f>
        <v>2.1139122480278436</v>
      </c>
      <c r="J117" s="1">
        <f>Table3[[#This Row],[R Scale]]*Data!B$192+Table3[[#This Row],[HR Scale]]*Data!C$192+Table3[[#This Row],[RBI Scale]]*Data!D$192+Table3[[#This Row],[SB Scale]]*Data!E$192+Table3[[#This Row],[OB Scale]]*Data!F$192</f>
        <v>1.9392871180099389</v>
      </c>
      <c r="K11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0.88853495065676136</v>
      </c>
      <c r="L11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0.79798075832455129</v>
      </c>
      <c r="M117" s="1">
        <f ca="1">Table3[[#This Row],[Tot Scale]]*M$185+M$186</f>
        <v>5.8277005483440689</v>
      </c>
      <c r="N117" s="1">
        <f ca="1">Table3[[#This Row],[OB Tot Scale]]*N$185+N$186</f>
        <v>-1.4416233646650198</v>
      </c>
      <c r="O117" s="1">
        <f ca="1">Table3[[#This Row],[Weighted Scale]]*O$185+O$186</f>
        <v>6.5116497223395271</v>
      </c>
      <c r="P117" s="1">
        <f ca="1">Table3[[#This Row],[OB Weighted Scale]]*P$185+P$186</f>
        <v>-1.6833271724438248</v>
      </c>
      <c r="Q117" s="1">
        <f ca="1">Table3[[#This Row],[Z-score]]*Q$185+Q$186</f>
        <v>7.934969766483996</v>
      </c>
      <c r="R117" s="1">
        <f ca="1">Table3[[#This Row],[OBMod Z-Score]]*R$185+R$186</f>
        <v>7.4616029803971564</v>
      </c>
      <c r="S117" s="1">
        <f ca="1">AVERAGE(Table3[[#This Row],[Tot Value]:[OB Z Value]])</f>
        <v>4.1018287467426502</v>
      </c>
      <c r="T117" s="1">
        <f>IF(Table1[[#This Row],[Included?]], (Table1[[#This Row],[I R]]-Data!S$188)/(Data!S$187-Data!S$188), "")</f>
        <v>0.13716337522441652</v>
      </c>
      <c r="U117" s="1">
        <f>IF(Table1[[#This Row],[Included?]], (Table1[[#This Row],[I HR]]-Data!T$188)/(Data!T$187-Data!T$188), "")</f>
        <v>0.4234172906739278</v>
      </c>
      <c r="V117" s="1">
        <f>IF(Table1[[#This Row],[Included?]], (Table1[[#This Row],[I RBI]]-Data!U$188)/(Data!U$187-Data!U$188), "")</f>
        <v>0.29365079365079355</v>
      </c>
      <c r="W117" s="1">
        <f>IF(Table1[[#This Row],[Included?]], (Table1[[#This Row],[I SB]]-Data!V$188)/(Data!V$187-Data!V$188), "")</f>
        <v>0.27509410288582176</v>
      </c>
      <c r="X117" s="1">
        <f>IF(Table1[[#This Row],[Included?]], (Table1[[#This Row],[I OBP]]-Data!W$188)/(Data!W$187-Data!W$188), "")</f>
        <v>0.40206095308644535</v>
      </c>
      <c r="Y117" s="1">
        <f>IF(Table1[[#This Row],[Included?]], (Table1[[#This Row],[I OB]]-Data!AA$188)/(Data!AA$187-Data!AA$188), "")</f>
        <v>1.035554112657964E-2</v>
      </c>
      <c r="Z117" s="1">
        <f>IF(Table1[[#This Row],[Included?]], SUM(Table35[[#This Row],[I R Scale]:[I OBP Scale]]), "")</f>
        <v>1.531386515521405</v>
      </c>
      <c r="AA117" s="1">
        <f>IF(Table1[[#This Row],[Included?]], SUM(Table35[[#This Row],[I R Scale]:[I SB Scale]],Table35[[#This Row],[I OB Scale]]), "")</f>
        <v>1.1396811035615393</v>
      </c>
      <c r="AB117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1.6568125273464112</v>
      </c>
      <c r="AC117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1.1867660329945724</v>
      </c>
      <c r="AD1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-1.9483749615291086</v>
      </c>
      <c r="AE117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-1.8780120465899373</v>
      </c>
      <c r="AF117" s="1">
        <f ca="1">IF(Table1[[#This Row],[Included?]], Table35[[#This Row],[I Tot Scale]]*AF$185+AF$186, "")</f>
        <v>10.819875625187802</v>
      </c>
      <c r="AG117" s="1">
        <f ca="1">IF(Table1[[#This Row],[Included?]], Table35[[#This Row],[I OB Tot Scale]]*AG$185+AG$186, "")</f>
        <v>8.7375489038380447</v>
      </c>
      <c r="AH117" s="1">
        <f ca="1">IF(Table1[[#This Row],[Included?]], Table35[[#This Row],[I Weighted Scale]]*AH$185+AH$186, "")</f>
        <v>11.293922982621709</v>
      </c>
      <c r="AI117" s="1">
        <f ca="1">IF(Table1[[#This Row],[Included?]], Table35[[#This Row],[I OB Weighted Scale]]*AI$185+AI$186, "")</f>
        <v>8.5675636091384852</v>
      </c>
      <c r="AJ117" s="1">
        <f ca="1">IF(Table1[[#This Row],[Included?]], Table35[[#This Row],[I Z-score]]*AJ$185+AJ$186, "")</f>
        <v>11.154575520655035</v>
      </c>
      <c r="AK117" s="1">
        <f ca="1">IF(Table1[[#This Row],[Included?]], Table35[[#This Row],[I OBMod Z-Score]]*AK$185+AK$186, "")</f>
        <v>11.488980247111524</v>
      </c>
      <c r="AL117" s="1">
        <f ca="1">IF(Table1[[#This Row],[Included?]], AVERAGE(Table35[[#This Row],[I Tot Value]:[I OB Z Value]]), "")</f>
        <v>10.343744481425432</v>
      </c>
    </row>
    <row r="118" spans="1:38" hidden="1" x14ac:dyDescent="0.25">
      <c r="A118" s="1">
        <f>(Table1[[#This Row],[R]]-Data!H$188)/(Data!H$187-Data!H$188)</f>
        <v>0.36363636363636376</v>
      </c>
      <c r="B118" s="1">
        <f>(Table1[[#This Row],[HR]]-Data!I$188)/(Data!I$187-Data!I$188)</f>
        <v>0.3682777399591558</v>
      </c>
      <c r="C118" s="1">
        <f>(Table1[[#This Row],[RBI]]-Data!J$188)/(Data!J$187-Data!J$188)</f>
        <v>0.50329607337345939</v>
      </c>
      <c r="D118" s="1">
        <f>(Table1[[#This Row],[SB]]-Data!K$188)/(Data!K$187-Data!K$188)</f>
        <v>0.21110414052697613</v>
      </c>
      <c r="E118" s="1">
        <f>(Table1[[#This Row],[OBP]]-Data!L$188)/(Data!L$187-Data!L$188)</f>
        <v>0.38050751049597425</v>
      </c>
      <c r="F118" s="1">
        <f>(Table1[[#This Row],[OB]]-Data!P$188)/(Data!P$187-Data!P$188)</f>
        <v>0.35044847244276173</v>
      </c>
      <c r="G118" s="1">
        <f>SUM(Table3[[#This Row],[R Scale]:[OBP Scale]])</f>
        <v>1.8268218279919293</v>
      </c>
      <c r="H118" s="1">
        <f>SUM(Table3[[#This Row],[R Scale]:[SB Scale]],Table3[[#This Row],[OB Scale]])</f>
        <v>1.7967627899387166</v>
      </c>
      <c r="I118" s="1">
        <f>Table3[[#This Row],[R Scale]]*Data!B$192+Table3[[#This Row],[HR Scale]]*Data!C$192+Table3[[#This Row],[RBI Scale]]*Data!D$192+Table3[[#This Row],[SB Scale]]*Data!E$192+Table3[[#This Row],[OBP Scale]]*Data!F$192</f>
        <v>1.9672189084021796</v>
      </c>
      <c r="J118" s="1">
        <f>Table3[[#This Row],[R Scale]]*Data!B$192+Table3[[#This Row],[HR Scale]]*Data!C$192+Table3[[#This Row],[RBI Scale]]*Data!D$192+Table3[[#This Row],[SB Scale]]*Data!E$192+Table3[[#This Row],[OB Scale]]*Data!F$192</f>
        <v>1.9311480627383246</v>
      </c>
      <c r="K11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6.2431465856932267E-2</v>
      </c>
      <c r="L11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7.3013449431767241E-2</v>
      </c>
      <c r="M118" s="1">
        <f ca="1">Table3[[#This Row],[Tot Scale]]*M$185+M$186</f>
        <v>1.0072580509673514</v>
      </c>
      <c r="N118" s="1">
        <f ca="1">Table3[[#This Row],[OB Tot Scale]]*N$185+N$186</f>
        <v>-1.9908589599773308</v>
      </c>
      <c r="O118" s="1">
        <f ca="1">Table3[[#This Row],[Weighted Scale]]*O$185+O$186</f>
        <v>1.4662406517526421</v>
      </c>
      <c r="P118" s="1">
        <f ca="1">Table3[[#This Row],[OB Weighted Scale]]*P$185+P$186</f>
        <v>-1.9611996231775777</v>
      </c>
      <c r="Q118" s="1">
        <f ca="1">Table3[[#This Row],[Z-score]]*Q$185+Q$186</f>
        <v>1.8649579986633866</v>
      </c>
      <c r="R118" s="1">
        <f ca="1">Table3[[#This Row],[OBMod Z-Score]]*R$185+R$186</f>
        <v>2.183470346420556</v>
      </c>
      <c r="S118" s="1">
        <f ca="1">AVERAGE(Table3[[#This Row],[Tot Value]:[OB Z Value]])</f>
        <v>0.42831141077483798</v>
      </c>
      <c r="T118" s="1">
        <f>IF(Table1[[#This Row],[Included?]], (Table1[[#This Row],[I R]]-Data!S$188)/(Data!S$187-Data!S$188), "")</f>
        <v>0.19569120287253153</v>
      </c>
      <c r="U118" s="1">
        <f>IF(Table1[[#This Row],[Included?]], (Table1[[#This Row],[I HR]]-Data!T$188)/(Data!T$187-Data!T$188), "")</f>
        <v>0.3682777399591558</v>
      </c>
      <c r="V118" s="1">
        <f>IF(Table1[[#This Row],[Included?]], (Table1[[#This Row],[I RBI]]-Data!U$188)/(Data!U$187-Data!U$188), "")</f>
        <v>0.37481962481962477</v>
      </c>
      <c r="W118" s="1">
        <f>IF(Table1[[#This Row],[Included?]], (Table1[[#This Row],[I SB]]-Data!V$188)/(Data!V$187-Data!V$188), "")</f>
        <v>0.21110414052697613</v>
      </c>
      <c r="X118" s="1">
        <f>IF(Table1[[#This Row],[Included?]], (Table1[[#This Row],[I OBP]]-Data!W$188)/(Data!W$187-Data!W$188), "")</f>
        <v>0.25514644329047176</v>
      </c>
      <c r="Y118" s="1">
        <f>IF(Table1[[#This Row],[Included?]], (Table1[[#This Row],[I OB]]-Data!AA$188)/(Data!AA$187-Data!AA$188), "")</f>
        <v>0</v>
      </c>
      <c r="Z118" s="1">
        <f>IF(Table1[[#This Row],[Included?]], SUM(Table35[[#This Row],[I R Scale]:[I OBP Scale]]), "")</f>
        <v>1.4050391514687601</v>
      </c>
      <c r="AA118" s="1">
        <f>IF(Table1[[#This Row],[Included?]], SUM(Table35[[#This Row],[I R Scale]:[I SB Scale]],Table35[[#This Row],[I OB Scale]]), "")</f>
        <v>1.1498927081782884</v>
      </c>
      <c r="AB118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1.5114632448035261</v>
      </c>
      <c r="AC118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1.2052875128549601</v>
      </c>
      <c r="AD1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-2.7550998557699327</v>
      </c>
      <c r="AE118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-2.5443384362981667</v>
      </c>
      <c r="AF118" s="1">
        <f ca="1">IF(Table1[[#This Row],[Included?]], Table35[[#This Row],[I Tot Scale]]*AF$185+AF$186, "")</f>
        <v>8.1439995772326377</v>
      </c>
      <c r="AG118" s="1">
        <f ca="1">IF(Table1[[#This Row],[Included?]], Table35[[#This Row],[I OB Tot Scale]]*AG$185+AG$186, "")</f>
        <v>8.8981268452247857</v>
      </c>
      <c r="AH118" s="1">
        <f ca="1">IF(Table1[[#This Row],[Included?]], Table35[[#This Row],[I Weighted Scale]]*AH$185+AH$186, "")</f>
        <v>8.4266352170809213</v>
      </c>
      <c r="AI118" s="1">
        <f ca="1">IF(Table1[[#This Row],[Included?]], Table35[[#This Row],[I OB Weighted Scale]]*AI$185+AI$186, "")</f>
        <v>8.8388125041778167</v>
      </c>
      <c r="AJ118" s="1">
        <f ca="1">IF(Table1[[#This Row],[Included?]], Table35[[#This Row],[I Z-score]]*AJ$185+AJ$186, "")</f>
        <v>7.4921264189613623</v>
      </c>
      <c r="AK118" s="1">
        <f ca="1">IF(Table1[[#This Row],[Included?]], Table35[[#This Row],[I OBMod Z-Score]]*AK$185+AK$186, "")</f>
        <v>8.4692354723241277</v>
      </c>
      <c r="AL118" s="1">
        <f ca="1">IF(Table1[[#This Row],[Included?]], AVERAGE(Table35[[#This Row],[I Tot Value]:[I OB Z Value]]), "")</f>
        <v>8.378156005833608</v>
      </c>
    </row>
    <row r="119" spans="1:38" hidden="1" x14ac:dyDescent="0.25">
      <c r="A119" s="1">
        <f>(Table1[[#This Row],[R]]-Data!H$188)/(Data!H$187-Data!H$188)</f>
        <v>0.3758522727272729</v>
      </c>
      <c r="B119" s="1">
        <f>(Table1[[#This Row],[HR]]-Data!I$188)/(Data!I$187-Data!I$188)</f>
        <v>0.29680054458815519</v>
      </c>
      <c r="C119" s="1">
        <f>(Table1[[#This Row],[RBI]]-Data!J$188)/(Data!J$187-Data!J$188)</f>
        <v>0.33447979363714525</v>
      </c>
      <c r="D119" s="1">
        <f>(Table1[[#This Row],[SB]]-Data!K$188)/(Data!K$187-Data!K$188)</f>
        <v>0.23431618569636131</v>
      </c>
      <c r="E119" s="1">
        <f>(Table1[[#This Row],[OBP]]-Data!L$188)/(Data!L$187-Data!L$188)</f>
        <v>0.512390689273443</v>
      </c>
      <c r="F119" s="1">
        <f>(Table1[[#This Row],[OB]]-Data!P$188)/(Data!P$187-Data!P$188)</f>
        <v>0.43122864551088996</v>
      </c>
      <c r="G119" s="1">
        <f>SUM(Table3[[#This Row],[R Scale]:[OBP Scale]])</f>
        <v>1.7538394859223776</v>
      </c>
      <c r="H119" s="1">
        <f>SUM(Table3[[#This Row],[R Scale]:[SB Scale]],Table3[[#This Row],[OB Scale]])</f>
        <v>1.6726774421598247</v>
      </c>
      <c r="I119" s="1">
        <f>Table3[[#This Row],[R Scale]]*Data!B$192+Table3[[#This Row],[HR Scale]]*Data!C$192+Table3[[#This Row],[RBI Scale]]*Data!D$192+Table3[[#This Row],[SB Scale]]*Data!E$192+Table3[[#This Row],[OBP Scale]]*Data!F$192</f>
        <v>1.8856283552317681</v>
      </c>
      <c r="J119" s="1">
        <f>Table3[[#This Row],[R Scale]]*Data!B$192+Table3[[#This Row],[HR Scale]]*Data!C$192+Table3[[#This Row],[RBI Scale]]*Data!D$192+Table3[[#This Row],[SB Scale]]*Data!E$192+Table3[[#This Row],[OB Scale]]*Data!F$192</f>
        <v>1.7882339027167042</v>
      </c>
      <c r="K11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-0.12305616800564323</v>
      </c>
      <c r="L11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-0.19347713614833367</v>
      </c>
      <c r="M119" s="1">
        <f ca="1">Table3[[#This Row],[Tot Scale]]*M$185+M$186</f>
        <v>-1.6881143274415962</v>
      </c>
      <c r="N119" s="1">
        <f ca="1">Table3[[#This Row],[OB Tot Scale]]*N$185+N$186</f>
        <v>-6.5160016638386224</v>
      </c>
      <c r="O119" s="1">
        <f ca="1">Table3[[#This Row],[Weighted Scale]]*O$185+O$186</f>
        <v>-1.3400061627971951</v>
      </c>
      <c r="P119" s="1">
        <f ca="1">Table3[[#This Row],[OB Weighted Scale]]*P$185+P$186</f>
        <v>-6.8403786635585817</v>
      </c>
      <c r="Q119" s="1">
        <f ca="1">Table3[[#This Row],[Z-score]]*Q$185+Q$186</f>
        <v>0.50203901690427855</v>
      </c>
      <c r="R119" s="1">
        <f ca="1">Table3[[#This Row],[OBMod Z-Score]]*R$185+R$186</f>
        <v>0.24328264534190791</v>
      </c>
      <c r="S119" s="1">
        <f ca="1">AVERAGE(Table3[[#This Row],[Tot Value]:[OB Z Value]])</f>
        <v>-2.6065298592316348</v>
      </c>
      <c r="T119" s="1">
        <f>IF(Table1[[#This Row],[Included?]], (Table1[[#This Row],[I R]]-Data!S$188)/(Data!S$187-Data!S$188), "")</f>
        <v>0.21113105924596068</v>
      </c>
      <c r="U119" s="1">
        <f>IF(Table1[[#This Row],[Included?]], (Table1[[#This Row],[I HR]]-Data!T$188)/(Data!T$187-Data!T$188), "")</f>
        <v>0.29680054458815519</v>
      </c>
      <c r="V119" s="1">
        <f>IF(Table1[[#This Row],[Included?]], (Table1[[#This Row],[I RBI]]-Data!U$188)/(Data!U$187-Data!U$188), "")</f>
        <v>0.16233766233766231</v>
      </c>
      <c r="W119" s="1">
        <f>IF(Table1[[#This Row],[Included?]], (Table1[[#This Row],[I SB]]-Data!V$188)/(Data!V$187-Data!V$188), "")</f>
        <v>0.23431618569636131</v>
      </c>
      <c r="X119" s="1">
        <f>IF(Table1[[#This Row],[Included?]], (Table1[[#This Row],[I OBP]]-Data!W$188)/(Data!W$187-Data!W$188), "")</f>
        <v>0.41371762283972408</v>
      </c>
      <c r="Y119" s="1">
        <f>IF(Table1[[#This Row],[Included?]], (Table1[[#This Row],[I OB]]-Data!AA$188)/(Data!AA$187-Data!AA$188), "")</f>
        <v>0.12436299452934443</v>
      </c>
      <c r="Z119" s="1">
        <f>IF(Table1[[#This Row],[Included?]], SUM(Table35[[#This Row],[I R Scale]:[I OBP Scale]]), "")</f>
        <v>1.3183030747078637</v>
      </c>
      <c r="AA119" s="1">
        <f>IF(Table1[[#This Row],[Included?]], SUM(Table35[[#This Row],[I R Scale]:[I SB Scale]],Table35[[#This Row],[I OB Scale]]), "")</f>
        <v>1.0289484463974841</v>
      </c>
      <c r="AB11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1.4124010258187449</v>
      </c>
      <c r="AC11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1.0651754718462891</v>
      </c>
      <c r="AD1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-2.8502271275348727</v>
      </c>
      <c r="AE11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-2.8113807754344484</v>
      </c>
      <c r="AF119" s="1">
        <f ca="1">IF(Table1[[#This Row],[Included?]], Table35[[#This Row],[I Tot Scale]]*AF$185+AF$186, "")</f>
        <v>6.307040080385697</v>
      </c>
      <c r="AG119" s="1">
        <f ca="1">IF(Table1[[#This Row],[Included?]], Table35[[#This Row],[I OB Tot Scale]]*AG$185+AG$186, "")</f>
        <v>6.9962728949214092</v>
      </c>
      <c r="AH119" s="1">
        <f ca="1">IF(Table1[[#This Row],[Included?]], Table35[[#This Row],[I Weighted Scale]]*AH$185+AH$186, "")</f>
        <v>6.4724467714752087</v>
      </c>
      <c r="AI119" s="1">
        <f ca="1">IF(Table1[[#This Row],[Included?]], Table35[[#This Row],[I OB Weighted Scale]]*AI$185+AI$186, "")</f>
        <v>6.7868578768054011</v>
      </c>
      <c r="AJ119" s="1">
        <f ca="1">IF(Table1[[#This Row],[Included?]], Table35[[#This Row],[I Z-score]]*AJ$185+AJ$186, "")</f>
        <v>7.0602582647624779</v>
      </c>
      <c r="AK119" s="1">
        <f ca="1">IF(Table1[[#This Row],[Included?]], Table35[[#This Row],[I OBMod Z-Score]]*AK$185+AK$186, "")</f>
        <v>7.2590181963628737</v>
      </c>
      <c r="AL119" s="1">
        <f ca="1">IF(Table1[[#This Row],[Included?]], AVERAGE(Table35[[#This Row],[I Tot Value]:[I OB Z Value]]), "")</f>
        <v>6.8136490141188446</v>
      </c>
    </row>
    <row r="120" spans="1:38" hidden="1" x14ac:dyDescent="0.25">
      <c r="A120" s="1">
        <f>(Table1[[#This Row],[R]]-Data!H$188)/(Data!H$187-Data!H$188)</f>
        <v>0.36761363636363642</v>
      </c>
      <c r="B120" s="1">
        <f>(Table1[[#This Row],[HR]]-Data!I$188)/(Data!I$187-Data!I$188)</f>
        <v>0.36283185840707954</v>
      </c>
      <c r="C120" s="1">
        <f>(Table1[[#This Row],[RBI]]-Data!J$188)/(Data!J$187-Data!J$188)</f>
        <v>0.39352249928346222</v>
      </c>
      <c r="D120" s="1">
        <f>(Table1[[#This Row],[SB]]-Data!K$188)/(Data!K$187-Data!K$188)</f>
        <v>7.5282308657465486E-3</v>
      </c>
      <c r="E120" s="1">
        <f>(Table1[[#This Row],[OBP]]-Data!L$188)/(Data!L$187-Data!L$188)</f>
        <v>0.46682309260348154</v>
      </c>
      <c r="F120" s="1">
        <f>(Table1[[#This Row],[OB]]-Data!P$188)/(Data!P$187-Data!P$188)</f>
        <v>0.4898895822695129</v>
      </c>
      <c r="G120" s="1">
        <f>SUM(Table3[[#This Row],[R Scale]:[OBP Scale]])</f>
        <v>1.5983193175234063</v>
      </c>
      <c r="H120" s="1">
        <f>SUM(Table3[[#This Row],[R Scale]:[SB Scale]],Table3[[#This Row],[OB Scale]])</f>
        <v>1.6213858071894376</v>
      </c>
      <c r="I120" s="1">
        <f>Table3[[#This Row],[R Scale]]*Data!B$192+Table3[[#This Row],[HR Scale]]*Data!C$192+Table3[[#This Row],[RBI Scale]]*Data!D$192+Table3[[#This Row],[SB Scale]]*Data!E$192+Table3[[#This Row],[OBP Scale]]*Data!F$192</f>
        <v>1.7336270722644316</v>
      </c>
      <c r="J120" s="1">
        <f>Table3[[#This Row],[R Scale]]*Data!B$192+Table3[[#This Row],[HR Scale]]*Data!C$192+Table3[[#This Row],[RBI Scale]]*Data!D$192+Table3[[#This Row],[SB Scale]]*Data!E$192+Table3[[#This Row],[OB Scale]]*Data!F$192</f>
        <v>1.761306859863669</v>
      </c>
      <c r="K12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-1.4227726709624242</v>
      </c>
      <c r="L12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-1.4577920690664068</v>
      </c>
      <c r="M120" s="1">
        <f ca="1">Table3[[#This Row],[Tot Scale]]*M$185+M$186</f>
        <v>-7.4317607260268375</v>
      </c>
      <c r="N120" s="1">
        <f ca="1">Table3[[#This Row],[OB Tot Scale]]*N$185+N$186</f>
        <v>-8.3865042808675625</v>
      </c>
      <c r="O120" s="1">
        <f ca="1">Table3[[#This Row],[Weighted Scale]]*O$185+O$186</f>
        <v>-6.567978024241377</v>
      </c>
      <c r="P120" s="1">
        <f ca="1">Table3[[#This Row],[OB Weighted Scale]]*P$185+P$186</f>
        <v>-7.7596847917133829</v>
      </c>
      <c r="Q120" s="1">
        <f ca="1">Table3[[#This Row],[Z-score]]*Q$185+Q$186</f>
        <v>-9.0479684736099912</v>
      </c>
      <c r="R120" s="1">
        <f ca="1">Table3[[#This Row],[OBMod Z-Score]]*R$185+R$186</f>
        <v>-8.9615764223732768</v>
      </c>
      <c r="S120" s="1">
        <f ca="1">AVERAGE(Table3[[#This Row],[Tot Value]:[OB Z Value]])</f>
        <v>-8.0259121198054046</v>
      </c>
      <c r="T120" s="1">
        <f>IF(Table1[[#This Row],[Included?]], (Table1[[#This Row],[I R]]-Data!S$188)/(Data!S$187-Data!S$188), "")</f>
        <v>0.20071813285457812</v>
      </c>
      <c r="U120" s="1">
        <f>IF(Table1[[#This Row],[Included?]], (Table1[[#This Row],[I HR]]-Data!T$188)/(Data!T$187-Data!T$188), "")</f>
        <v>0.36283185840707954</v>
      </c>
      <c r="V120" s="1">
        <f>IF(Table1[[#This Row],[Included?]], (Table1[[#This Row],[I RBI]]-Data!U$188)/(Data!U$187-Data!U$188), "")</f>
        <v>0.23665223665223661</v>
      </c>
      <c r="W120" s="1">
        <f>IF(Table1[[#This Row],[Included?]], (Table1[[#This Row],[I SB]]-Data!V$188)/(Data!V$187-Data!V$188), "")</f>
        <v>7.5282308657465486E-3</v>
      </c>
      <c r="X120" s="1">
        <f>IF(Table1[[#This Row],[Included?]], (Table1[[#This Row],[I OBP]]-Data!W$188)/(Data!W$187-Data!W$188), "")</f>
        <v>0.35892892559902007</v>
      </c>
      <c r="Y120" s="1">
        <f>IF(Table1[[#This Row],[Included?]], (Table1[[#This Row],[I OB]]-Data!AA$188)/(Data!AA$187-Data!AA$188), "")</f>
        <v>0.2146728995483175</v>
      </c>
      <c r="Z120" s="1">
        <f>IF(Table1[[#This Row],[Included?]], SUM(Table35[[#This Row],[I R Scale]:[I OBP Scale]]), "")</f>
        <v>1.1666593843786608</v>
      </c>
      <c r="AA120" s="1">
        <f>IF(Table1[[#This Row],[Included?]], SUM(Table35[[#This Row],[I R Scale]:[I SB Scale]],Table35[[#This Row],[I OB Scale]]), "")</f>
        <v>1.0224033583279584</v>
      </c>
      <c r="AB12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1.2657038035434545</v>
      </c>
      <c r="AC12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1.0925965722826114</v>
      </c>
      <c r="AD1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-3.8997181960291503</v>
      </c>
      <c r="AE12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-3.8548119046079883</v>
      </c>
      <c r="AF120" s="1">
        <f ca="1">IF(Table1[[#This Row],[Included?]], Table35[[#This Row],[I Tot Scale]]*AF$185+AF$186, "")</f>
        <v>3.095420100673504</v>
      </c>
      <c r="AG120" s="1">
        <f ca="1">IF(Table1[[#This Row],[Included?]], Table35[[#This Row],[I OB Tot Scale]]*AG$185+AG$186, "")</f>
        <v>6.8933510909695119</v>
      </c>
      <c r="AH120" s="1">
        <f ca="1">IF(Table1[[#This Row],[Included?]], Table35[[#This Row],[I Weighted Scale]]*AH$185+AH$186, "")</f>
        <v>3.5785683614138861</v>
      </c>
      <c r="AI120" s="1">
        <f ca="1">IF(Table1[[#This Row],[Included?]], Table35[[#This Row],[I OB Weighted Scale]]*AI$185+AI$186, "")</f>
        <v>7.188442590887707</v>
      </c>
      <c r="AJ120" s="1">
        <f ca="1">IF(Table1[[#This Row],[Included?]], Table35[[#This Row],[I Z-score]]*AJ$185+AJ$186, "")</f>
        <v>2.2956753834327053</v>
      </c>
      <c r="AK120" s="1">
        <f ca="1">IF(Table1[[#This Row],[Included?]], Table35[[#This Row],[I OBMod Z-Score]]*AK$185+AK$186, "")</f>
        <v>2.530261015438338</v>
      </c>
      <c r="AL120" s="1">
        <f ca="1">IF(Table1[[#This Row],[Included?]], AVERAGE(Table35[[#This Row],[I Tot Value]:[I OB Z Value]]), "")</f>
        <v>4.2636197571359418</v>
      </c>
    </row>
    <row r="121" spans="1:38" hidden="1" x14ac:dyDescent="0.25">
      <c r="A121" s="1">
        <f>(Table1[[#This Row],[R]]-Data!H$188)/(Data!H$187-Data!H$188)</f>
        <v>0.41960227272727285</v>
      </c>
      <c r="B121" s="1">
        <f>(Table1[[#This Row],[HR]]-Data!I$188)/(Data!I$187-Data!I$188)</f>
        <v>0.37985023825731784</v>
      </c>
      <c r="C121" s="1">
        <f>(Table1[[#This Row],[RBI]]-Data!J$188)/(Data!J$187-Data!J$188)</f>
        <v>0.46890226425910003</v>
      </c>
      <c r="D121" s="1">
        <f>(Table1[[#This Row],[SB]]-Data!K$188)/(Data!K$187-Data!K$188)</f>
        <v>1.8506900878293597E-2</v>
      </c>
      <c r="E121" s="1">
        <f>(Table1[[#This Row],[OBP]]-Data!L$188)/(Data!L$187-Data!L$188)</f>
        <v>0.52921488292372265</v>
      </c>
      <c r="F121" s="1">
        <f>(Table1[[#This Row],[OB]]-Data!P$188)/(Data!P$187-Data!P$188)</f>
        <v>0.40878779904695645</v>
      </c>
      <c r="G121" s="1">
        <f>SUM(Table3[[#This Row],[R Scale]:[OBP Scale]])</f>
        <v>1.8160765590457071</v>
      </c>
      <c r="H121" s="1">
        <f>SUM(Table3[[#This Row],[R Scale]:[SB Scale]],Table3[[#This Row],[OB Scale]])</f>
        <v>1.6956494751689408</v>
      </c>
      <c r="I121" s="1">
        <f>Table3[[#This Row],[R Scale]]*Data!B$192+Table3[[#This Row],[HR Scale]]*Data!C$192+Table3[[#This Row],[RBI Scale]]*Data!D$192+Table3[[#This Row],[SB Scale]]*Data!E$192+Table3[[#This Row],[OBP Scale]]*Data!F$192</f>
        <v>1.9737397612095444</v>
      </c>
      <c r="J121" s="1">
        <f>Table3[[#This Row],[R Scale]]*Data!B$192+Table3[[#This Row],[HR Scale]]*Data!C$192+Table3[[#This Row],[RBI Scale]]*Data!D$192+Table3[[#This Row],[SB Scale]]*Data!E$192+Table3[[#This Row],[OB Scale]]*Data!F$192</f>
        <v>1.8292272605574249</v>
      </c>
      <c r="K12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-0.28342160024245711</v>
      </c>
      <c r="L12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-0.37721482053093924</v>
      </c>
      <c r="M121" s="1">
        <f ca="1">Table3[[#This Row],[Tot Scale]]*M$185+M$186</f>
        <v>0.61041546829684989</v>
      </c>
      <c r="N121" s="1">
        <f ca="1">Table3[[#This Row],[OB Tot Scale]]*N$185+N$186</f>
        <v>-5.6782578896962121</v>
      </c>
      <c r="O121" s="1">
        <f ca="1">Table3[[#This Row],[Weighted Scale]]*O$185+O$186</f>
        <v>1.6905205678428672</v>
      </c>
      <c r="P121" s="1">
        <f ca="1">Table3[[#This Row],[OB Weighted Scale]]*P$185+P$186</f>
        <v>-5.4408397211541057</v>
      </c>
      <c r="Q121" s="1">
        <f ca="1">Table3[[#This Row],[Z-score]]*Q$185+Q$186</f>
        <v>-0.67628800717910931</v>
      </c>
      <c r="R121" s="1">
        <f ca="1">Table3[[#This Row],[OBMod Z-Score]]*R$185+R$186</f>
        <v>-1.0944216292304874</v>
      </c>
      <c r="S121" s="1">
        <f ca="1">AVERAGE(Table3[[#This Row],[Tot Value]:[OB Z Value]])</f>
        <v>-1.7648118685200329</v>
      </c>
      <c r="T121" s="1">
        <f>IF(Table1[[#This Row],[Included?]], (Table1[[#This Row],[I R]]-Data!S$188)/(Data!S$187-Data!S$188), "")</f>
        <v>0.26642728904847413</v>
      </c>
      <c r="U121" s="1">
        <f>IF(Table1[[#This Row],[Included?]], (Table1[[#This Row],[I HR]]-Data!T$188)/(Data!T$187-Data!T$188), "")</f>
        <v>0.37985023825731784</v>
      </c>
      <c r="V121" s="1">
        <f>IF(Table1[[#This Row],[Included?]], (Table1[[#This Row],[I RBI]]-Data!U$188)/(Data!U$187-Data!U$188), "")</f>
        <v>0.33152958152958162</v>
      </c>
      <c r="W121" s="1">
        <f>IF(Table1[[#This Row],[Included?]], (Table1[[#This Row],[I SB]]-Data!V$188)/(Data!V$187-Data!V$188), "")</f>
        <v>1.8506900878293597E-2</v>
      </c>
      <c r="X121" s="1">
        <f>IF(Table1[[#This Row],[Included?]], (Table1[[#This Row],[I OBP]]-Data!W$188)/(Data!W$187-Data!W$188), "")</f>
        <v>0.43394637571647582</v>
      </c>
      <c r="Y121" s="1">
        <f>IF(Table1[[#This Row],[Included?]], (Table1[[#This Row],[I OB]]-Data!AA$188)/(Data!AA$187-Data!AA$188), "")</f>
        <v>8.9814778549733867E-2</v>
      </c>
      <c r="Z121" s="1">
        <f>IF(Table1[[#This Row],[Included?]], SUM(Table35[[#This Row],[I R Scale]:[I OBP Scale]]), "")</f>
        <v>1.430260385430143</v>
      </c>
      <c r="AA121" s="1">
        <f>IF(Table1[[#This Row],[Included?]], SUM(Table35[[#This Row],[I R Scale]:[I SB Scale]],Table35[[#This Row],[I OB Scale]]), "")</f>
        <v>1.086128788263401</v>
      </c>
      <c r="AB12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1.5567128479745072</v>
      </c>
      <c r="AC12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1.1437549313744169</v>
      </c>
      <c r="AD1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-2.6317736605836557</v>
      </c>
      <c r="AE12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-2.6064990803405044</v>
      </c>
      <c r="AF121" s="1">
        <f ca="1">IF(Table1[[#This Row],[Included?]], Table35[[#This Row],[I Tot Scale]]*AF$185+AF$186, "")</f>
        <v>8.6781531495146638</v>
      </c>
      <c r="AG121" s="1">
        <f ca="1">IF(Table1[[#This Row],[Included?]], Table35[[#This Row],[I OB Tot Scale]]*AG$185+AG$186, "")</f>
        <v>7.8954363397691214</v>
      </c>
      <c r="AH121" s="1">
        <f ca="1">IF(Table1[[#This Row],[Included?]], Table35[[#This Row],[I Weighted Scale]]*AH$185+AH$186, "")</f>
        <v>9.3192686810916499</v>
      </c>
      <c r="AI121" s="1">
        <f ca="1">IF(Table1[[#This Row],[Included?]], Table35[[#This Row],[I OB Weighted Scale]]*AI$185+AI$186, "")</f>
        <v>7.9376617936877949</v>
      </c>
      <c r="AJ121" s="1">
        <f ca="1">IF(Table1[[#This Row],[Included?]], Table35[[#This Row],[I Z-score]]*AJ$185+AJ$186, "")</f>
        <v>8.0520148220585934</v>
      </c>
      <c r="AK121" s="1">
        <f ca="1">IF(Table1[[#This Row],[Included?]], Table35[[#This Row],[I OBMod Z-Score]]*AK$185+AK$186, "")</f>
        <v>8.1875277642946411</v>
      </c>
      <c r="AL121" s="1">
        <f ca="1">IF(Table1[[#This Row],[Included?]], AVERAGE(Table35[[#This Row],[I Tot Value]:[I OB Z Value]]), "")</f>
        <v>8.345010425069411</v>
      </c>
    </row>
    <row r="122" spans="1:38" hidden="1" x14ac:dyDescent="0.25">
      <c r="A122" s="1">
        <f>(Table1[[#This Row],[R]]-Data!H$188)/(Data!H$187-Data!H$188)</f>
        <v>0.43267045454545477</v>
      </c>
      <c r="B122" s="1">
        <f>(Table1[[#This Row],[HR]]-Data!I$188)/(Data!I$187-Data!I$188)</f>
        <v>0.52484683458134773</v>
      </c>
      <c r="C122" s="1">
        <f>(Table1[[#This Row],[RBI]]-Data!J$188)/(Data!J$187-Data!J$188)</f>
        <v>0.36142161077672685</v>
      </c>
      <c r="D122" s="1">
        <f>(Table1[[#This Row],[SB]]-Data!K$188)/(Data!K$187-Data!K$188)</f>
        <v>7.8419071518193214E-3</v>
      </c>
      <c r="E122" s="1">
        <f>(Table1[[#This Row],[OBP]]-Data!L$188)/(Data!L$187-Data!L$188)</f>
        <v>0.45720097391810433</v>
      </c>
      <c r="F122" s="1">
        <f>(Table1[[#This Row],[OB]]-Data!P$188)/(Data!P$187-Data!P$188)</f>
        <v>0.40435080604140428</v>
      </c>
      <c r="G122" s="1">
        <f>SUM(Table3[[#This Row],[R Scale]:[OBP Scale]])</f>
        <v>1.7839817809734528</v>
      </c>
      <c r="H122" s="1">
        <f>SUM(Table3[[#This Row],[R Scale]:[SB Scale]],Table3[[#This Row],[OB Scale]])</f>
        <v>1.7311316130967529</v>
      </c>
      <c r="I122" s="1">
        <f>Table3[[#This Row],[R Scale]]*Data!B$192+Table3[[#This Row],[HR Scale]]*Data!C$192+Table3[[#This Row],[RBI Scale]]*Data!D$192+Table3[[#This Row],[SB Scale]]*Data!E$192+Table3[[#This Row],[OBP Scale]]*Data!F$192</f>
        <v>1.9044392524578739</v>
      </c>
      <c r="J122" s="1">
        <f>Table3[[#This Row],[R Scale]]*Data!B$192+Table3[[#This Row],[HR Scale]]*Data!C$192+Table3[[#This Row],[RBI Scale]]*Data!D$192+Table3[[#This Row],[SB Scale]]*Data!E$192+Table3[[#This Row],[OB Scale]]*Data!F$192</f>
        <v>1.841019051005834</v>
      </c>
      <c r="K12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-0.56957773236640019</v>
      </c>
      <c r="L12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-0.61147942066988858</v>
      </c>
      <c r="M122" s="1">
        <f ca="1">Table3[[#This Row],[Tot Scale]]*M$185+M$186</f>
        <v>-0.57490382749497826</v>
      </c>
      <c r="N122" s="1">
        <f ca="1">Table3[[#This Row],[OB Tot Scale]]*N$185+N$186</f>
        <v>-4.3842957867125136</v>
      </c>
      <c r="O122" s="1">
        <f ca="1">Table3[[#This Row],[Weighted Scale]]*O$185+O$186</f>
        <v>-0.69301924619510658</v>
      </c>
      <c r="P122" s="1">
        <f ca="1">Table3[[#This Row],[OB Weighted Scale]]*P$185+P$186</f>
        <v>-5.0382606009623885</v>
      </c>
      <c r="Q122" s="1">
        <f ca="1">Table3[[#This Row],[Z-score]]*Q$185+Q$186</f>
        <v>-2.7788951519089782</v>
      </c>
      <c r="R122" s="1">
        <f ca="1">Table3[[#This Row],[OBMod Z-Score]]*R$185+R$186</f>
        <v>-2.7999876813981328</v>
      </c>
      <c r="S122" s="1">
        <f ca="1">AVERAGE(Table3[[#This Row],[Tot Value]:[OB Z Value]])</f>
        <v>-2.71156038244535</v>
      </c>
      <c r="T122" s="1">
        <f>IF(Table1[[#This Row],[Included?]], (Table1[[#This Row],[I R]]-Data!S$188)/(Data!S$187-Data!S$188), "")</f>
        <v>0.28294434470377045</v>
      </c>
      <c r="U122" s="1">
        <f>IF(Table1[[#This Row],[Included?]], (Table1[[#This Row],[I HR]]-Data!T$188)/(Data!T$187-Data!T$188), "")</f>
        <v>0.52484683458134773</v>
      </c>
      <c r="V122" s="1">
        <f>IF(Table1[[#This Row],[Included?]], (Table1[[#This Row],[I RBI]]-Data!U$188)/(Data!U$187-Data!U$188), "")</f>
        <v>0.19624819624819634</v>
      </c>
      <c r="W122" s="1">
        <f>IF(Table1[[#This Row],[Included?]], (Table1[[#This Row],[I SB]]-Data!V$188)/(Data!V$187-Data!V$188), "")</f>
        <v>7.8419071518193214E-3</v>
      </c>
      <c r="X122" s="1">
        <f>IF(Table1[[#This Row],[Included?]], (Table1[[#This Row],[I OBP]]-Data!W$188)/(Data!W$187-Data!W$188), "")</f>
        <v>0.34735966616922059</v>
      </c>
      <c r="Y122" s="1">
        <f>IF(Table1[[#This Row],[Included?]], (Table1[[#This Row],[I OB]]-Data!AA$188)/(Data!AA$187-Data!AA$188), "")</f>
        <v>8.2983922463168505E-2</v>
      </c>
      <c r="Z122" s="1">
        <f>IF(Table1[[#This Row],[Included?]], SUM(Table35[[#This Row],[I R Scale]:[I OBP Scale]]), "")</f>
        <v>1.3592409488543546</v>
      </c>
      <c r="AA122" s="1">
        <f>IF(Table1[[#This Row],[Included?]], SUM(Table35[[#This Row],[I R Scale]:[I SB Scale]],Table35[[#This Row],[I OB Scale]]), "")</f>
        <v>1.0948652051483025</v>
      </c>
      <c r="AB122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1.4396680868674609</v>
      </c>
      <c r="AC122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1.1224171944201984</v>
      </c>
      <c r="AD1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-2.9957331459863852</v>
      </c>
      <c r="AE122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-2.8963387684064852</v>
      </c>
      <c r="AF122" s="1">
        <f ca="1">IF(Table1[[#This Row],[Included?]], Table35[[#This Row],[I Tot Scale]]*AF$185+AF$186, "")</f>
        <v>7.1740520493663453</v>
      </c>
      <c r="AG122" s="1">
        <f ca="1">IF(Table1[[#This Row],[Included?]], Table35[[#This Row],[I OB Tot Scale]]*AG$185+AG$186, "")</f>
        <v>8.0328168877951232</v>
      </c>
      <c r="AH122" s="1">
        <f ca="1">IF(Table1[[#This Row],[Included?]], Table35[[#This Row],[I Weighted Scale]]*AH$185+AH$186, "")</f>
        <v>7.0103407959893644</v>
      </c>
      <c r="AI122" s="1">
        <f ca="1">IF(Table1[[#This Row],[Included?]], Table35[[#This Row],[I OB Weighted Scale]]*AI$185+AI$186, "")</f>
        <v>7.6251685363941242</v>
      </c>
      <c r="AJ122" s="1">
        <f ca="1">IF(Table1[[#This Row],[Included?]], Table35[[#This Row],[I Z-score]]*AJ$185+AJ$186, "")</f>
        <v>6.3996757162714406</v>
      </c>
      <c r="AK122" s="1">
        <f ca="1">IF(Table1[[#This Row],[Included?]], Table35[[#This Row],[I OBMod Z-Score]]*AK$185+AK$186, "")</f>
        <v>6.8739944912893431</v>
      </c>
      <c r="AL122" s="1">
        <f ca="1">IF(Table1[[#This Row],[Included?]], AVERAGE(Table35[[#This Row],[I Tot Value]:[I OB Z Value]]), "")</f>
        <v>7.1860080795176238</v>
      </c>
    </row>
    <row r="123" spans="1:38" hidden="1" x14ac:dyDescent="0.25">
      <c r="A123" s="1">
        <f>(Table1[[#This Row],[R]]-Data!H$188)/(Data!H$187-Data!H$188)</f>
        <v>0.43579545454545454</v>
      </c>
      <c r="B123" s="1">
        <f>(Table1[[#This Row],[HR]]-Data!I$188)/(Data!I$187-Data!I$188)</f>
        <v>8.3730428863172238E-2</v>
      </c>
      <c r="C123" s="1">
        <f>(Table1[[#This Row],[RBI]]-Data!J$188)/(Data!J$187-Data!J$188)</f>
        <v>0.24820865577529383</v>
      </c>
      <c r="D123" s="1">
        <f>(Table1[[#This Row],[SB]]-Data!K$188)/(Data!K$187-Data!K$188)</f>
        <v>0.44385194479297352</v>
      </c>
      <c r="E123" s="1">
        <f>(Table1[[#This Row],[OBP]]-Data!L$188)/(Data!L$187-Data!L$188)</f>
        <v>0.40455626116328613</v>
      </c>
      <c r="F123" s="1">
        <f>(Table1[[#This Row],[OB]]-Data!P$188)/(Data!P$187-Data!P$188)</f>
        <v>0.40350180924641948</v>
      </c>
      <c r="G123" s="1">
        <f>SUM(Table3[[#This Row],[R Scale]:[OBP Scale]])</f>
        <v>1.6161427451401802</v>
      </c>
      <c r="H123" s="1">
        <f>SUM(Table3[[#This Row],[R Scale]:[SB Scale]],Table3[[#This Row],[OB Scale]])</f>
        <v>1.6150882932233137</v>
      </c>
      <c r="I123" s="1">
        <f>Table3[[#This Row],[R Scale]]*Data!B$192+Table3[[#This Row],[HR Scale]]*Data!C$192+Table3[[#This Row],[RBI Scale]]*Data!D$192+Table3[[#This Row],[SB Scale]]*Data!E$192+Table3[[#This Row],[OBP Scale]]*Data!F$192</f>
        <v>1.7031161830733508</v>
      </c>
      <c r="J123" s="1">
        <f>Table3[[#This Row],[R Scale]]*Data!B$192+Table3[[#This Row],[HR Scale]]*Data!C$192+Table3[[#This Row],[RBI Scale]]*Data!D$192+Table3[[#This Row],[SB Scale]]*Data!E$192+Table3[[#This Row],[OB Scale]]*Data!F$192</f>
        <v>1.7018508407731108</v>
      </c>
      <c r="K12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-0.33193480723748275</v>
      </c>
      <c r="L12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-0.34837313092720767</v>
      </c>
      <c r="M123" s="1">
        <f ca="1">Table3[[#This Row],[Tot Scale]]*M$185+M$186</f>
        <v>-6.7735087006116856</v>
      </c>
      <c r="N123" s="1">
        <f ca="1">Table3[[#This Row],[OB Tot Scale]]*N$185+N$186</f>
        <v>-8.6161619309154034</v>
      </c>
      <c r="O123" s="1">
        <f ca="1">Table3[[#This Row],[Weighted Scale]]*O$185+O$186</f>
        <v>-7.6173775230132961</v>
      </c>
      <c r="P123" s="1">
        <f ca="1">Table3[[#This Row],[OB Weighted Scale]]*P$185+P$186</f>
        <v>-9.7895505665761249</v>
      </c>
      <c r="Q123" s="1">
        <f ca="1">Table3[[#This Row],[Z-score]]*Q$185+Q$186</f>
        <v>-1.0327515045167051</v>
      </c>
      <c r="R123" s="1">
        <f ca="1">Table3[[#This Row],[OBMod Z-Score]]*R$185+R$186</f>
        <v>-0.88443938417039636</v>
      </c>
      <c r="S123" s="1">
        <f ca="1">AVERAGE(Table3[[#This Row],[Tot Value]:[OB Z Value]])</f>
        <v>-5.7856316016339351</v>
      </c>
      <c r="T123" s="1">
        <f>IF(Table1[[#This Row],[Included?]], (Table1[[#This Row],[I R]]-Data!S$188)/(Data!S$187-Data!S$188), "")</f>
        <v>0.28689407540394968</v>
      </c>
      <c r="U123" s="1">
        <f>IF(Table1[[#This Row],[Included?]], (Table1[[#This Row],[I HR]]-Data!T$188)/(Data!T$187-Data!T$188), "")</f>
        <v>8.3730428863172238E-2</v>
      </c>
      <c r="V123" s="1">
        <f>IF(Table1[[#This Row],[Included?]], (Table1[[#This Row],[I RBI]]-Data!U$188)/(Data!U$187-Data!U$188), "")</f>
        <v>5.3751803751803835E-2</v>
      </c>
      <c r="W123" s="1">
        <f>IF(Table1[[#This Row],[Included?]], (Table1[[#This Row],[I SB]]-Data!V$188)/(Data!V$187-Data!V$188), "")</f>
        <v>0.44385194479297352</v>
      </c>
      <c r="X123" s="1">
        <f>IF(Table1[[#This Row],[Included?]], (Table1[[#This Row],[I OBP]]-Data!W$188)/(Data!W$187-Data!W$188), "")</f>
        <v>0.2840617211549526</v>
      </c>
      <c r="Y123" s="1">
        <f>IF(Table1[[#This Row],[Included?]], (Table1[[#This Row],[I OB]]-Data!AA$188)/(Data!AA$187-Data!AA$188), "")</f>
        <v>8.1676871738220483E-2</v>
      </c>
      <c r="Z123" s="1">
        <f>IF(Table1[[#This Row],[Included?]], SUM(Table35[[#This Row],[I R Scale]:[I OBP Scale]]), "")</f>
        <v>1.1522899739668517</v>
      </c>
      <c r="AA123" s="1">
        <f>IF(Table1[[#This Row],[Included?]], SUM(Table35[[#This Row],[I R Scale]:[I SB Scale]],Table35[[#This Row],[I OB Scale]]), "")</f>
        <v>0.94990512455011966</v>
      </c>
      <c r="AB123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1.1911632714078082</v>
      </c>
      <c r="AC123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0.94830145210772965</v>
      </c>
      <c r="AD1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-3.3973876342151952</v>
      </c>
      <c r="AE123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-3.260206171832893</v>
      </c>
      <c r="AF123" s="1">
        <f ca="1">IF(Table1[[#This Row],[Included?]], Table35[[#This Row],[I Tot Scale]]*AF$185+AF$186, "")</f>
        <v>2.7910943125377408</v>
      </c>
      <c r="AG123" s="1">
        <f ca="1">IF(Table1[[#This Row],[Included?]], Table35[[#This Row],[I OB Tot Scale]]*AG$185+AG$186, "")</f>
        <v>5.7533131076025015</v>
      </c>
      <c r="AH123" s="1">
        <f ca="1">IF(Table1[[#This Row],[Included?]], Table35[[#This Row],[I Weighted Scale]]*AH$185+AH$186, "")</f>
        <v>2.1081162746182152</v>
      </c>
      <c r="AI123" s="1">
        <f ca="1">IF(Table1[[#This Row],[Included?]], Table35[[#This Row],[I OB Weighted Scale]]*AI$185+AI$186, "")</f>
        <v>5.0752263575178418</v>
      </c>
      <c r="AJ123" s="1">
        <f ca="1">IF(Table1[[#This Row],[Included?]], Table35[[#This Row],[I Z-score]]*AJ$185+AJ$186, "")</f>
        <v>4.5762051253593157</v>
      </c>
      <c r="AK123" s="1">
        <f ca="1">IF(Table1[[#This Row],[Included?]], Table35[[#This Row],[I OBMod Z-Score]]*AK$185+AK$186, "")</f>
        <v>5.2249727698271489</v>
      </c>
      <c r="AL123" s="1">
        <f ca="1">IF(Table1[[#This Row],[Included?]], AVERAGE(Table35[[#This Row],[I Tot Value]:[I OB Z Value]]), "")</f>
        <v>4.2548213245771267</v>
      </c>
    </row>
    <row r="124" spans="1:38" hidden="1" x14ac:dyDescent="0.25">
      <c r="A124" s="1">
        <f>(Table1[[#This Row],[R]]-Data!H$188)/(Data!H$187-Data!H$188)</f>
        <v>0.42102272727272738</v>
      </c>
      <c r="B124" s="1">
        <f>(Table1[[#This Row],[HR]]-Data!I$188)/(Data!I$187-Data!I$188)</f>
        <v>0.32743362831858408</v>
      </c>
      <c r="C124" s="1">
        <f>(Table1[[#This Row],[RBI]]-Data!J$188)/(Data!J$187-Data!J$188)</f>
        <v>0.57638291774147321</v>
      </c>
      <c r="D124" s="1">
        <f>(Table1[[#This Row],[SB]]-Data!K$188)/(Data!K$187-Data!K$188)</f>
        <v>1.4742785445420323E-2</v>
      </c>
      <c r="E124" s="1">
        <f>(Table1[[#This Row],[OBP]]-Data!L$188)/(Data!L$187-Data!L$188)</f>
        <v>0.1773277297687286</v>
      </c>
      <c r="F124" s="1">
        <f>(Table1[[#This Row],[OB]]-Data!P$188)/(Data!P$187-Data!P$188)</f>
        <v>0.39715254113030091</v>
      </c>
      <c r="G124" s="1">
        <f>SUM(Table3[[#This Row],[R Scale]:[OBP Scale]])</f>
        <v>1.5169097885469336</v>
      </c>
      <c r="H124" s="1">
        <f>SUM(Table3[[#This Row],[R Scale]:[SB Scale]],Table3[[#This Row],[OB Scale]])</f>
        <v>1.736734599908506</v>
      </c>
      <c r="I124" s="1">
        <f>Table3[[#This Row],[R Scale]]*Data!B$192+Table3[[#This Row],[HR Scale]]*Data!C$192+Table3[[#This Row],[RBI Scale]]*Data!D$192+Table3[[#This Row],[SB Scale]]*Data!E$192+Table3[[#This Row],[OBP Scale]]*Data!F$192</f>
        <v>1.6255496453217009</v>
      </c>
      <c r="J124" s="1">
        <f>Table3[[#This Row],[R Scale]]*Data!B$192+Table3[[#This Row],[HR Scale]]*Data!C$192+Table3[[#This Row],[RBI Scale]]*Data!D$192+Table3[[#This Row],[SB Scale]]*Data!E$192+Table3[[#This Row],[OB Scale]]*Data!F$192</f>
        <v>1.8893394189555877</v>
      </c>
      <c r="K12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-1.9810462478912552</v>
      </c>
      <c r="L12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-2.0389588337450402</v>
      </c>
      <c r="M124" s="1">
        <f ca="1">Table3[[#This Row],[Tot Scale]]*M$185+M$186</f>
        <v>-10.438364645826411</v>
      </c>
      <c r="N124" s="1">
        <f ca="1">Table3[[#This Row],[OB Tot Scale]]*N$185+N$186</f>
        <v>-4.1799661430851742</v>
      </c>
      <c r="O124" s="1">
        <f ca="1">Table3[[#This Row],[Weighted Scale]]*O$185+O$186</f>
        <v>-10.285221299321513</v>
      </c>
      <c r="P124" s="1">
        <f ca="1">Table3[[#This Row],[OB Weighted Scale]]*P$185+P$186</f>
        <v>-3.388572938884181</v>
      </c>
      <c r="Q124" s="1">
        <f ca="1">Table3[[#This Row],[Z-score]]*Q$185+Q$186</f>
        <v>-13.150029830296344</v>
      </c>
      <c r="R124" s="1">
        <f ca="1">Table3[[#This Row],[OBMod Z-Score]]*R$185+R$186</f>
        <v>-13.192767579279009</v>
      </c>
      <c r="S124" s="1">
        <f ca="1">AVERAGE(Table3[[#This Row],[Tot Value]:[OB Z Value]])</f>
        <v>-9.1058204061154395</v>
      </c>
      <c r="T124" s="1" t="str">
        <f>IF(Table1[[#This Row],[Included?]], (Table1[[#This Row],[I R]]-Data!S$188)/(Data!S$187-Data!S$188), "")</f>
        <v/>
      </c>
      <c r="U124" s="1" t="str">
        <f>IF(Table1[[#This Row],[Included?]], (Table1[[#This Row],[I HR]]-Data!T$188)/(Data!T$187-Data!T$188), "")</f>
        <v/>
      </c>
      <c r="V124" s="1" t="str">
        <f>IF(Table1[[#This Row],[Included?]], (Table1[[#This Row],[I RBI]]-Data!U$188)/(Data!U$187-Data!U$188), "")</f>
        <v/>
      </c>
      <c r="W124" s="1" t="str">
        <f>IF(Table1[[#This Row],[Included?]], (Table1[[#This Row],[I SB]]-Data!V$188)/(Data!V$187-Data!V$188), "")</f>
        <v/>
      </c>
      <c r="X124" s="1" t="str">
        <f>IF(Table1[[#This Row],[Included?]], (Table1[[#This Row],[I OBP]]-Data!W$188)/(Data!W$187-Data!W$188), "")</f>
        <v/>
      </c>
      <c r="Y124" s="1" t="str">
        <f>IF(Table1[[#This Row],[Included?]], (Table1[[#This Row],[I OB]]-Data!AA$188)/(Data!AA$187-Data!AA$188), "")</f>
        <v/>
      </c>
      <c r="Z124" s="1" t="str">
        <f>IF(Table1[[#This Row],[Included?]], SUM(Table35[[#This Row],[I R Scale]:[I OBP Scale]]), "")</f>
        <v/>
      </c>
      <c r="AA124" s="1" t="str">
        <f>IF(Table1[[#This Row],[Included?]], SUM(Table35[[#This Row],[I R Scale]:[I SB Scale]],Table35[[#This Row],[I OB Scale]]), "")</f>
        <v/>
      </c>
      <c r="AB12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4" s="1" t="str">
        <f>IF(Table1[[#This Row],[Included?]], Table35[[#This Row],[I Tot Scale]]*AF$185+AF$186, "")</f>
        <v/>
      </c>
      <c r="AG124" s="1" t="str">
        <f>IF(Table1[[#This Row],[Included?]], Table35[[#This Row],[I OB Tot Scale]]*AG$185+AG$186, "")</f>
        <v/>
      </c>
      <c r="AH124" s="1" t="str">
        <f>IF(Table1[[#This Row],[Included?]], Table35[[#This Row],[I Weighted Scale]]*AH$185+AH$186, "")</f>
        <v/>
      </c>
      <c r="AI124" s="1" t="str">
        <f>IF(Table1[[#This Row],[Included?]], Table35[[#This Row],[I OB Weighted Scale]]*AI$185+AI$186, "")</f>
        <v/>
      </c>
      <c r="AJ124" s="1" t="str">
        <f>IF(Table1[[#This Row],[Included?]], Table35[[#This Row],[I Z-score]]*AJ$185+AJ$186, "")</f>
        <v/>
      </c>
      <c r="AK124" s="1" t="str">
        <f>IF(Table1[[#This Row],[Included?]], Table35[[#This Row],[I OBMod Z-Score]]*AK$185+AK$186, "")</f>
        <v/>
      </c>
      <c r="AL124" s="1" t="str">
        <f>IF(Table1[[#This Row],[Included?]], AVERAGE(Table35[[#This Row],[I Tot Value]:[I OB Z Value]]), "")</f>
        <v/>
      </c>
    </row>
    <row r="125" spans="1:38" hidden="1" x14ac:dyDescent="0.25">
      <c r="A125" s="1">
        <f>(Table1[[#This Row],[R]]-Data!H$188)/(Data!H$187-Data!H$188)</f>
        <v>0.45738636363636365</v>
      </c>
      <c r="B125" s="1">
        <f>(Table1[[#This Row],[HR]]-Data!I$188)/(Data!I$187-Data!I$188)</f>
        <v>0.15929203539823006</v>
      </c>
      <c r="C125" s="1">
        <f>(Table1[[#This Row],[RBI]]-Data!J$188)/(Data!J$187-Data!J$188)</f>
        <v>0.25680710805388368</v>
      </c>
      <c r="D125" s="1">
        <f>(Table1[[#This Row],[SB]]-Data!K$188)/(Data!K$187-Data!K$188)</f>
        <v>0.33375156838143033</v>
      </c>
      <c r="E125" s="1">
        <f>(Table1[[#This Row],[OBP]]-Data!L$188)/(Data!L$187-Data!L$188)</f>
        <v>0.36353883540824278</v>
      </c>
      <c r="F125" s="1">
        <f>(Table1[[#This Row],[OB]]-Data!P$188)/(Data!P$187-Data!P$188)</f>
        <v>0.40590359643494339</v>
      </c>
      <c r="G125" s="1">
        <f>SUM(Table3[[#This Row],[R Scale]:[OBP Scale]])</f>
        <v>1.5707759108781503</v>
      </c>
      <c r="H125" s="1">
        <f>SUM(Table3[[#This Row],[R Scale]:[SB Scale]],Table3[[#This Row],[OB Scale]])</f>
        <v>1.6131406719048509</v>
      </c>
      <c r="I125" s="1">
        <f>Table3[[#This Row],[R Scale]]*Data!B$192+Table3[[#This Row],[HR Scale]]*Data!C$192+Table3[[#This Row],[RBI Scale]]*Data!D$192+Table3[[#This Row],[SB Scale]]*Data!E$192+Table3[[#This Row],[OBP Scale]]*Data!F$192</f>
        <v>1.6491064632069392</v>
      </c>
      <c r="J125" s="1">
        <f>Table3[[#This Row],[R Scale]]*Data!B$192+Table3[[#This Row],[HR Scale]]*Data!C$192+Table3[[#This Row],[RBI Scale]]*Data!D$192+Table3[[#This Row],[SB Scale]]*Data!E$192+Table3[[#This Row],[OB Scale]]*Data!F$192</f>
        <v>1.69994417643898</v>
      </c>
      <c r="K12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-0.84015188023487763</v>
      </c>
      <c r="L12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-0.84682203733308992</v>
      </c>
      <c r="M125" s="1">
        <f ca="1">Table3[[#This Row],[Tot Scale]]*M$185+M$186</f>
        <v>-8.4489894881314882</v>
      </c>
      <c r="N125" s="1">
        <f ca="1">Table3[[#This Row],[OB Tot Scale]]*N$185+N$186</f>
        <v>-8.6871877575491112</v>
      </c>
      <c r="O125" s="1">
        <f ca="1">Table3[[#This Row],[Weighted Scale]]*O$185+O$186</f>
        <v>-9.475001946925282</v>
      </c>
      <c r="P125" s="1">
        <f ca="1">Table3[[#This Row],[OB Weighted Scale]]*P$185+P$186</f>
        <v>-9.854645282556163</v>
      </c>
      <c r="Q125" s="1">
        <f ca="1">Table3[[#This Row],[Z-score]]*Q$185+Q$186</f>
        <v>-4.7670095853296948</v>
      </c>
      <c r="R125" s="1">
        <f ca="1">Table3[[#This Row],[OBMod Z-Score]]*R$185+R$186</f>
        <v>-4.5134022449770175</v>
      </c>
      <c r="S125" s="1">
        <f ca="1">AVERAGE(Table3[[#This Row],[Tot Value]:[OB Z Value]])</f>
        <v>-7.624372717578126</v>
      </c>
      <c r="T125" s="1">
        <f>IF(Table1[[#This Row],[Included?]], (Table1[[#This Row],[I R]]-Data!S$188)/(Data!S$187-Data!S$188), "")</f>
        <v>0.31418312387791741</v>
      </c>
      <c r="U125" s="1">
        <f>IF(Table1[[#This Row],[Included?]], (Table1[[#This Row],[I HR]]-Data!T$188)/(Data!T$187-Data!T$188), "")</f>
        <v>0.15929203539823006</v>
      </c>
      <c r="V125" s="1">
        <f>IF(Table1[[#This Row],[Included?]], (Table1[[#This Row],[I RBI]]-Data!U$188)/(Data!U$187-Data!U$188), "")</f>
        <v>6.4574314574314673E-2</v>
      </c>
      <c r="W125" s="1">
        <f>IF(Table1[[#This Row],[Included?]], (Table1[[#This Row],[I SB]]-Data!V$188)/(Data!V$187-Data!V$188), "")</f>
        <v>0.33375156838143033</v>
      </c>
      <c r="X125" s="1">
        <f>IF(Table1[[#This Row],[Included?]], (Table1[[#This Row],[I OBP]]-Data!W$188)/(Data!W$187-Data!W$188), "")</f>
        <v>0.23474397158033974</v>
      </c>
      <c r="Y125" s="1">
        <f>IF(Table1[[#This Row],[Included?]], (Table1[[#This Row],[I OB]]-Data!AA$188)/(Data!AA$187-Data!AA$188), "")</f>
        <v>8.5374480144371531E-2</v>
      </c>
      <c r="Z125" s="1">
        <f>IF(Table1[[#This Row],[Included?]], SUM(Table35[[#This Row],[I R Scale]:[I OBP Scale]]), "")</f>
        <v>1.1065450138122321</v>
      </c>
      <c r="AA125" s="1">
        <f>IF(Table1[[#This Row],[Included?]], SUM(Table35[[#This Row],[I R Scale]:[I SB Scale]],Table35[[#This Row],[I OB Scale]]), "")</f>
        <v>0.95717552237626402</v>
      </c>
      <c r="AB125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1.1349903586553713</v>
      </c>
      <c r="AC125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0.95574696893220945</v>
      </c>
      <c r="AD1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-3.7815481493991232</v>
      </c>
      <c r="AE125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-3.6289743871679718</v>
      </c>
      <c r="AF125" s="1">
        <f ca="1">IF(Table1[[#This Row],[Included?]], Table35[[#This Row],[I Tot Scale]]*AF$185+AF$186, "")</f>
        <v>1.8222743920730231</v>
      </c>
      <c r="AG125" s="1">
        <f ca="1">IF(Table1[[#This Row],[Included?]], Table35[[#This Row],[I OB Tot Scale]]*AG$185+AG$186, "")</f>
        <v>5.8676404400640418</v>
      </c>
      <c r="AH125" s="1">
        <f ca="1">IF(Table1[[#This Row],[Included?]], Table35[[#This Row],[I Weighted Scale]]*AH$185+AH$186, "")</f>
        <v>1</v>
      </c>
      <c r="AI125" s="1">
        <f ca="1">IF(Table1[[#This Row],[Included?]], Table35[[#This Row],[I OB Weighted Scale]]*AI$185+AI$186, "")</f>
        <v>5.1842666840392795</v>
      </c>
      <c r="AJ125" s="1">
        <f ca="1">IF(Table1[[#This Row],[Included?]], Table35[[#This Row],[I Z-score]]*AJ$185+AJ$186, "")</f>
        <v>2.8321553956610686</v>
      </c>
      <c r="AK125" s="1">
        <f ca="1">IF(Table1[[#This Row],[Included?]], Table35[[#This Row],[I OBMod Z-Score]]*AK$185+AK$186, "")</f>
        <v>3.5537409102374475</v>
      </c>
      <c r="AL125" s="1">
        <f ca="1">IF(Table1[[#This Row],[Included?]], AVERAGE(Table35[[#This Row],[I Tot Value]:[I OB Z Value]]), "")</f>
        <v>3.3766796370124763</v>
      </c>
    </row>
    <row r="126" spans="1:38" hidden="1" x14ac:dyDescent="0.25">
      <c r="A126" s="1">
        <f>(Table1[[#This Row],[R]]-Data!H$188)/(Data!H$187-Data!H$188)</f>
        <v>0.36761363636363642</v>
      </c>
      <c r="B126" s="1">
        <f>(Table1[[#This Row],[HR]]-Data!I$188)/(Data!I$187-Data!I$188)</f>
        <v>0.71000680735193999</v>
      </c>
      <c r="C126" s="1">
        <f>(Table1[[#This Row],[RBI]]-Data!J$188)/(Data!J$187-Data!J$188)</f>
        <v>0.45113212955001425</v>
      </c>
      <c r="D126" s="1">
        <f>(Table1[[#This Row],[SB]]-Data!K$188)/(Data!K$187-Data!K$188)</f>
        <v>0</v>
      </c>
      <c r="E126" s="1">
        <f>(Table1[[#This Row],[OBP]]-Data!L$188)/(Data!L$187-Data!L$188)</f>
        <v>0.30953792014948678</v>
      </c>
      <c r="F126" s="1">
        <f>(Table1[[#This Row],[OB]]-Data!P$188)/(Data!P$187-Data!P$188)</f>
        <v>0.31451447701488311</v>
      </c>
      <c r="G126" s="1">
        <f>SUM(Table3[[#This Row],[R Scale]:[OBP Scale]])</f>
        <v>1.8382904934150772</v>
      </c>
      <c r="H126" s="1">
        <f>SUM(Table3[[#This Row],[R Scale]:[SB Scale]],Table3[[#This Row],[OB Scale]])</f>
        <v>1.8432670502804736</v>
      </c>
      <c r="I126" s="1">
        <f>Table3[[#This Row],[R Scale]]*Data!B$192+Table3[[#This Row],[HR Scale]]*Data!C$192+Table3[[#This Row],[RBI Scale]]*Data!D$192+Table3[[#This Row],[SB Scale]]*Data!E$192+Table3[[#This Row],[OBP Scale]]*Data!F$192</f>
        <v>1.9536631397186139</v>
      </c>
      <c r="J126" s="1">
        <f>Table3[[#This Row],[R Scale]]*Data!B$192+Table3[[#This Row],[HR Scale]]*Data!C$192+Table3[[#This Row],[RBI Scale]]*Data!D$192+Table3[[#This Row],[SB Scale]]*Data!E$192+Table3[[#This Row],[OB Scale]]*Data!F$192</f>
        <v>1.9596350079570897</v>
      </c>
      <c r="K12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-0.51309341917723039</v>
      </c>
      <c r="L12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-0.4430232513471607</v>
      </c>
      <c r="M126" s="1">
        <f ca="1">Table3[[#This Row],[Tot Scale]]*M$185+M$186</f>
        <v>1.4308169985454811</v>
      </c>
      <c r="N126" s="1">
        <f ca="1">Table3[[#This Row],[OB Tot Scale]]*N$185+N$186</f>
        <v>-0.29494225304310362</v>
      </c>
      <c r="O126" s="1">
        <f ca="1">Table3[[#This Row],[Weighted Scale]]*O$185+O$186</f>
        <v>1</v>
      </c>
      <c r="P126" s="1">
        <f ca="1">Table3[[#This Row],[OB Weighted Scale]]*P$185+P$186</f>
        <v>-0.98863745008812032</v>
      </c>
      <c r="Q126" s="1">
        <f ca="1">Table3[[#This Row],[Z-score]]*Q$185+Q$186</f>
        <v>-2.3638618636296012</v>
      </c>
      <c r="R126" s="1">
        <f ca="1">Table3[[#This Row],[OBMod Z-Score]]*R$185+R$186</f>
        <v>-1.5735406488348032</v>
      </c>
      <c r="S126" s="1">
        <f ca="1">AVERAGE(Table3[[#This Row],[Tot Value]:[OB Z Value]])</f>
        <v>-0.46502753617502451</v>
      </c>
      <c r="T126" s="1" t="str">
        <f>IF(Table1[[#This Row],[Included?]], (Table1[[#This Row],[I R]]-Data!S$188)/(Data!S$187-Data!S$188), "")</f>
        <v/>
      </c>
      <c r="U126" s="1" t="str">
        <f>IF(Table1[[#This Row],[Included?]], (Table1[[#This Row],[I HR]]-Data!T$188)/(Data!T$187-Data!T$188), "")</f>
        <v/>
      </c>
      <c r="V126" s="1" t="str">
        <f>IF(Table1[[#This Row],[Included?]], (Table1[[#This Row],[I RBI]]-Data!U$188)/(Data!U$187-Data!U$188), "")</f>
        <v/>
      </c>
      <c r="W126" s="1" t="str">
        <f>IF(Table1[[#This Row],[Included?]], (Table1[[#This Row],[I SB]]-Data!V$188)/(Data!V$187-Data!V$188), "")</f>
        <v/>
      </c>
      <c r="X126" s="1" t="str">
        <f>IF(Table1[[#This Row],[Included?]], (Table1[[#This Row],[I OBP]]-Data!W$188)/(Data!W$187-Data!W$188), "")</f>
        <v/>
      </c>
      <c r="Y126" s="1" t="str">
        <f>IF(Table1[[#This Row],[Included?]], (Table1[[#This Row],[I OB]]-Data!AA$188)/(Data!AA$187-Data!AA$188), "")</f>
        <v/>
      </c>
      <c r="Z126" s="1" t="str">
        <f>IF(Table1[[#This Row],[Included?]], SUM(Table35[[#This Row],[I R Scale]:[I OBP Scale]]), "")</f>
        <v/>
      </c>
      <c r="AA126" s="1" t="str">
        <f>IF(Table1[[#This Row],[Included?]], SUM(Table35[[#This Row],[I R Scale]:[I SB Scale]],Table35[[#This Row],[I OB Scale]]), "")</f>
        <v/>
      </c>
      <c r="AB12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6" s="1" t="str">
        <f>IF(Table1[[#This Row],[Included?]], Table35[[#This Row],[I Tot Scale]]*AF$185+AF$186, "")</f>
        <v/>
      </c>
      <c r="AG126" s="1" t="str">
        <f>IF(Table1[[#This Row],[Included?]], Table35[[#This Row],[I OB Tot Scale]]*AG$185+AG$186, "")</f>
        <v/>
      </c>
      <c r="AH126" s="1" t="str">
        <f>IF(Table1[[#This Row],[Included?]], Table35[[#This Row],[I Weighted Scale]]*AH$185+AH$186, "")</f>
        <v/>
      </c>
      <c r="AI126" s="1" t="str">
        <f>IF(Table1[[#This Row],[Included?]], Table35[[#This Row],[I OB Weighted Scale]]*AI$185+AI$186, "")</f>
        <v/>
      </c>
      <c r="AJ126" s="1" t="str">
        <f>IF(Table1[[#This Row],[Included?]], Table35[[#This Row],[I Z-score]]*AJ$185+AJ$186, "")</f>
        <v/>
      </c>
      <c r="AK126" s="1" t="str">
        <f>IF(Table1[[#This Row],[Included?]], Table35[[#This Row],[I OBMod Z-Score]]*AK$185+AK$186, "")</f>
        <v/>
      </c>
      <c r="AL126" s="1" t="str">
        <f>IF(Table1[[#This Row],[Included?]], AVERAGE(Table35[[#This Row],[I Tot Value]:[I OB Z Value]]), "")</f>
        <v/>
      </c>
    </row>
    <row r="127" spans="1:38" hidden="1" x14ac:dyDescent="0.25">
      <c r="A127" s="1">
        <f>(Table1[[#This Row],[R]]-Data!H$188)/(Data!H$187-Data!H$188)</f>
        <v>0.33806818181818182</v>
      </c>
      <c r="B127" s="1">
        <f>(Table1[[#This Row],[HR]]-Data!I$188)/(Data!I$187-Data!I$188)</f>
        <v>0.30701157249829814</v>
      </c>
      <c r="C127" s="1">
        <f>(Table1[[#This Row],[RBI]]-Data!J$188)/(Data!J$187-Data!J$188)</f>
        <v>0.42189739180280877</v>
      </c>
      <c r="D127" s="1">
        <f>(Table1[[#This Row],[SB]]-Data!K$188)/(Data!K$187-Data!K$188)</f>
        <v>0.14460476787954829</v>
      </c>
      <c r="E127" s="1">
        <f>(Table1[[#This Row],[OBP]]-Data!L$188)/(Data!L$187-Data!L$188)</f>
        <v>0.34357596038082805</v>
      </c>
      <c r="F127" s="1">
        <f>(Table1[[#This Row],[OB]]-Data!P$188)/(Data!P$187-Data!P$188)</f>
        <v>0.43154771613572429</v>
      </c>
      <c r="G127" s="1">
        <f>SUM(Table3[[#This Row],[R Scale]:[OBP Scale]])</f>
        <v>1.555157874379665</v>
      </c>
      <c r="H127" s="1">
        <f>SUM(Table3[[#This Row],[R Scale]:[SB Scale]],Table3[[#This Row],[OB Scale]])</f>
        <v>1.6431296301345615</v>
      </c>
      <c r="I127" s="1">
        <f>Table3[[#This Row],[R Scale]]*Data!B$192+Table3[[#This Row],[HR Scale]]*Data!C$192+Table3[[#This Row],[RBI Scale]]*Data!D$192+Table3[[#This Row],[SB Scale]]*Data!E$192+Table3[[#This Row],[OBP Scale]]*Data!F$192</f>
        <v>1.6744457266345742</v>
      </c>
      <c r="J127" s="1">
        <f>Table3[[#This Row],[R Scale]]*Data!B$192+Table3[[#This Row],[HR Scale]]*Data!C$192+Table3[[#This Row],[RBI Scale]]*Data!D$192+Table3[[#This Row],[SB Scale]]*Data!E$192+Table3[[#This Row],[OB Scale]]*Data!F$192</f>
        <v>1.7800118335404496</v>
      </c>
      <c r="K12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-1.4160242205562241</v>
      </c>
      <c r="L12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-1.4360346997057214</v>
      </c>
      <c r="M127" s="1">
        <f ca="1">Table3[[#This Row],[Tot Scale]]*M$185+M$186</f>
        <v>-9.0257923556372006</v>
      </c>
      <c r="N127" s="1">
        <f ca="1">Table3[[#This Row],[OB Tot Scale]]*N$185+N$186</f>
        <v>-7.5935508539286474</v>
      </c>
      <c r="O127" s="1">
        <f ca="1">Table3[[#This Row],[Weighted Scale]]*O$185+O$186</f>
        <v>-8.6034766965899649</v>
      </c>
      <c r="P127" s="1">
        <f ca="1">Table3[[#This Row],[OB Weighted Scale]]*P$185+P$186</f>
        <v>-7.1210852610523219</v>
      </c>
      <c r="Q127" s="1">
        <f ca="1">Table3[[#This Row],[Z-score]]*Q$185+Q$186</f>
        <v>-8.9983824663676764</v>
      </c>
      <c r="R127" s="1">
        <f ca="1">Table3[[#This Row],[OBMod Z-Score]]*R$185+R$186</f>
        <v>-8.803171650401552</v>
      </c>
      <c r="S127" s="1">
        <f ca="1">AVERAGE(Table3[[#This Row],[Tot Value]:[OB Z Value]])</f>
        <v>-8.3575765473295593</v>
      </c>
      <c r="T127" s="1" t="str">
        <f>IF(Table1[[#This Row],[Included?]], (Table1[[#This Row],[I R]]-Data!S$188)/(Data!S$187-Data!S$188), "")</f>
        <v/>
      </c>
      <c r="U127" s="1" t="str">
        <f>IF(Table1[[#This Row],[Included?]], (Table1[[#This Row],[I HR]]-Data!T$188)/(Data!T$187-Data!T$188), "")</f>
        <v/>
      </c>
      <c r="V127" s="1" t="str">
        <f>IF(Table1[[#This Row],[Included?]], (Table1[[#This Row],[I RBI]]-Data!U$188)/(Data!U$187-Data!U$188), "")</f>
        <v/>
      </c>
      <c r="W127" s="1" t="str">
        <f>IF(Table1[[#This Row],[Included?]], (Table1[[#This Row],[I SB]]-Data!V$188)/(Data!V$187-Data!V$188), "")</f>
        <v/>
      </c>
      <c r="X127" s="1" t="str">
        <f>IF(Table1[[#This Row],[Included?]], (Table1[[#This Row],[I OBP]]-Data!W$188)/(Data!W$187-Data!W$188), "")</f>
        <v/>
      </c>
      <c r="Y127" s="1" t="str">
        <f>IF(Table1[[#This Row],[Included?]], (Table1[[#This Row],[I OB]]-Data!AA$188)/(Data!AA$187-Data!AA$188), "")</f>
        <v/>
      </c>
      <c r="Z127" s="1" t="str">
        <f>IF(Table1[[#This Row],[Included?]], SUM(Table35[[#This Row],[I R Scale]:[I OBP Scale]]), "")</f>
        <v/>
      </c>
      <c r="AA127" s="1" t="str">
        <f>IF(Table1[[#This Row],[Included?]], SUM(Table35[[#This Row],[I R Scale]:[I SB Scale]],Table35[[#This Row],[I OB Scale]]), "")</f>
        <v/>
      </c>
      <c r="AB12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7" s="1" t="str">
        <f>IF(Table1[[#This Row],[Included?]], Table35[[#This Row],[I Tot Scale]]*AF$185+AF$186, "")</f>
        <v/>
      </c>
      <c r="AG127" s="1" t="str">
        <f>IF(Table1[[#This Row],[Included?]], Table35[[#This Row],[I OB Tot Scale]]*AG$185+AG$186, "")</f>
        <v/>
      </c>
      <c r="AH127" s="1" t="str">
        <f>IF(Table1[[#This Row],[Included?]], Table35[[#This Row],[I Weighted Scale]]*AH$185+AH$186, "")</f>
        <v/>
      </c>
      <c r="AI127" s="1" t="str">
        <f>IF(Table1[[#This Row],[Included?]], Table35[[#This Row],[I OB Weighted Scale]]*AI$185+AI$186, "")</f>
        <v/>
      </c>
      <c r="AJ127" s="1" t="str">
        <f>IF(Table1[[#This Row],[Included?]], Table35[[#This Row],[I Z-score]]*AJ$185+AJ$186, "")</f>
        <v/>
      </c>
      <c r="AK127" s="1" t="str">
        <f>IF(Table1[[#This Row],[Included?]], Table35[[#This Row],[I OBMod Z-Score]]*AK$185+AK$186, "")</f>
        <v/>
      </c>
      <c r="AL127" s="1" t="str">
        <f>IF(Table1[[#This Row],[Included?]], AVERAGE(Table35[[#This Row],[I Tot Value]:[I OB Z Value]]), "")</f>
        <v/>
      </c>
    </row>
    <row r="128" spans="1:38" hidden="1" x14ac:dyDescent="0.25">
      <c r="A128" s="1">
        <f>(Table1[[#This Row],[R]]-Data!H$188)/(Data!H$187-Data!H$188)</f>
        <v>0.36789772727272729</v>
      </c>
      <c r="B128" s="1">
        <f>(Table1[[#This Row],[HR]]-Data!I$188)/(Data!I$187-Data!I$188)</f>
        <v>0.73519400953029257</v>
      </c>
      <c r="C128" s="1">
        <f>(Table1[[#This Row],[RBI]]-Data!J$188)/(Data!J$187-Data!J$188)</f>
        <v>0.50300945829750654</v>
      </c>
      <c r="D128" s="1">
        <f>(Table1[[#This Row],[SB]]-Data!K$188)/(Data!K$187-Data!K$188)</f>
        <v>0</v>
      </c>
      <c r="E128" s="1">
        <f>(Table1[[#This Row],[OBP]]-Data!L$188)/(Data!L$187-Data!L$188)</f>
        <v>0.21497106807080144</v>
      </c>
      <c r="F128" s="1">
        <f>(Table1[[#This Row],[OB]]-Data!P$188)/(Data!P$187-Data!P$188)</f>
        <v>0.27335792832526173</v>
      </c>
      <c r="G128" s="1">
        <f>SUM(Table3[[#This Row],[R Scale]:[OBP Scale]])</f>
        <v>1.8210722631713281</v>
      </c>
      <c r="H128" s="1">
        <f>SUM(Table3[[#This Row],[R Scale]:[SB Scale]],Table3[[#This Row],[OB Scale]])</f>
        <v>1.8794591234257885</v>
      </c>
      <c r="I128" s="1">
        <f>Table3[[#This Row],[R Scale]]*Data!B$192+Table3[[#This Row],[HR Scale]]*Data!C$192+Table3[[#This Row],[RBI Scale]]*Data!D$192+Table3[[#This Row],[SB Scale]]*Data!E$192+Table3[[#This Row],[OBP Scale]]*Data!F$192</f>
        <v>1.9278785957177167</v>
      </c>
      <c r="J128" s="1">
        <f>Table3[[#This Row],[R Scale]]*Data!B$192+Table3[[#This Row],[HR Scale]]*Data!C$192+Table3[[#This Row],[RBI Scale]]*Data!D$192+Table3[[#This Row],[SB Scale]]*Data!E$192+Table3[[#This Row],[OB Scale]]*Data!F$192</f>
        <v>1.9979428280230691</v>
      </c>
      <c r="K12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-0.67344684967631618</v>
      </c>
      <c r="L12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-0.51808328773280632</v>
      </c>
      <c r="M128" s="1">
        <f ca="1">Table3[[#This Row],[Tot Scale]]*M$185+M$186</f>
        <v>0.79491602732345257</v>
      </c>
      <c r="N128" s="1">
        <f ca="1">Table3[[#This Row],[OB Tot Scale]]*N$185+N$186</f>
        <v>1.0249097573889827</v>
      </c>
      <c r="O128" s="1">
        <f ca="1">Table3[[#This Row],[Weighted Scale]]*O$185+O$186</f>
        <v>0.11315965322590671</v>
      </c>
      <c r="P128" s="1">
        <f ca="1">Table3[[#This Row],[OB Weighted Scale]]*P$185+P$186</f>
        <v>0.31921554866538315</v>
      </c>
      <c r="Q128" s="1">
        <f ca="1">Table3[[#This Row],[Z-score]]*Q$185+Q$186</f>
        <v>-3.542100701800952</v>
      </c>
      <c r="R128" s="1">
        <f ca="1">Table3[[#This Row],[OBMod Z-Score]]*R$185+R$186</f>
        <v>-2.1200160866853919</v>
      </c>
      <c r="S128" s="1">
        <f ca="1">AVERAGE(Table3[[#This Row],[Tot Value]:[OB Z Value]])</f>
        <v>-0.56831930031376976</v>
      </c>
      <c r="T128" s="1" t="str">
        <f>IF(Table1[[#This Row],[Included?]], (Table1[[#This Row],[I R]]-Data!S$188)/(Data!S$187-Data!S$188), "")</f>
        <v/>
      </c>
      <c r="U128" s="1" t="str">
        <f>IF(Table1[[#This Row],[Included?]], (Table1[[#This Row],[I HR]]-Data!T$188)/(Data!T$187-Data!T$188), "")</f>
        <v/>
      </c>
      <c r="V128" s="1" t="str">
        <f>IF(Table1[[#This Row],[Included?]], (Table1[[#This Row],[I RBI]]-Data!U$188)/(Data!U$187-Data!U$188), "")</f>
        <v/>
      </c>
      <c r="W128" s="1" t="str">
        <f>IF(Table1[[#This Row],[Included?]], (Table1[[#This Row],[I SB]]-Data!V$188)/(Data!V$187-Data!V$188), "")</f>
        <v/>
      </c>
      <c r="X128" s="1" t="str">
        <f>IF(Table1[[#This Row],[Included?]], (Table1[[#This Row],[I OBP]]-Data!W$188)/(Data!W$187-Data!W$188), "")</f>
        <v/>
      </c>
      <c r="Y128" s="1" t="str">
        <f>IF(Table1[[#This Row],[Included?]], (Table1[[#This Row],[I OB]]-Data!AA$188)/(Data!AA$187-Data!AA$188), "")</f>
        <v/>
      </c>
      <c r="Z128" s="1" t="str">
        <f>IF(Table1[[#This Row],[Included?]], SUM(Table35[[#This Row],[I R Scale]:[I OBP Scale]]), "")</f>
        <v/>
      </c>
      <c r="AA128" s="1" t="str">
        <f>IF(Table1[[#This Row],[Included?]], SUM(Table35[[#This Row],[I R Scale]:[I SB Scale]],Table35[[#This Row],[I OB Scale]]), "")</f>
        <v/>
      </c>
      <c r="AB12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2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2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2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28" s="1" t="str">
        <f>IF(Table1[[#This Row],[Included?]], Table35[[#This Row],[I Tot Scale]]*AF$185+AF$186, "")</f>
        <v/>
      </c>
      <c r="AG128" s="1" t="str">
        <f>IF(Table1[[#This Row],[Included?]], Table35[[#This Row],[I OB Tot Scale]]*AG$185+AG$186, "")</f>
        <v/>
      </c>
      <c r="AH128" s="1" t="str">
        <f>IF(Table1[[#This Row],[Included?]], Table35[[#This Row],[I Weighted Scale]]*AH$185+AH$186, "")</f>
        <v/>
      </c>
      <c r="AI128" s="1" t="str">
        <f>IF(Table1[[#This Row],[Included?]], Table35[[#This Row],[I OB Weighted Scale]]*AI$185+AI$186, "")</f>
        <v/>
      </c>
      <c r="AJ128" s="1" t="str">
        <f>IF(Table1[[#This Row],[Included?]], Table35[[#This Row],[I Z-score]]*AJ$185+AJ$186, "")</f>
        <v/>
      </c>
      <c r="AK128" s="1" t="str">
        <f>IF(Table1[[#This Row],[Included?]], Table35[[#This Row],[I OBMod Z-Score]]*AK$185+AK$186, "")</f>
        <v/>
      </c>
      <c r="AL128" s="1" t="str">
        <f>IF(Table1[[#This Row],[Included?]], AVERAGE(Table35[[#This Row],[I Tot Value]:[I OB Z Value]]), "")</f>
        <v/>
      </c>
    </row>
    <row r="129" spans="1:38" hidden="1" x14ac:dyDescent="0.25">
      <c r="A129" s="1">
        <f>(Table1[[#This Row],[R]]-Data!H$188)/(Data!H$187-Data!H$188)</f>
        <v>0.4701704545454547</v>
      </c>
      <c r="B129" s="1">
        <f>(Table1[[#This Row],[HR]]-Data!I$188)/(Data!I$187-Data!I$188)</f>
        <v>0.28386657590197412</v>
      </c>
      <c r="C129" s="1">
        <f>(Table1[[#This Row],[RBI]]-Data!J$188)/(Data!J$187-Data!J$188)</f>
        <v>0.29292060762396094</v>
      </c>
      <c r="D129" s="1">
        <f>(Table1[[#This Row],[SB]]-Data!K$188)/(Data!K$187-Data!K$188)</f>
        <v>2.1329987452948555E-2</v>
      </c>
      <c r="E129" s="1">
        <f>(Table1[[#This Row],[OBP]]-Data!L$188)/(Data!L$187-Data!L$188)</f>
        <v>0.59101061115668607</v>
      </c>
      <c r="F129" s="1">
        <f>(Table1[[#This Row],[OB]]-Data!P$188)/(Data!P$187-Data!P$188)</f>
        <v>0.44553627025513537</v>
      </c>
      <c r="G129" s="1">
        <f>SUM(Table3[[#This Row],[R Scale]:[OBP Scale]])</f>
        <v>1.6592982366810243</v>
      </c>
      <c r="H129" s="1">
        <f>SUM(Table3[[#This Row],[R Scale]:[SB Scale]],Table3[[#This Row],[OB Scale]])</f>
        <v>1.5138238957794736</v>
      </c>
      <c r="I129" s="1">
        <f>Table3[[#This Row],[R Scale]]*Data!B$192+Table3[[#This Row],[HR Scale]]*Data!C$192+Table3[[#This Row],[RBI Scale]]*Data!D$192+Table3[[#This Row],[SB Scale]]*Data!E$192+Table3[[#This Row],[OBP Scale]]*Data!F$192</f>
        <v>1.7890674349826083</v>
      </c>
      <c r="J129" s="1">
        <f>Table3[[#This Row],[R Scale]]*Data!B$192+Table3[[#This Row],[HR Scale]]*Data!C$192+Table3[[#This Row],[RBI Scale]]*Data!D$192+Table3[[#This Row],[SB Scale]]*Data!E$192+Table3[[#This Row],[OB Scale]]*Data!F$192</f>
        <v>1.6144982259007474</v>
      </c>
      <c r="K12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-0.95246265660911011</v>
      </c>
      <c r="L12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-1.0771319226013663</v>
      </c>
      <c r="M129" s="1">
        <f ca="1">Table3[[#This Row],[Tot Scale]]*M$185+M$186</f>
        <v>-5.1796968746634278</v>
      </c>
      <c r="N129" s="1">
        <f ca="1">Table3[[#This Row],[OB Tot Scale]]*N$185+N$186</f>
        <v>-12.309070541450424</v>
      </c>
      <c r="O129" s="1">
        <f ca="1">Table3[[#This Row],[Weighted Scale]]*O$185+O$186</f>
        <v>-4.661147696097558</v>
      </c>
      <c r="P129" s="1">
        <f ca="1">Table3[[#This Row],[OB Weighted Scale]]*P$185+P$186</f>
        <v>-12.771823614559842</v>
      </c>
      <c r="Q129" s="1">
        <f ca="1">Table3[[#This Row],[Z-score]]*Q$185+Q$186</f>
        <v>-5.5922424366471635</v>
      </c>
      <c r="R129" s="1">
        <f ca="1">Table3[[#This Row],[OBMod Z-Score]]*R$185+R$186</f>
        <v>-6.1901759511161902</v>
      </c>
      <c r="S129" s="1">
        <f ca="1">AVERAGE(Table3[[#This Row],[Tot Value]:[OB Z Value]])</f>
        <v>-7.7840261857557671</v>
      </c>
      <c r="T129" s="1">
        <f>IF(Table1[[#This Row],[Included?]], (Table1[[#This Row],[I R]]-Data!S$188)/(Data!S$187-Data!S$188), "")</f>
        <v>0.33034111310592473</v>
      </c>
      <c r="U129" s="1">
        <f>IF(Table1[[#This Row],[Included?]], (Table1[[#This Row],[I HR]]-Data!T$188)/(Data!T$187-Data!T$188), "")</f>
        <v>0.28386657590197412</v>
      </c>
      <c r="V129" s="1">
        <f>IF(Table1[[#This Row],[Included?]], (Table1[[#This Row],[I RBI]]-Data!U$188)/(Data!U$187-Data!U$188), "")</f>
        <v>0.11002886002885999</v>
      </c>
      <c r="W129" s="1">
        <f>IF(Table1[[#This Row],[Included?]], (Table1[[#This Row],[I SB]]-Data!V$188)/(Data!V$187-Data!V$188), "")</f>
        <v>2.1329987452948555E-2</v>
      </c>
      <c r="X129" s="1">
        <f>IF(Table1[[#This Row],[Included?]], (Table1[[#This Row],[I OBP]]-Data!W$188)/(Data!W$187-Data!W$188), "")</f>
        <v>0.50824714407708904</v>
      </c>
      <c r="Y129" s="1">
        <f>IF(Table1[[#This Row],[Included?]], (Table1[[#This Row],[I OB]]-Data!AA$188)/(Data!AA$187-Data!AA$188), "")</f>
        <v>0.14638992255159378</v>
      </c>
      <c r="Z129" s="1">
        <f>IF(Table1[[#This Row],[Included?]], SUM(Table35[[#This Row],[I R Scale]:[I OBP Scale]]), "")</f>
        <v>1.2538136805667965</v>
      </c>
      <c r="AA129" s="1">
        <f>IF(Table1[[#This Row],[Included?]], SUM(Table35[[#This Row],[I R Scale]:[I SB Scale]],Table35[[#This Row],[I OB Scale]]), "")</f>
        <v>0.89195645904130128</v>
      </c>
      <c r="AB129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1.3444347700773938</v>
      </c>
      <c r="AC129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0.91020610424679937</v>
      </c>
      <c r="AD1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-3.2176445716279463</v>
      </c>
      <c r="AE129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-3.2637777155326861</v>
      </c>
      <c r="AF129" s="1">
        <f ca="1">IF(Table1[[#This Row],[Included?]], Table35[[#This Row],[I Tot Scale]]*AF$185+AF$186, "")</f>
        <v>4.9412369516609935</v>
      </c>
      <c r="AG129" s="1">
        <f ca="1">IF(Table1[[#This Row],[Included?]], Table35[[#This Row],[I OB Tot Scale]]*AG$185+AG$186, "")</f>
        <v>4.8420677389508135</v>
      </c>
      <c r="AH129" s="1">
        <f ca="1">IF(Table1[[#This Row],[Included?]], Table35[[#This Row],[I Weighted Scale]]*AH$185+AH$186, "")</f>
        <v>5.1316846421589268</v>
      </c>
      <c r="AI129" s="1">
        <f ca="1">IF(Table1[[#This Row],[Included?]], Table35[[#This Row],[I OB Weighted Scale]]*AI$185+AI$186, "")</f>
        <v>4.5173162395733026</v>
      </c>
      <c r="AJ129" s="1">
        <f ca="1">IF(Table1[[#This Row],[Included?]], Table35[[#This Row],[I Z-score]]*AJ$185+AJ$186, "")</f>
        <v>5.3922203776564928</v>
      </c>
      <c r="AK129" s="1">
        <f ca="1">IF(Table1[[#This Row],[Included?]], Table35[[#This Row],[I OBMod Z-Score]]*AK$185+AK$186, "")</f>
        <v>5.2087867826113374</v>
      </c>
      <c r="AL129" s="1">
        <f ca="1">IF(Table1[[#This Row],[Included?]], AVERAGE(Table35[[#This Row],[I Tot Value]:[I OB Z Value]]), "")</f>
        <v>5.0055521221019772</v>
      </c>
    </row>
    <row r="130" spans="1:38" hidden="1" x14ac:dyDescent="0.25">
      <c r="A130" s="1">
        <f>(Table1[[#This Row],[R]]-Data!H$188)/(Data!H$187-Data!H$188)</f>
        <v>0.30284090909090911</v>
      </c>
      <c r="B130" s="1">
        <f>(Table1[[#This Row],[HR]]-Data!I$188)/(Data!I$187-Data!I$188)</f>
        <v>0.56705241660993866</v>
      </c>
      <c r="C130" s="1">
        <f>(Table1[[#This Row],[RBI]]-Data!J$188)/(Data!J$187-Data!J$188)</f>
        <v>0.43479507022069352</v>
      </c>
      <c r="D130" s="1">
        <f>(Table1[[#This Row],[SB]]-Data!K$188)/(Data!K$187-Data!K$188)</f>
        <v>8.2183186951066481E-2</v>
      </c>
      <c r="E130" s="1">
        <f>(Table1[[#This Row],[OBP]]-Data!L$188)/(Data!L$187-Data!L$188)</f>
        <v>0.36586801352186382</v>
      </c>
      <c r="F130" s="1">
        <f>(Table1[[#This Row],[OB]]-Data!P$188)/(Data!P$187-Data!P$188)</f>
        <v>0.34230494349142426</v>
      </c>
      <c r="G130" s="1">
        <f>SUM(Table3[[#This Row],[R Scale]:[OBP Scale]])</f>
        <v>1.7527395963944716</v>
      </c>
      <c r="H130" s="1">
        <f>SUM(Table3[[#This Row],[R Scale]:[SB Scale]],Table3[[#This Row],[OB Scale]])</f>
        <v>1.7291765263640322</v>
      </c>
      <c r="I130" s="1">
        <f>Table3[[#This Row],[R Scale]]*Data!B$192+Table3[[#This Row],[HR Scale]]*Data!C$192+Table3[[#This Row],[RBI Scale]]*Data!D$192+Table3[[#This Row],[SB Scale]]*Data!E$192+Table3[[#This Row],[OBP Scale]]*Data!F$192</f>
        <v>1.882588122233892</v>
      </c>
      <c r="J130" s="1">
        <f>Table3[[#This Row],[R Scale]]*Data!B$192+Table3[[#This Row],[HR Scale]]*Data!C$192+Table3[[#This Row],[RBI Scale]]*Data!D$192+Table3[[#This Row],[SB Scale]]*Data!E$192+Table3[[#This Row],[OB Scale]]*Data!F$192</f>
        <v>1.8543124381973646</v>
      </c>
      <c r="K13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-0.67731976224141488</v>
      </c>
      <c r="L13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-0.65491611115503034</v>
      </c>
      <c r="M130" s="1">
        <f ca="1">Table3[[#This Row],[Tot Scale]]*M$185+M$186</f>
        <v>-1.7287352744919673</v>
      </c>
      <c r="N130" s="1">
        <f ca="1">Table3[[#This Row],[OB Tot Scale]]*N$185+N$186</f>
        <v>-4.4555938619675501</v>
      </c>
      <c r="O130" s="1">
        <f ca="1">Table3[[#This Row],[Weighted Scale]]*O$185+O$186</f>
        <v>-1.4445727312816672</v>
      </c>
      <c r="P130" s="1">
        <f ca="1">Table3[[#This Row],[OB Weighted Scale]]*P$185+P$186</f>
        <v>-4.584416026353594</v>
      </c>
      <c r="Q130" s="1">
        <f ca="1">Table3[[#This Row],[Z-score]]*Q$185+Q$186</f>
        <v>-3.5705579414548749</v>
      </c>
      <c r="R130" s="1">
        <f ca="1">Table3[[#This Row],[OBMod Z-Score]]*R$185+R$186</f>
        <v>-3.1162289942812129</v>
      </c>
      <c r="S130" s="1">
        <f ca="1">AVERAGE(Table3[[#This Row],[Tot Value]:[OB Z Value]])</f>
        <v>-3.1500174716384777</v>
      </c>
      <c r="T130" s="1" t="str">
        <f>IF(Table1[[#This Row],[Included?]], (Table1[[#This Row],[I R]]-Data!S$188)/(Data!S$187-Data!S$188), "")</f>
        <v/>
      </c>
      <c r="U130" s="1" t="str">
        <f>IF(Table1[[#This Row],[Included?]], (Table1[[#This Row],[I HR]]-Data!T$188)/(Data!T$187-Data!T$188), "")</f>
        <v/>
      </c>
      <c r="V130" s="1" t="str">
        <f>IF(Table1[[#This Row],[Included?]], (Table1[[#This Row],[I RBI]]-Data!U$188)/(Data!U$187-Data!U$188), "")</f>
        <v/>
      </c>
      <c r="W130" s="1" t="str">
        <f>IF(Table1[[#This Row],[Included?]], (Table1[[#This Row],[I SB]]-Data!V$188)/(Data!V$187-Data!V$188), "")</f>
        <v/>
      </c>
      <c r="X130" s="1" t="str">
        <f>IF(Table1[[#This Row],[Included?]], (Table1[[#This Row],[I OBP]]-Data!W$188)/(Data!W$187-Data!W$188), "")</f>
        <v/>
      </c>
      <c r="Y130" s="1" t="str">
        <f>IF(Table1[[#This Row],[Included?]], (Table1[[#This Row],[I OB]]-Data!AA$188)/(Data!AA$187-Data!AA$188), "")</f>
        <v/>
      </c>
      <c r="Z130" s="1" t="str">
        <f>IF(Table1[[#This Row],[Included?]], SUM(Table35[[#This Row],[I R Scale]:[I OBP Scale]]), "")</f>
        <v/>
      </c>
      <c r="AA130" s="1" t="str">
        <f>IF(Table1[[#This Row],[Included?]], SUM(Table35[[#This Row],[I R Scale]:[I SB Scale]],Table35[[#This Row],[I OB Scale]]), "")</f>
        <v/>
      </c>
      <c r="AB13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0" s="1" t="str">
        <f>IF(Table1[[#This Row],[Included?]], Table35[[#This Row],[I Tot Scale]]*AF$185+AF$186, "")</f>
        <v/>
      </c>
      <c r="AG130" s="1" t="str">
        <f>IF(Table1[[#This Row],[Included?]], Table35[[#This Row],[I OB Tot Scale]]*AG$185+AG$186, "")</f>
        <v/>
      </c>
      <c r="AH130" s="1" t="str">
        <f>IF(Table1[[#This Row],[Included?]], Table35[[#This Row],[I Weighted Scale]]*AH$185+AH$186, "")</f>
        <v/>
      </c>
      <c r="AI130" s="1" t="str">
        <f>IF(Table1[[#This Row],[Included?]], Table35[[#This Row],[I OB Weighted Scale]]*AI$185+AI$186, "")</f>
        <v/>
      </c>
      <c r="AJ130" s="1" t="str">
        <f>IF(Table1[[#This Row],[Included?]], Table35[[#This Row],[I Z-score]]*AJ$185+AJ$186, "")</f>
        <v/>
      </c>
      <c r="AK130" s="1" t="str">
        <f>IF(Table1[[#This Row],[Included?]], Table35[[#This Row],[I OBMod Z-Score]]*AK$185+AK$186, "")</f>
        <v/>
      </c>
      <c r="AL130" s="1" t="str">
        <f>IF(Table1[[#This Row],[Included?]], AVERAGE(Table35[[#This Row],[I Tot Value]:[I OB Z Value]]), "")</f>
        <v/>
      </c>
    </row>
    <row r="131" spans="1:38" hidden="1" x14ac:dyDescent="0.25">
      <c r="A131" s="1">
        <f>(Table1[[#This Row],[R]]-Data!H$188)/(Data!H$187-Data!H$188)</f>
        <v>0.34204545454545465</v>
      </c>
      <c r="B131" s="1">
        <f>(Table1[[#This Row],[HR]]-Data!I$188)/(Data!I$187-Data!I$188)</f>
        <v>0.32607215793056504</v>
      </c>
      <c r="C131" s="1">
        <f>(Table1[[#This Row],[RBI]]-Data!J$188)/(Data!J$187-Data!J$188)</f>
        <v>0.38893665806821426</v>
      </c>
      <c r="D131" s="1">
        <f>(Table1[[#This Row],[SB]]-Data!K$188)/(Data!K$187-Data!K$188)</f>
        <v>2.5094102885821829E-2</v>
      </c>
      <c r="E131" s="1">
        <f>(Table1[[#This Row],[OBP]]-Data!L$188)/(Data!L$187-Data!L$188)</f>
        <v>0.39747876080588201</v>
      </c>
      <c r="F131" s="1">
        <f>(Table1[[#This Row],[OB]]-Data!P$188)/(Data!P$187-Data!P$188)</f>
        <v>0.45938248118214836</v>
      </c>
      <c r="G131" s="1">
        <f>SUM(Table3[[#This Row],[R Scale]:[OBP Scale]])</f>
        <v>1.4796271342359379</v>
      </c>
      <c r="H131" s="1">
        <f>SUM(Table3[[#This Row],[R Scale]:[SB Scale]],Table3[[#This Row],[OB Scale]])</f>
        <v>1.5415308546122042</v>
      </c>
      <c r="I131" s="1">
        <f>Table3[[#This Row],[R Scale]]*Data!B$192+Table3[[#This Row],[HR Scale]]*Data!C$192+Table3[[#This Row],[RBI Scale]]*Data!D$192+Table3[[#This Row],[SB Scale]]*Data!E$192+Table3[[#This Row],[OBP Scale]]*Data!F$192</f>
        <v>1.6027056725562117</v>
      </c>
      <c r="J131" s="1">
        <f>Table3[[#This Row],[R Scale]]*Data!B$192+Table3[[#This Row],[HR Scale]]*Data!C$192+Table3[[#This Row],[RBI Scale]]*Data!D$192+Table3[[#This Row],[SB Scale]]*Data!E$192+Table3[[#This Row],[OB Scale]]*Data!F$192</f>
        <v>1.6769901370077314</v>
      </c>
      <c r="K13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-2.0069649768963389</v>
      </c>
      <c r="L13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-2.0355038795856846</v>
      </c>
      <c r="M131" s="1">
        <f ca="1">Table3[[#This Row],[Tot Scale]]*M$185+M$186</f>
        <v>-11.815281770901137</v>
      </c>
      <c r="N131" s="1">
        <f ca="1">Table3[[#This Row],[OB Tot Scale]]*N$185+N$186</f>
        <v>-11.298653559491143</v>
      </c>
      <c r="O131" s="1">
        <f ca="1">Table3[[#This Row],[Weighted Scale]]*O$185+O$186</f>
        <v>-11.07092287032232</v>
      </c>
      <c r="P131" s="1">
        <f ca="1">Table3[[#This Row],[OB Weighted Scale]]*P$185+P$186</f>
        <v>-10.638310582538224</v>
      </c>
      <c r="Q131" s="1">
        <f ca="1">Table3[[#This Row],[Z-score]]*Q$185+Q$186</f>
        <v>-13.340474481556871</v>
      </c>
      <c r="R131" s="1">
        <f ca="1">Table3[[#This Row],[OBMod Z-Score]]*R$185+R$186</f>
        <v>-13.167613746721733</v>
      </c>
      <c r="S131" s="1">
        <f ca="1">AVERAGE(Table3[[#This Row],[Tot Value]:[OB Z Value]])</f>
        <v>-11.888542835255237</v>
      </c>
      <c r="T131" s="1" t="str">
        <f>IF(Table1[[#This Row],[Included?]], (Table1[[#This Row],[I R]]-Data!S$188)/(Data!S$187-Data!S$188), "")</f>
        <v/>
      </c>
      <c r="U131" s="1" t="str">
        <f>IF(Table1[[#This Row],[Included?]], (Table1[[#This Row],[I HR]]-Data!T$188)/(Data!T$187-Data!T$188), "")</f>
        <v/>
      </c>
      <c r="V131" s="1" t="str">
        <f>IF(Table1[[#This Row],[Included?]], (Table1[[#This Row],[I RBI]]-Data!U$188)/(Data!U$187-Data!U$188), "")</f>
        <v/>
      </c>
      <c r="W131" s="1" t="str">
        <f>IF(Table1[[#This Row],[Included?]], (Table1[[#This Row],[I SB]]-Data!V$188)/(Data!V$187-Data!V$188), "")</f>
        <v/>
      </c>
      <c r="X131" s="1" t="str">
        <f>IF(Table1[[#This Row],[Included?]], (Table1[[#This Row],[I OBP]]-Data!W$188)/(Data!W$187-Data!W$188), "")</f>
        <v/>
      </c>
      <c r="Y131" s="1" t="str">
        <f>IF(Table1[[#This Row],[Included?]], (Table1[[#This Row],[I OB]]-Data!AA$188)/(Data!AA$187-Data!AA$188), "")</f>
        <v/>
      </c>
      <c r="Z131" s="1" t="str">
        <f>IF(Table1[[#This Row],[Included?]], SUM(Table35[[#This Row],[I R Scale]:[I OBP Scale]]), "")</f>
        <v/>
      </c>
      <c r="AA131" s="1" t="str">
        <f>IF(Table1[[#This Row],[Included?]], SUM(Table35[[#This Row],[I R Scale]:[I SB Scale]],Table35[[#This Row],[I OB Scale]]), "")</f>
        <v/>
      </c>
      <c r="AB13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1" s="1" t="str">
        <f>IF(Table1[[#This Row],[Included?]], Table35[[#This Row],[I Tot Scale]]*AF$185+AF$186, "")</f>
        <v/>
      </c>
      <c r="AG131" s="1" t="str">
        <f>IF(Table1[[#This Row],[Included?]], Table35[[#This Row],[I OB Tot Scale]]*AG$185+AG$186, "")</f>
        <v/>
      </c>
      <c r="AH131" s="1" t="str">
        <f>IF(Table1[[#This Row],[Included?]], Table35[[#This Row],[I Weighted Scale]]*AH$185+AH$186, "")</f>
        <v/>
      </c>
      <c r="AI131" s="1" t="str">
        <f>IF(Table1[[#This Row],[Included?]], Table35[[#This Row],[I OB Weighted Scale]]*AI$185+AI$186, "")</f>
        <v/>
      </c>
      <c r="AJ131" s="1" t="str">
        <f>IF(Table1[[#This Row],[Included?]], Table35[[#This Row],[I Z-score]]*AJ$185+AJ$186, "")</f>
        <v/>
      </c>
      <c r="AK131" s="1" t="str">
        <f>IF(Table1[[#This Row],[Included?]], Table35[[#This Row],[I OBMod Z-Score]]*AK$185+AK$186, "")</f>
        <v/>
      </c>
      <c r="AL131" s="1" t="str">
        <f>IF(Table1[[#This Row],[Included?]], AVERAGE(Table35[[#This Row],[I Tot Value]:[I OB Z Value]]), "")</f>
        <v/>
      </c>
    </row>
    <row r="132" spans="1:38" hidden="1" x14ac:dyDescent="0.25">
      <c r="A132" s="1">
        <f>(Table1[[#This Row],[R]]-Data!H$188)/(Data!H$187-Data!H$188)</f>
        <v>0.32244318181818193</v>
      </c>
      <c r="B132" s="1">
        <f>(Table1[[#This Row],[HR]]-Data!I$188)/(Data!I$187-Data!I$188)</f>
        <v>0.71000680735193999</v>
      </c>
      <c r="C132" s="1">
        <f>(Table1[[#This Row],[RBI]]-Data!J$188)/(Data!J$187-Data!J$188)</f>
        <v>0.35454284895385496</v>
      </c>
      <c r="D132" s="1">
        <f>(Table1[[#This Row],[SB]]-Data!K$188)/(Data!K$187-Data!K$188)</f>
        <v>0</v>
      </c>
      <c r="E132" s="1">
        <f>(Table1[[#This Row],[OBP]]-Data!L$188)/(Data!L$187-Data!L$188)</f>
        <v>0.41692042565041892</v>
      </c>
      <c r="F132" s="1">
        <f>(Table1[[#This Row],[OB]]-Data!P$188)/(Data!P$187-Data!P$188)</f>
        <v>0.34558602842842157</v>
      </c>
      <c r="G132" s="1">
        <f>SUM(Table3[[#This Row],[R Scale]:[OBP Scale]])</f>
        <v>1.8039132637743958</v>
      </c>
      <c r="H132" s="1">
        <f>SUM(Table3[[#This Row],[R Scale]:[SB Scale]],Table3[[#This Row],[OB Scale]])</f>
        <v>1.7325788665523985</v>
      </c>
      <c r="I132" s="1">
        <f>Table3[[#This Row],[R Scale]]*Data!B$192+Table3[[#This Row],[HR Scale]]*Data!C$192+Table3[[#This Row],[RBI Scale]]*Data!D$192+Table3[[#This Row],[SB Scale]]*Data!E$192+Table3[[#This Row],[OBP Scale]]*Data!F$192</f>
        <v>1.9259616005134323</v>
      </c>
      <c r="J132" s="1">
        <f>Table3[[#This Row],[R Scale]]*Data!B$192+Table3[[#This Row],[HR Scale]]*Data!C$192+Table3[[#This Row],[RBI Scale]]*Data!D$192+Table3[[#This Row],[SB Scale]]*Data!E$192+Table3[[#This Row],[OB Scale]]*Data!F$192</f>
        <v>1.8403603238470356</v>
      </c>
      <c r="K13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-0.61755901823949155</v>
      </c>
      <c r="L13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-0.63044996882069337</v>
      </c>
      <c r="M132" s="1">
        <f ca="1">Table3[[#This Row],[Tot Scale]]*M$185+M$186</f>
        <v>0.16120256042002268</v>
      </c>
      <c r="N132" s="1">
        <f ca="1">Table3[[#This Row],[OB Tot Scale]]*N$185+N$186</f>
        <v>-4.3315173682071944</v>
      </c>
      <c r="O132" s="1">
        <f ca="1">Table3[[#This Row],[Weighted Scale]]*O$185+O$186</f>
        <v>4.7226019042867051E-2</v>
      </c>
      <c r="P132" s="1">
        <f ca="1">Table3[[#This Row],[OB Weighted Scale]]*P$185+P$186</f>
        <v>-5.0607499592320835</v>
      </c>
      <c r="Q132" s="1">
        <f ca="1">Table3[[#This Row],[Z-score]]*Q$185+Q$186</f>
        <v>-3.1314502194564788</v>
      </c>
      <c r="R132" s="1">
        <f ca="1">Table3[[#This Row],[OBMod Z-Score]]*R$185+R$186</f>
        <v>-2.9381029702545516</v>
      </c>
      <c r="S132" s="1">
        <f ca="1">AVERAGE(Table3[[#This Row],[Tot Value]:[OB Z Value]])</f>
        <v>-2.5422319896145695</v>
      </c>
      <c r="T132" s="1" t="str">
        <f>IF(Table1[[#This Row],[Included?]], (Table1[[#This Row],[I R]]-Data!S$188)/(Data!S$187-Data!S$188), "")</f>
        <v/>
      </c>
      <c r="U132" s="1" t="str">
        <f>IF(Table1[[#This Row],[Included?]], (Table1[[#This Row],[I HR]]-Data!T$188)/(Data!T$187-Data!T$188), "")</f>
        <v/>
      </c>
      <c r="V132" s="1" t="str">
        <f>IF(Table1[[#This Row],[Included?]], (Table1[[#This Row],[I RBI]]-Data!U$188)/(Data!U$187-Data!U$188), "")</f>
        <v/>
      </c>
      <c r="W132" s="1" t="str">
        <f>IF(Table1[[#This Row],[Included?]], (Table1[[#This Row],[I SB]]-Data!V$188)/(Data!V$187-Data!V$188), "")</f>
        <v/>
      </c>
      <c r="X132" s="1" t="str">
        <f>IF(Table1[[#This Row],[Included?]], (Table1[[#This Row],[I OBP]]-Data!W$188)/(Data!W$187-Data!W$188), "")</f>
        <v/>
      </c>
      <c r="Y132" s="1" t="str">
        <f>IF(Table1[[#This Row],[Included?]], (Table1[[#This Row],[I OB]]-Data!AA$188)/(Data!AA$187-Data!AA$188), "")</f>
        <v/>
      </c>
      <c r="Z132" s="1" t="str">
        <f>IF(Table1[[#This Row],[Included?]], SUM(Table35[[#This Row],[I R Scale]:[I OBP Scale]]), "")</f>
        <v/>
      </c>
      <c r="AA132" s="1" t="str">
        <f>IF(Table1[[#This Row],[Included?]], SUM(Table35[[#This Row],[I R Scale]:[I SB Scale]],Table35[[#This Row],[I OB Scale]]), "")</f>
        <v/>
      </c>
      <c r="AB13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2" s="1" t="str">
        <f>IF(Table1[[#This Row],[Included?]], Table35[[#This Row],[I Tot Scale]]*AF$185+AF$186, "")</f>
        <v/>
      </c>
      <c r="AG132" s="1" t="str">
        <f>IF(Table1[[#This Row],[Included?]], Table35[[#This Row],[I OB Tot Scale]]*AG$185+AG$186, "")</f>
        <v/>
      </c>
      <c r="AH132" s="1" t="str">
        <f>IF(Table1[[#This Row],[Included?]], Table35[[#This Row],[I Weighted Scale]]*AH$185+AH$186, "")</f>
        <v/>
      </c>
      <c r="AI132" s="1" t="str">
        <f>IF(Table1[[#This Row],[Included?]], Table35[[#This Row],[I OB Weighted Scale]]*AI$185+AI$186, "")</f>
        <v/>
      </c>
      <c r="AJ132" s="1" t="str">
        <f>IF(Table1[[#This Row],[Included?]], Table35[[#This Row],[I Z-score]]*AJ$185+AJ$186, "")</f>
        <v/>
      </c>
      <c r="AK132" s="1" t="str">
        <f>IF(Table1[[#This Row],[Included?]], Table35[[#This Row],[I OBMod Z-Score]]*AK$185+AK$186, "")</f>
        <v/>
      </c>
      <c r="AL132" s="1" t="str">
        <f>IF(Table1[[#This Row],[Included?]], AVERAGE(Table35[[#This Row],[I Tot Value]:[I OB Z Value]]), "")</f>
        <v/>
      </c>
    </row>
    <row r="133" spans="1:38" hidden="1" x14ac:dyDescent="0.25">
      <c r="A133" s="1">
        <f>(Table1[[#This Row],[R]]-Data!H$188)/(Data!H$187-Data!H$188)</f>
        <v>0.33551136363636369</v>
      </c>
      <c r="B133" s="1">
        <f>(Table1[[#This Row],[HR]]-Data!I$188)/(Data!I$187-Data!I$188)</f>
        <v>0.40639891082368956</v>
      </c>
      <c r="C133" s="1">
        <f>(Table1[[#This Row],[RBI]]-Data!J$188)/(Data!J$187-Data!J$188)</f>
        <v>0.42419031241043276</v>
      </c>
      <c r="D133" s="1">
        <f>(Table1[[#This Row],[SB]]-Data!K$188)/(Data!K$187-Data!K$188)</f>
        <v>9.3789209535759074E-2</v>
      </c>
      <c r="E133" s="1">
        <f>(Table1[[#This Row],[OBP]]-Data!L$188)/(Data!L$187-Data!L$188)</f>
        <v>0.26174382628379156</v>
      </c>
      <c r="F133" s="1">
        <f>(Table1[[#This Row],[OB]]-Data!P$188)/(Data!P$187-Data!P$188)</f>
        <v>0.38638570801440741</v>
      </c>
      <c r="G133" s="1">
        <f>SUM(Table3[[#This Row],[R Scale]:[OBP Scale]])</f>
        <v>1.5216336226900364</v>
      </c>
      <c r="H133" s="1">
        <f>SUM(Table3[[#This Row],[R Scale]:[SB Scale]],Table3[[#This Row],[OB Scale]])</f>
        <v>1.6462755044206525</v>
      </c>
      <c r="I133" s="1">
        <f>Table3[[#This Row],[R Scale]]*Data!B$192+Table3[[#This Row],[HR Scale]]*Data!C$192+Table3[[#This Row],[RBI Scale]]*Data!D$192+Table3[[#This Row],[SB Scale]]*Data!E$192+Table3[[#This Row],[OBP Scale]]*Data!F$192</f>
        <v>1.6252693140652452</v>
      </c>
      <c r="J133" s="1">
        <f>Table3[[#This Row],[R Scale]]*Data!B$192+Table3[[#This Row],[HR Scale]]*Data!C$192+Table3[[#This Row],[RBI Scale]]*Data!D$192+Table3[[#This Row],[SB Scale]]*Data!E$192+Table3[[#This Row],[OB Scale]]*Data!F$192</f>
        <v>1.7748395721419841</v>
      </c>
      <c r="K13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-1.7852934281112423</v>
      </c>
      <c r="L13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-1.781377812885041</v>
      </c>
      <c r="M133" s="1">
        <f ca="1">Table3[[#This Row],[Tot Scale]]*M$185+M$186</f>
        <v>-10.263904746233571</v>
      </c>
      <c r="N133" s="1">
        <f ca="1">Table3[[#This Row],[OB Tot Scale]]*N$185+N$186</f>
        <v>-7.4788271550569974</v>
      </c>
      <c r="O133" s="1">
        <f ca="1">Table3[[#This Row],[Weighted Scale]]*O$185+O$186</f>
        <v>-10.294863085838195</v>
      </c>
      <c r="P133" s="1">
        <f ca="1">Table3[[#This Row],[OB Weighted Scale]]*P$185+P$186</f>
        <v>-7.2976695085680845</v>
      </c>
      <c r="Q133" s="1">
        <f ca="1">Table3[[#This Row],[Z-score]]*Q$185+Q$186</f>
        <v>-11.711684705851479</v>
      </c>
      <c r="R133" s="1">
        <f ca="1">Table3[[#This Row],[OBMod Z-Score]]*R$185+R$186</f>
        <v>-11.317446064201929</v>
      </c>
      <c r="S133" s="1">
        <f ca="1">AVERAGE(Table3[[#This Row],[Tot Value]:[OB Z Value]])</f>
        <v>-9.7273992109583762</v>
      </c>
      <c r="T133" s="1" t="str">
        <f>IF(Table1[[#This Row],[Included?]], (Table1[[#This Row],[I R]]-Data!S$188)/(Data!S$187-Data!S$188), "")</f>
        <v/>
      </c>
      <c r="U133" s="1" t="str">
        <f>IF(Table1[[#This Row],[Included?]], (Table1[[#This Row],[I HR]]-Data!T$188)/(Data!T$187-Data!T$188), "")</f>
        <v/>
      </c>
      <c r="V133" s="1" t="str">
        <f>IF(Table1[[#This Row],[Included?]], (Table1[[#This Row],[I RBI]]-Data!U$188)/(Data!U$187-Data!U$188), "")</f>
        <v/>
      </c>
      <c r="W133" s="1" t="str">
        <f>IF(Table1[[#This Row],[Included?]], (Table1[[#This Row],[I SB]]-Data!V$188)/(Data!V$187-Data!V$188), "")</f>
        <v/>
      </c>
      <c r="X133" s="1" t="str">
        <f>IF(Table1[[#This Row],[Included?]], (Table1[[#This Row],[I OBP]]-Data!W$188)/(Data!W$187-Data!W$188), "")</f>
        <v/>
      </c>
      <c r="Y133" s="1" t="str">
        <f>IF(Table1[[#This Row],[Included?]], (Table1[[#This Row],[I OB]]-Data!AA$188)/(Data!AA$187-Data!AA$188), "")</f>
        <v/>
      </c>
      <c r="Z133" s="1" t="str">
        <f>IF(Table1[[#This Row],[Included?]], SUM(Table35[[#This Row],[I R Scale]:[I OBP Scale]]), "")</f>
        <v/>
      </c>
      <c r="AA133" s="1" t="str">
        <f>IF(Table1[[#This Row],[Included?]], SUM(Table35[[#This Row],[I R Scale]:[I SB Scale]],Table35[[#This Row],[I OB Scale]]), "")</f>
        <v/>
      </c>
      <c r="AB13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3" s="1" t="str">
        <f>IF(Table1[[#This Row],[Included?]], Table35[[#This Row],[I Tot Scale]]*AF$185+AF$186, "")</f>
        <v/>
      </c>
      <c r="AG133" s="1" t="str">
        <f>IF(Table1[[#This Row],[Included?]], Table35[[#This Row],[I OB Tot Scale]]*AG$185+AG$186, "")</f>
        <v/>
      </c>
      <c r="AH133" s="1" t="str">
        <f>IF(Table1[[#This Row],[Included?]], Table35[[#This Row],[I Weighted Scale]]*AH$185+AH$186, "")</f>
        <v/>
      </c>
      <c r="AI133" s="1" t="str">
        <f>IF(Table1[[#This Row],[Included?]], Table35[[#This Row],[I OB Weighted Scale]]*AI$185+AI$186, "")</f>
        <v/>
      </c>
      <c r="AJ133" s="1" t="str">
        <f>IF(Table1[[#This Row],[Included?]], Table35[[#This Row],[I Z-score]]*AJ$185+AJ$186, "")</f>
        <v/>
      </c>
      <c r="AK133" s="1" t="str">
        <f>IF(Table1[[#This Row],[Included?]], Table35[[#This Row],[I OBMod Z-Score]]*AK$185+AK$186, "")</f>
        <v/>
      </c>
      <c r="AL133" s="1" t="str">
        <f>IF(Table1[[#This Row],[Included?]], AVERAGE(Table35[[#This Row],[I Tot Value]:[I OB Z Value]]), "")</f>
        <v/>
      </c>
    </row>
    <row r="134" spans="1:38" hidden="1" x14ac:dyDescent="0.25">
      <c r="A134" s="1">
        <f>(Table1[[#This Row],[R]]-Data!H$188)/(Data!H$187-Data!H$188)</f>
        <v>0.34602272727272732</v>
      </c>
      <c r="B134" s="1">
        <f>(Table1[[#This Row],[HR]]-Data!I$188)/(Data!I$187-Data!I$188)</f>
        <v>0.20149761742682099</v>
      </c>
      <c r="C134" s="1">
        <f>(Table1[[#This Row],[RBI]]-Data!J$188)/(Data!J$187-Data!J$188)</f>
        <v>0.47520779593006585</v>
      </c>
      <c r="D134" s="1">
        <f>(Table1[[#This Row],[SB]]-Data!K$188)/(Data!K$187-Data!K$188)</f>
        <v>5.1442910915934746E-2</v>
      </c>
      <c r="E134" s="1">
        <f>(Table1[[#This Row],[OBP]]-Data!L$188)/(Data!L$187-Data!L$188)</f>
        <v>0.60006978079983275</v>
      </c>
      <c r="F134" s="1">
        <f>(Table1[[#This Row],[OB]]-Data!P$188)/(Data!P$187-Data!P$188)</f>
        <v>0.43715586806696455</v>
      </c>
      <c r="G134" s="1">
        <f>SUM(Table3[[#This Row],[R Scale]:[OBP Scale]])</f>
        <v>1.6742408323453815</v>
      </c>
      <c r="H134" s="1">
        <f>SUM(Table3[[#This Row],[R Scale]:[SB Scale]],Table3[[#This Row],[OB Scale]])</f>
        <v>1.5113269196125132</v>
      </c>
      <c r="I134" s="1">
        <f>Table3[[#This Row],[R Scale]]*Data!B$192+Table3[[#This Row],[HR Scale]]*Data!C$192+Table3[[#This Row],[RBI Scale]]*Data!D$192+Table3[[#This Row],[SB Scale]]*Data!E$192+Table3[[#This Row],[OBP Scale]]*Data!F$192</f>
        <v>1.8546940749640886</v>
      </c>
      <c r="J134" s="1">
        <f>Table3[[#This Row],[R Scale]]*Data!B$192+Table3[[#This Row],[HR Scale]]*Data!C$192+Table3[[#This Row],[RBI Scale]]*Data!D$192+Table3[[#This Row],[SB Scale]]*Data!E$192+Table3[[#This Row],[OB Scale]]*Data!F$192</f>
        <v>1.6591973796846466</v>
      </c>
      <c r="K13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-0.80459297644882122</v>
      </c>
      <c r="L13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-0.94514207008731621</v>
      </c>
      <c r="M134" s="1">
        <f ca="1">Table3[[#This Row],[Tot Scale]]*M$185+M$186</f>
        <v>-4.6278392818081713</v>
      </c>
      <c r="N134" s="1">
        <f ca="1">Table3[[#This Row],[OB Tot Scale]]*N$185+N$186</f>
        <v>-12.400130232911906</v>
      </c>
      <c r="O134" s="1">
        <f ca="1">Table3[[#This Row],[Weighted Scale]]*O$185+O$186</f>
        <v>-2.4039678849374582</v>
      </c>
      <c r="P134" s="1">
        <f ca="1">Table3[[#This Row],[OB Weighted Scale]]*P$185+P$186</f>
        <v>-11.245766474860211</v>
      </c>
      <c r="Q134" s="1">
        <f ca="1">Table3[[#This Row],[Z-score]]*Q$185+Q$186</f>
        <v>-4.5057312244419379</v>
      </c>
      <c r="R134" s="1">
        <f ca="1">Table3[[#This Row],[OBMod Z-Score]]*R$185+R$186</f>
        <v>-5.2292223476052282</v>
      </c>
      <c r="S134" s="1">
        <f ca="1">AVERAGE(Table3[[#This Row],[Tot Value]:[OB Z Value]])</f>
        <v>-6.7354429077608193</v>
      </c>
      <c r="T134" s="1" t="str">
        <f>IF(Table1[[#This Row],[Included?]], (Table1[[#This Row],[I R]]-Data!S$188)/(Data!S$187-Data!S$188), "")</f>
        <v/>
      </c>
      <c r="U134" s="1" t="str">
        <f>IF(Table1[[#This Row],[Included?]], (Table1[[#This Row],[I HR]]-Data!T$188)/(Data!T$187-Data!T$188), "")</f>
        <v/>
      </c>
      <c r="V134" s="1" t="str">
        <f>IF(Table1[[#This Row],[Included?]], (Table1[[#This Row],[I RBI]]-Data!U$188)/(Data!U$187-Data!U$188), "")</f>
        <v/>
      </c>
      <c r="W134" s="1" t="str">
        <f>IF(Table1[[#This Row],[Included?]], (Table1[[#This Row],[I SB]]-Data!V$188)/(Data!V$187-Data!V$188), "")</f>
        <v/>
      </c>
      <c r="X134" s="1" t="str">
        <f>IF(Table1[[#This Row],[Included?]], (Table1[[#This Row],[I OBP]]-Data!W$188)/(Data!W$187-Data!W$188), "")</f>
        <v/>
      </c>
      <c r="Y134" s="1" t="str">
        <f>IF(Table1[[#This Row],[Included?]], (Table1[[#This Row],[I OB]]-Data!AA$188)/(Data!AA$187-Data!AA$188), "")</f>
        <v/>
      </c>
      <c r="Z134" s="1" t="str">
        <f>IF(Table1[[#This Row],[Included?]], SUM(Table35[[#This Row],[I R Scale]:[I OBP Scale]]), "")</f>
        <v/>
      </c>
      <c r="AA134" s="1" t="str">
        <f>IF(Table1[[#This Row],[Included?]], SUM(Table35[[#This Row],[I R Scale]:[I SB Scale]],Table35[[#This Row],[I OB Scale]]), "")</f>
        <v/>
      </c>
      <c r="AB13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4" s="1" t="str">
        <f>IF(Table1[[#This Row],[Included?]], Table35[[#This Row],[I Tot Scale]]*AF$185+AF$186, "")</f>
        <v/>
      </c>
      <c r="AG134" s="1" t="str">
        <f>IF(Table1[[#This Row],[Included?]], Table35[[#This Row],[I OB Tot Scale]]*AG$185+AG$186, "")</f>
        <v/>
      </c>
      <c r="AH134" s="1" t="str">
        <f>IF(Table1[[#This Row],[Included?]], Table35[[#This Row],[I Weighted Scale]]*AH$185+AH$186, "")</f>
        <v/>
      </c>
      <c r="AI134" s="1" t="str">
        <f>IF(Table1[[#This Row],[Included?]], Table35[[#This Row],[I OB Weighted Scale]]*AI$185+AI$186, "")</f>
        <v/>
      </c>
      <c r="AJ134" s="1" t="str">
        <f>IF(Table1[[#This Row],[Included?]], Table35[[#This Row],[I Z-score]]*AJ$185+AJ$186, "")</f>
        <v/>
      </c>
      <c r="AK134" s="1" t="str">
        <f>IF(Table1[[#This Row],[Included?]], Table35[[#This Row],[I OBMod Z-Score]]*AK$185+AK$186, "")</f>
        <v/>
      </c>
      <c r="AL134" s="1" t="str">
        <f>IF(Table1[[#This Row],[Included?]], AVERAGE(Table35[[#This Row],[I Tot Value]:[I OB Z Value]]), "")</f>
        <v/>
      </c>
    </row>
    <row r="135" spans="1:38" hidden="1" x14ac:dyDescent="0.25">
      <c r="A135" s="1">
        <f>(Table1[[#This Row],[R]]-Data!H$188)/(Data!H$187-Data!H$188)</f>
        <v>0.45085227272727268</v>
      </c>
      <c r="B135" s="1">
        <f>(Table1[[#This Row],[HR]]-Data!I$188)/(Data!I$187-Data!I$188)</f>
        <v>0.19332879509870662</v>
      </c>
      <c r="C135" s="1">
        <f>(Table1[[#This Row],[RBI]]-Data!J$188)/(Data!J$187-Data!J$188)</f>
        <v>0.19948409286328456</v>
      </c>
      <c r="D135" s="1">
        <f>(Table1[[#This Row],[SB]]-Data!K$188)/(Data!K$187-Data!K$188)</f>
        <v>4.3914680050188191E-2</v>
      </c>
      <c r="E135" s="1">
        <f>(Table1[[#This Row],[OBP]]-Data!L$188)/(Data!L$187-Data!L$188)</f>
        <v>0.69367937880731623</v>
      </c>
      <c r="F135" s="1">
        <f>(Table1[[#This Row],[OB]]-Data!P$188)/(Data!P$187-Data!P$188)</f>
        <v>0.50776277724667374</v>
      </c>
      <c r="G135" s="1">
        <f>SUM(Table3[[#This Row],[R Scale]:[OBP Scale]])</f>
        <v>1.5812592195467681</v>
      </c>
      <c r="H135" s="1">
        <f>SUM(Table3[[#This Row],[R Scale]:[SB Scale]],Table3[[#This Row],[OB Scale]])</f>
        <v>1.3953426179861257</v>
      </c>
      <c r="I135" s="1">
        <f>Table3[[#This Row],[R Scale]]*Data!B$192+Table3[[#This Row],[HR Scale]]*Data!C$192+Table3[[#This Row],[RBI Scale]]*Data!D$192+Table3[[#This Row],[SB Scale]]*Data!E$192+Table3[[#This Row],[OBP Scale]]*Data!F$192</f>
        <v>1.714806686608161</v>
      </c>
      <c r="J135" s="1">
        <f>Table3[[#This Row],[R Scale]]*Data!B$192+Table3[[#This Row],[HR Scale]]*Data!C$192+Table3[[#This Row],[RBI Scale]]*Data!D$192+Table3[[#This Row],[SB Scale]]*Data!E$192+Table3[[#This Row],[OB Scale]]*Data!F$192</f>
        <v>1.4917067647353901</v>
      </c>
      <c r="K13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-1.1838357646070137</v>
      </c>
      <c r="L13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-1.3391787045500958</v>
      </c>
      <c r="M135" s="1">
        <f ca="1">Table3[[#This Row],[Tot Scale]]*M$185+M$186</f>
        <v>-8.0618215812314986</v>
      </c>
      <c r="N135" s="1">
        <f ca="1">Table3[[#This Row],[OB Tot Scale]]*N$185+N$186</f>
        <v>-16.629844100517914</v>
      </c>
      <c r="O135" s="1">
        <f ca="1">Table3[[#This Row],[Weighted Scale]]*O$185+O$186</f>
        <v>-7.2152912883909508</v>
      </c>
      <c r="P135" s="1">
        <f ca="1">Table3[[#This Row],[OB Weighted Scale]]*P$185+P$186</f>
        <v>-16.964001097638736</v>
      </c>
      <c r="Q135" s="1">
        <f ca="1">Table3[[#This Row],[Z-score]]*Q$185+Q$186</f>
        <v>-7.2923169601734843</v>
      </c>
      <c r="R135" s="1">
        <f ca="1">Table3[[#This Row],[OBMod Z-Score]]*R$185+R$186</f>
        <v>-8.0980104899515002</v>
      </c>
      <c r="S135" s="1">
        <f ca="1">AVERAGE(Table3[[#This Row],[Tot Value]:[OB Z Value]])</f>
        <v>-10.710214252984015</v>
      </c>
      <c r="T135" s="1" t="str">
        <f>IF(Table1[[#This Row],[Included?]], (Table1[[#This Row],[I R]]-Data!S$188)/(Data!S$187-Data!S$188), "")</f>
        <v/>
      </c>
      <c r="U135" s="1" t="str">
        <f>IF(Table1[[#This Row],[Included?]], (Table1[[#This Row],[I HR]]-Data!T$188)/(Data!T$187-Data!T$188), "")</f>
        <v/>
      </c>
      <c r="V135" s="1" t="str">
        <f>IF(Table1[[#This Row],[Included?]], (Table1[[#This Row],[I RBI]]-Data!U$188)/(Data!U$187-Data!U$188), "")</f>
        <v/>
      </c>
      <c r="W135" s="1" t="str">
        <f>IF(Table1[[#This Row],[Included?]], (Table1[[#This Row],[I SB]]-Data!V$188)/(Data!V$187-Data!V$188), "")</f>
        <v/>
      </c>
      <c r="X135" s="1" t="str">
        <f>IF(Table1[[#This Row],[Included?]], (Table1[[#This Row],[I OBP]]-Data!W$188)/(Data!W$187-Data!W$188), "")</f>
        <v/>
      </c>
      <c r="Y135" s="1" t="str">
        <f>IF(Table1[[#This Row],[Included?]], (Table1[[#This Row],[I OB]]-Data!AA$188)/(Data!AA$187-Data!AA$188), "")</f>
        <v/>
      </c>
      <c r="Z135" s="1" t="str">
        <f>IF(Table1[[#This Row],[Included?]], SUM(Table35[[#This Row],[I R Scale]:[I OBP Scale]]), "")</f>
        <v/>
      </c>
      <c r="AA135" s="1" t="str">
        <f>IF(Table1[[#This Row],[Included?]], SUM(Table35[[#This Row],[I R Scale]:[I SB Scale]],Table35[[#This Row],[I OB Scale]]), "")</f>
        <v/>
      </c>
      <c r="AB13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5" s="1" t="str">
        <f>IF(Table1[[#This Row],[Included?]], Table35[[#This Row],[I Tot Scale]]*AF$185+AF$186, "")</f>
        <v/>
      </c>
      <c r="AG135" s="1" t="str">
        <f>IF(Table1[[#This Row],[Included?]], Table35[[#This Row],[I OB Tot Scale]]*AG$185+AG$186, "")</f>
        <v/>
      </c>
      <c r="AH135" s="1" t="str">
        <f>IF(Table1[[#This Row],[Included?]], Table35[[#This Row],[I Weighted Scale]]*AH$185+AH$186, "")</f>
        <v/>
      </c>
      <c r="AI135" s="1" t="str">
        <f>IF(Table1[[#This Row],[Included?]], Table35[[#This Row],[I OB Weighted Scale]]*AI$185+AI$186, "")</f>
        <v/>
      </c>
      <c r="AJ135" s="1" t="str">
        <f>IF(Table1[[#This Row],[Included?]], Table35[[#This Row],[I Z-score]]*AJ$185+AJ$186, "")</f>
        <v/>
      </c>
      <c r="AK135" s="1" t="str">
        <f>IF(Table1[[#This Row],[Included?]], Table35[[#This Row],[I OBMod Z-Score]]*AK$185+AK$186, "")</f>
        <v/>
      </c>
      <c r="AL135" s="1" t="str">
        <f>IF(Table1[[#This Row],[Included?]], AVERAGE(Table35[[#This Row],[I Tot Value]:[I OB Z Value]]), "")</f>
        <v/>
      </c>
    </row>
    <row r="136" spans="1:38" hidden="1" x14ac:dyDescent="0.25">
      <c r="A136" s="1">
        <f>(Table1[[#This Row],[R]]-Data!H$188)/(Data!H$187-Data!H$188)</f>
        <v>0.32613636363636372</v>
      </c>
      <c r="B136" s="1">
        <f>(Table1[[#This Row],[HR]]-Data!I$188)/(Data!I$187-Data!I$188)</f>
        <v>0.11980939414567733</v>
      </c>
      <c r="C136" s="1">
        <f>(Table1[[#This Row],[RBI]]-Data!J$188)/(Data!J$187-Data!J$188)</f>
        <v>0.42161077672685571</v>
      </c>
      <c r="D136" s="1">
        <f>(Table1[[#This Row],[SB]]-Data!K$188)/(Data!K$187-Data!K$188)</f>
        <v>0.13048933500627352</v>
      </c>
      <c r="E136" s="1">
        <f>(Table1[[#This Row],[OBP]]-Data!L$188)/(Data!L$187-Data!L$188)</f>
        <v>0.39857405621370023</v>
      </c>
      <c r="F136" s="1">
        <f>(Table1[[#This Row],[OB]]-Data!P$188)/(Data!P$187-Data!P$188)</f>
        <v>0.46737339595245891</v>
      </c>
      <c r="G136" s="1">
        <f>SUM(Table3[[#This Row],[R Scale]:[OBP Scale]])</f>
        <v>1.3966199257288703</v>
      </c>
      <c r="H136" s="1">
        <f>SUM(Table3[[#This Row],[R Scale]:[SB Scale]],Table3[[#This Row],[OB Scale]])</f>
        <v>1.465419265467629</v>
      </c>
      <c r="I136" s="1">
        <f>Table3[[#This Row],[R Scale]]*Data!B$192+Table3[[#This Row],[HR Scale]]*Data!C$192+Table3[[#This Row],[RBI Scale]]*Data!D$192+Table3[[#This Row],[SB Scale]]*Data!E$192+Table3[[#This Row],[OBP Scale]]*Data!F$192</f>
        <v>1.5280432559533452</v>
      </c>
      <c r="J136" s="1">
        <f>Table3[[#This Row],[R Scale]]*Data!B$192+Table3[[#This Row],[HR Scale]]*Data!C$192+Table3[[#This Row],[RBI Scale]]*Data!D$192+Table3[[#This Row],[SB Scale]]*Data!E$192+Table3[[#This Row],[OB Scale]]*Data!F$192</f>
        <v>1.6106024636398555</v>
      </c>
      <c r="K13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-2.1110936635600228</v>
      </c>
      <c r="L13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-2.141636218692895</v>
      </c>
      <c r="M136" s="1">
        <f ca="1">Table3[[#This Row],[Tot Scale]]*M$185+M$186</f>
        <v>-14.880890939836334</v>
      </c>
      <c r="N136" s="1">
        <f ca="1">Table3[[#This Row],[OB Tot Scale]]*N$185+N$186</f>
        <v>-14.074289913515614</v>
      </c>
      <c r="O136" s="1">
        <f ca="1">Table3[[#This Row],[Weighted Scale]]*O$185+O$186</f>
        <v>-13.638881544665132</v>
      </c>
      <c r="P136" s="1">
        <f ca="1">Table3[[#This Row],[OB Weighted Scale]]*P$185+P$186</f>
        <v>-12.904827381063981</v>
      </c>
      <c r="Q136" s="1">
        <f ca="1">Table3[[#This Row],[Z-score]]*Q$185+Q$186</f>
        <v>-14.105587285274702</v>
      </c>
      <c r="R136" s="1">
        <f ca="1">Table3[[#This Row],[OBMod Z-Score]]*R$185+R$186</f>
        <v>-13.940311433487198</v>
      </c>
      <c r="S136" s="1">
        <f ca="1">AVERAGE(Table3[[#This Row],[Tot Value]:[OB Z Value]])</f>
        <v>-13.92413141630716</v>
      </c>
      <c r="T136" s="1" t="str">
        <f>IF(Table1[[#This Row],[Included?]], (Table1[[#This Row],[I R]]-Data!S$188)/(Data!S$187-Data!S$188), "")</f>
        <v/>
      </c>
      <c r="U136" s="1" t="str">
        <f>IF(Table1[[#This Row],[Included?]], (Table1[[#This Row],[I HR]]-Data!T$188)/(Data!T$187-Data!T$188), "")</f>
        <v/>
      </c>
      <c r="V136" s="1" t="str">
        <f>IF(Table1[[#This Row],[Included?]], (Table1[[#This Row],[I RBI]]-Data!U$188)/(Data!U$187-Data!U$188), "")</f>
        <v/>
      </c>
      <c r="W136" s="1" t="str">
        <f>IF(Table1[[#This Row],[Included?]], (Table1[[#This Row],[I SB]]-Data!V$188)/(Data!V$187-Data!V$188), "")</f>
        <v/>
      </c>
      <c r="X136" s="1" t="str">
        <f>IF(Table1[[#This Row],[Included?]], (Table1[[#This Row],[I OBP]]-Data!W$188)/(Data!W$187-Data!W$188), "")</f>
        <v/>
      </c>
      <c r="Y136" s="1" t="str">
        <f>IF(Table1[[#This Row],[Included?]], (Table1[[#This Row],[I OB]]-Data!AA$188)/(Data!AA$187-Data!AA$188), "")</f>
        <v/>
      </c>
      <c r="Z136" s="1" t="str">
        <f>IF(Table1[[#This Row],[Included?]], SUM(Table35[[#This Row],[I R Scale]:[I OBP Scale]]), "")</f>
        <v/>
      </c>
      <c r="AA136" s="1" t="str">
        <f>IF(Table1[[#This Row],[Included?]], SUM(Table35[[#This Row],[I R Scale]:[I SB Scale]],Table35[[#This Row],[I OB Scale]]), "")</f>
        <v/>
      </c>
      <c r="AB13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6" s="1" t="str">
        <f>IF(Table1[[#This Row],[Included?]], Table35[[#This Row],[I Tot Scale]]*AF$185+AF$186, "")</f>
        <v/>
      </c>
      <c r="AG136" s="1" t="str">
        <f>IF(Table1[[#This Row],[Included?]], Table35[[#This Row],[I OB Tot Scale]]*AG$185+AG$186, "")</f>
        <v/>
      </c>
      <c r="AH136" s="1" t="str">
        <f>IF(Table1[[#This Row],[Included?]], Table35[[#This Row],[I Weighted Scale]]*AH$185+AH$186, "")</f>
        <v/>
      </c>
      <c r="AI136" s="1" t="str">
        <f>IF(Table1[[#This Row],[Included?]], Table35[[#This Row],[I OB Weighted Scale]]*AI$185+AI$186, "")</f>
        <v/>
      </c>
      <c r="AJ136" s="1" t="str">
        <f>IF(Table1[[#This Row],[Included?]], Table35[[#This Row],[I Z-score]]*AJ$185+AJ$186, "")</f>
        <v/>
      </c>
      <c r="AK136" s="1" t="str">
        <f>IF(Table1[[#This Row],[Included?]], Table35[[#This Row],[I OBMod Z-Score]]*AK$185+AK$186, "")</f>
        <v/>
      </c>
      <c r="AL136" s="1" t="str">
        <f>IF(Table1[[#This Row],[Included?]], AVERAGE(Table35[[#This Row],[I Tot Value]:[I OB Z Value]]), "")</f>
        <v/>
      </c>
    </row>
    <row r="137" spans="1:38" x14ac:dyDescent="0.25">
      <c r="A137" s="1">
        <f>(Table1[[#This Row],[R]]-Data!H$188)/(Data!H$187-Data!H$188)</f>
        <v>0.33863636363636374</v>
      </c>
      <c r="B137" s="1">
        <f>(Table1[[#This Row],[HR]]-Data!I$188)/(Data!I$187-Data!I$188)</f>
        <v>0.36895847515316532</v>
      </c>
      <c r="C137" s="1">
        <f>(Table1[[#This Row],[RBI]]-Data!J$188)/(Data!J$187-Data!J$188)</f>
        <v>0.41186586414445392</v>
      </c>
      <c r="D137" s="1">
        <f>(Table1[[#This Row],[SB]]-Data!K$188)/(Data!K$187-Data!K$188)</f>
        <v>7.2459222082810526E-2</v>
      </c>
      <c r="E137" s="1">
        <f>(Table1[[#This Row],[OBP]]-Data!L$188)/(Data!L$187-Data!L$188)</f>
        <v>0.21266721384689341</v>
      </c>
      <c r="F137" s="1">
        <f>(Table1[[#This Row],[OB]]-Data!P$188)/(Data!P$187-Data!P$188)</f>
        <v>0.3637069494124896</v>
      </c>
      <c r="G137" s="1">
        <f>SUM(Table3[[#This Row],[R Scale]:[OBP Scale]])</f>
        <v>1.4045871388636868</v>
      </c>
      <c r="H137" s="1">
        <f>SUM(Table3[[#This Row],[R Scale]:[SB Scale]],Table3[[#This Row],[OB Scale]])</f>
        <v>1.5556268744292829</v>
      </c>
      <c r="I137" s="1">
        <f>Table3[[#This Row],[R Scale]]*Data!B$192+Table3[[#This Row],[HR Scale]]*Data!C$192+Table3[[#This Row],[RBI Scale]]*Data!D$192+Table3[[#This Row],[SB Scale]]*Data!E$192+Table3[[#This Row],[OBP Scale]]*Data!F$192</f>
        <v>1.49563011809832</v>
      </c>
      <c r="J137" s="1">
        <f>Table3[[#This Row],[R Scale]]*Data!B$192+Table3[[#This Row],[HR Scale]]*Data!C$192+Table3[[#This Row],[RBI Scale]]*Data!D$192+Table3[[#This Row],[SB Scale]]*Data!E$192+Table3[[#This Row],[OB Scale]]*Data!F$192</f>
        <v>1.6768778007770355</v>
      </c>
      <c r="K13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-2.4221450369779634</v>
      </c>
      <c r="L13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-2.4039698873012538</v>
      </c>
      <c r="M137" s="1">
        <f ca="1">Table3[[#This Row],[Tot Scale]]*M$185+M$186</f>
        <v>-14.586647077450877</v>
      </c>
      <c r="N137" s="1">
        <f ca="1">Table3[[#This Row],[OB Tot Scale]]*N$185+N$186</f>
        <v>-10.784600108616353</v>
      </c>
      <c r="O137" s="1">
        <f ca="1">Table3[[#This Row],[Weighted Scale]]*O$185+O$186</f>
        <v>-14.753707481256711</v>
      </c>
      <c r="P137" s="1">
        <f ca="1">Table3[[#This Row],[OB Weighted Scale]]*P$185+P$186</f>
        <v>-10.64214581189691</v>
      </c>
      <c r="Q137" s="1">
        <f ca="1">Table3[[#This Row],[Z-score]]*Q$185+Q$186</f>
        <v>-16.391118737186151</v>
      </c>
      <c r="R137" s="1">
        <f ca="1">Table3[[#This Row],[OBMod Z-Score]]*R$185+R$186</f>
        <v>-15.850234653869755</v>
      </c>
      <c r="S137" s="1">
        <f ca="1">AVERAGE(Table3[[#This Row],[Tot Value]:[OB Z Value]])</f>
        <v>-13.834742311712793</v>
      </c>
      <c r="T137" s="1" t="str">
        <f>IF(Table1[[#This Row],[Included?]], (Table1[[#This Row],[I R]]-Data!S$188)/(Data!S$187-Data!S$188), "")</f>
        <v/>
      </c>
      <c r="U137" s="1" t="str">
        <f>IF(Table1[[#This Row],[Included?]], (Table1[[#This Row],[I HR]]-Data!T$188)/(Data!T$187-Data!T$188), "")</f>
        <v/>
      </c>
      <c r="V137" s="1" t="str">
        <f>IF(Table1[[#This Row],[Included?]], (Table1[[#This Row],[I RBI]]-Data!U$188)/(Data!U$187-Data!U$188), "")</f>
        <v/>
      </c>
      <c r="W137" s="1" t="str">
        <f>IF(Table1[[#This Row],[Included?]], (Table1[[#This Row],[I SB]]-Data!V$188)/(Data!V$187-Data!V$188), "")</f>
        <v/>
      </c>
      <c r="X137" s="1" t="str">
        <f>IF(Table1[[#This Row],[Included?]], (Table1[[#This Row],[I OBP]]-Data!W$188)/(Data!W$187-Data!W$188), "")</f>
        <v/>
      </c>
      <c r="Y137" s="1" t="str">
        <f>IF(Table1[[#This Row],[Included?]], (Table1[[#This Row],[I OB]]-Data!AA$188)/(Data!AA$187-Data!AA$188), "")</f>
        <v/>
      </c>
      <c r="Z137" s="1" t="str">
        <f>IF(Table1[[#This Row],[Included?]], SUM(Table35[[#This Row],[I R Scale]:[I OBP Scale]]), "")</f>
        <v/>
      </c>
      <c r="AA137" s="1" t="str">
        <f>IF(Table1[[#This Row],[Included?]], SUM(Table35[[#This Row],[I R Scale]:[I SB Scale]],Table35[[#This Row],[I OB Scale]]), "")</f>
        <v/>
      </c>
      <c r="AB13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7" s="1" t="str">
        <f>IF(Table1[[#This Row],[Included?]], Table35[[#This Row],[I Tot Scale]]*AF$185+AF$186, "")</f>
        <v/>
      </c>
      <c r="AG137" s="1" t="str">
        <f>IF(Table1[[#This Row],[Included?]], Table35[[#This Row],[I OB Tot Scale]]*AG$185+AG$186, "")</f>
        <v/>
      </c>
      <c r="AH137" s="1" t="str">
        <f>IF(Table1[[#This Row],[Included?]], Table35[[#This Row],[I Weighted Scale]]*AH$185+AH$186, "")</f>
        <v/>
      </c>
      <c r="AI137" s="1" t="str">
        <f>IF(Table1[[#This Row],[Included?]], Table35[[#This Row],[I OB Weighted Scale]]*AI$185+AI$186, "")</f>
        <v/>
      </c>
      <c r="AJ137" s="1" t="str">
        <f>IF(Table1[[#This Row],[Included?]], Table35[[#This Row],[I Z-score]]*AJ$185+AJ$186, "")</f>
        <v/>
      </c>
      <c r="AK137" s="1" t="str">
        <f>IF(Table1[[#This Row],[Included?]], Table35[[#This Row],[I OBMod Z-Score]]*AK$185+AK$186, "")</f>
        <v/>
      </c>
      <c r="AL137" s="1" t="str">
        <f>IF(Table1[[#This Row],[Included?]], AVERAGE(Table35[[#This Row],[I Tot Value]:[I OB Z Value]]), "")</f>
        <v/>
      </c>
    </row>
    <row r="138" spans="1:38" x14ac:dyDescent="0.25">
      <c r="A138" s="1">
        <f>(Table1[[#This Row],[R]]-Data!H$188)/(Data!H$187-Data!H$188)</f>
        <v>0.22755681818181819</v>
      </c>
      <c r="B138" s="1">
        <f>(Table1[[#This Row],[HR]]-Data!I$188)/(Data!I$187-Data!I$188)</f>
        <v>0.17562968005445881</v>
      </c>
      <c r="C138" s="1">
        <f>(Table1[[#This Row],[RBI]]-Data!J$188)/(Data!J$187-Data!J$188)</f>
        <v>0.34537116652335897</v>
      </c>
      <c r="D138" s="1">
        <f>(Table1[[#This Row],[SB]]-Data!K$188)/(Data!K$187-Data!K$188)</f>
        <v>4.109159347553324E-2</v>
      </c>
      <c r="E138" s="1">
        <f>(Table1[[#This Row],[OBP]]-Data!L$188)/(Data!L$187-Data!L$188)</f>
        <v>0.56230566380280522</v>
      </c>
      <c r="F138" s="1">
        <f>(Table1[[#This Row],[OB]]-Data!P$188)/(Data!P$187-Data!P$188)</f>
        <v>0.52473567621962114</v>
      </c>
      <c r="G138" s="1">
        <f>SUM(Table3[[#This Row],[R Scale]:[OBP Scale]])</f>
        <v>1.3519549220379745</v>
      </c>
      <c r="H138" s="1">
        <f>SUM(Table3[[#This Row],[R Scale]:[SB Scale]],Table3[[#This Row],[OB Scale]])</f>
        <v>1.3143849344547904</v>
      </c>
      <c r="I138" s="1">
        <f>Table3[[#This Row],[R Scale]]*Data!B$192+Table3[[#This Row],[HR Scale]]*Data!C$192+Table3[[#This Row],[RBI Scale]]*Data!D$192+Table3[[#This Row],[SB Scale]]*Data!E$192+Table3[[#This Row],[OBP Scale]]*Data!F$192</f>
        <v>1.5107346062850255</v>
      </c>
      <c r="J138" s="1">
        <f>Table3[[#This Row],[R Scale]]*Data!B$192+Table3[[#This Row],[HR Scale]]*Data!C$192+Table3[[#This Row],[RBI Scale]]*Data!D$192+Table3[[#This Row],[SB Scale]]*Data!E$192+Table3[[#This Row],[OB Scale]]*Data!F$192</f>
        <v>1.4656506211852045</v>
      </c>
      <c r="K13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-2.4498895755450731</v>
      </c>
      <c r="L13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-2.4963992084331319</v>
      </c>
      <c r="M138" s="1">
        <f ca="1">Table3[[#This Row],[Tot Scale]]*M$185+M$186</f>
        <v>-16.530451831089245</v>
      </c>
      <c r="N138" s="1">
        <f ca="1">Table3[[#This Row],[OB Tot Scale]]*N$185+N$186</f>
        <v>-19.582207755944211</v>
      </c>
      <c r="O138" s="1">
        <f ca="1">Table3[[#This Row],[Weighted Scale]]*O$185+O$186</f>
        <v>-14.23419976605814</v>
      </c>
      <c r="P138" s="1">
        <f ca="1">Table3[[#This Row],[OB Weighted Scale]]*P$185+P$186</f>
        <v>-17.853574177479047</v>
      </c>
      <c r="Q138" s="1">
        <f ca="1">Table3[[#This Row],[Z-score]]*Q$185+Q$186</f>
        <v>-16.594979002508619</v>
      </c>
      <c r="R138" s="1">
        <f ca="1">Table3[[#This Row],[OBMod Z-Score]]*R$185+R$186</f>
        <v>-16.523167364377144</v>
      </c>
      <c r="S138" s="1">
        <f ca="1">AVERAGE(Table3[[#This Row],[Tot Value]:[OB Z Value]])</f>
        <v>-16.886429982909402</v>
      </c>
      <c r="T138" s="1" t="str">
        <f>IF(Table1[[#This Row],[Included?]], (Table1[[#This Row],[I R]]-Data!S$188)/(Data!S$187-Data!S$188), "")</f>
        <v/>
      </c>
      <c r="U138" s="1" t="str">
        <f>IF(Table1[[#This Row],[Included?]], (Table1[[#This Row],[I HR]]-Data!T$188)/(Data!T$187-Data!T$188), "")</f>
        <v/>
      </c>
      <c r="V138" s="1" t="str">
        <f>IF(Table1[[#This Row],[Included?]], (Table1[[#This Row],[I RBI]]-Data!U$188)/(Data!U$187-Data!U$188), "")</f>
        <v/>
      </c>
      <c r="W138" s="1" t="str">
        <f>IF(Table1[[#This Row],[Included?]], (Table1[[#This Row],[I SB]]-Data!V$188)/(Data!V$187-Data!V$188), "")</f>
        <v/>
      </c>
      <c r="X138" s="1" t="str">
        <f>IF(Table1[[#This Row],[Included?]], (Table1[[#This Row],[I OBP]]-Data!W$188)/(Data!W$187-Data!W$188), "")</f>
        <v/>
      </c>
      <c r="Y138" s="1" t="str">
        <f>IF(Table1[[#This Row],[Included?]], (Table1[[#This Row],[I OB]]-Data!AA$188)/(Data!AA$187-Data!AA$188), "")</f>
        <v/>
      </c>
      <c r="Z138" s="1" t="str">
        <f>IF(Table1[[#This Row],[Included?]], SUM(Table35[[#This Row],[I R Scale]:[I OBP Scale]]), "")</f>
        <v/>
      </c>
      <c r="AA138" s="1" t="str">
        <f>IF(Table1[[#This Row],[Included?]], SUM(Table35[[#This Row],[I R Scale]:[I SB Scale]],Table35[[#This Row],[I OB Scale]]), "")</f>
        <v/>
      </c>
      <c r="AB13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8" s="1" t="str">
        <f>IF(Table1[[#This Row],[Included?]], Table35[[#This Row],[I Tot Scale]]*AF$185+AF$186, "")</f>
        <v/>
      </c>
      <c r="AG138" s="1" t="str">
        <f>IF(Table1[[#This Row],[Included?]], Table35[[#This Row],[I OB Tot Scale]]*AG$185+AG$186, "")</f>
        <v/>
      </c>
      <c r="AH138" s="1" t="str">
        <f>IF(Table1[[#This Row],[Included?]], Table35[[#This Row],[I Weighted Scale]]*AH$185+AH$186, "")</f>
        <v/>
      </c>
      <c r="AI138" s="1" t="str">
        <f>IF(Table1[[#This Row],[Included?]], Table35[[#This Row],[I OB Weighted Scale]]*AI$185+AI$186, "")</f>
        <v/>
      </c>
      <c r="AJ138" s="1" t="str">
        <f>IF(Table1[[#This Row],[Included?]], Table35[[#This Row],[I Z-score]]*AJ$185+AJ$186, "")</f>
        <v/>
      </c>
      <c r="AK138" s="1" t="str">
        <f>IF(Table1[[#This Row],[Included?]], Table35[[#This Row],[I OBMod Z-Score]]*AK$185+AK$186, "")</f>
        <v/>
      </c>
      <c r="AL138" s="1" t="str">
        <f>IF(Table1[[#This Row],[Included?]], AVERAGE(Table35[[#This Row],[I Tot Value]:[I OB Z Value]]), "")</f>
        <v/>
      </c>
    </row>
    <row r="139" spans="1:38" x14ac:dyDescent="0.25">
      <c r="A139" s="1">
        <f>(Table1[[#This Row],[R]]-Data!H$188)/(Data!H$187-Data!H$188)</f>
        <v>0.32500000000000007</v>
      </c>
      <c r="B139" s="1">
        <f>(Table1[[#This Row],[HR]]-Data!I$188)/(Data!I$187-Data!I$188)</f>
        <v>0.52076242341729062</v>
      </c>
      <c r="C139" s="1">
        <f>(Table1[[#This Row],[RBI]]-Data!J$188)/(Data!J$187-Data!J$188)</f>
        <v>0.42848953854972771</v>
      </c>
      <c r="D139" s="1">
        <f>(Table1[[#This Row],[SB]]-Data!K$188)/(Data!K$187-Data!K$188)</f>
        <v>0</v>
      </c>
      <c r="E139" s="1">
        <f>(Table1[[#This Row],[OBP]]-Data!L$188)/(Data!L$187-Data!L$188)</f>
        <v>0.27527201802365142</v>
      </c>
      <c r="F139" s="1">
        <f>(Table1[[#This Row],[OB]]-Data!P$188)/(Data!P$187-Data!P$188)</f>
        <v>0.31320476160719246</v>
      </c>
      <c r="G139" s="1">
        <f>SUM(Table3[[#This Row],[R Scale]:[OBP Scale]])</f>
        <v>1.5495239799906699</v>
      </c>
      <c r="H139" s="1">
        <f>SUM(Table3[[#This Row],[R Scale]:[SB Scale]],Table3[[#This Row],[OB Scale]])</f>
        <v>1.587456723574211</v>
      </c>
      <c r="I139" s="1">
        <f>Table3[[#This Row],[R Scale]]*Data!B$192+Table3[[#This Row],[HR Scale]]*Data!C$192+Table3[[#This Row],[RBI Scale]]*Data!D$192+Table3[[#This Row],[SB Scale]]*Data!E$192+Table3[[#This Row],[OBP Scale]]*Data!F$192</f>
        <v>1.6577762913053455</v>
      </c>
      <c r="J139" s="1">
        <f>Table3[[#This Row],[R Scale]]*Data!B$192+Table3[[#This Row],[HR Scale]]*Data!C$192+Table3[[#This Row],[RBI Scale]]*Data!D$192+Table3[[#This Row],[SB Scale]]*Data!E$192+Table3[[#This Row],[OB Scale]]*Data!F$192</f>
        <v>1.7032955836055947</v>
      </c>
      <c r="K13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-1.8854085275404087</v>
      </c>
      <c r="L13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-1.8003332633024052</v>
      </c>
      <c r="M139" s="1">
        <f ca="1">Table3[[#This Row],[Tot Scale]]*M$185+M$186</f>
        <v>-9.2338624570940553</v>
      </c>
      <c r="N139" s="1">
        <f ca="1">Table3[[#This Row],[OB Tot Scale]]*N$185+N$186</f>
        <v>-9.6238296211948082</v>
      </c>
      <c r="O139" s="1">
        <f ca="1">Table3[[#This Row],[Weighted Scale]]*O$185+O$186</f>
        <v>-9.1768096129055365</v>
      </c>
      <c r="P139" s="1">
        <f ca="1">Table3[[#This Row],[OB Weighted Scale]]*P$185+P$186</f>
        <v>-9.7402261403196277</v>
      </c>
      <c r="Q139" s="1">
        <f ca="1">Table3[[#This Row],[Z-score]]*Q$185+Q$186</f>
        <v>-12.447306625929471</v>
      </c>
      <c r="R139" s="1">
        <f ca="1">Table3[[#This Row],[OBMod Z-Score]]*R$185+R$186</f>
        <v>-11.455451433840482</v>
      </c>
      <c r="S139" s="1">
        <f ca="1">AVERAGE(Table3[[#This Row],[Tot Value]:[OB Z Value]])</f>
        <v>-10.279580981880663</v>
      </c>
      <c r="T139" s="1" t="str">
        <f>IF(Table1[[#This Row],[Included?]], (Table1[[#This Row],[I R]]-Data!S$188)/(Data!S$187-Data!S$188), "")</f>
        <v/>
      </c>
      <c r="U139" s="1" t="str">
        <f>IF(Table1[[#This Row],[Included?]], (Table1[[#This Row],[I HR]]-Data!T$188)/(Data!T$187-Data!T$188), "")</f>
        <v/>
      </c>
      <c r="V139" s="1" t="str">
        <f>IF(Table1[[#This Row],[Included?]], (Table1[[#This Row],[I RBI]]-Data!U$188)/(Data!U$187-Data!U$188), "")</f>
        <v/>
      </c>
      <c r="W139" s="1" t="str">
        <f>IF(Table1[[#This Row],[Included?]], (Table1[[#This Row],[I SB]]-Data!V$188)/(Data!V$187-Data!V$188), "")</f>
        <v/>
      </c>
      <c r="X139" s="1" t="str">
        <f>IF(Table1[[#This Row],[Included?]], (Table1[[#This Row],[I OBP]]-Data!W$188)/(Data!W$187-Data!W$188), "")</f>
        <v/>
      </c>
      <c r="Y139" s="1" t="str">
        <f>IF(Table1[[#This Row],[Included?]], (Table1[[#This Row],[I OB]]-Data!AA$188)/(Data!AA$187-Data!AA$188), "")</f>
        <v/>
      </c>
      <c r="Z139" s="1" t="str">
        <f>IF(Table1[[#This Row],[Included?]], SUM(Table35[[#This Row],[I R Scale]:[I OBP Scale]]), "")</f>
        <v/>
      </c>
      <c r="AA139" s="1" t="str">
        <f>IF(Table1[[#This Row],[Included?]], SUM(Table35[[#This Row],[I R Scale]:[I SB Scale]],Table35[[#This Row],[I OB Scale]]), "")</f>
        <v/>
      </c>
      <c r="AB13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3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3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3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39" s="1" t="str">
        <f>IF(Table1[[#This Row],[Included?]], Table35[[#This Row],[I Tot Scale]]*AF$185+AF$186, "")</f>
        <v/>
      </c>
      <c r="AG139" s="1" t="str">
        <f>IF(Table1[[#This Row],[Included?]], Table35[[#This Row],[I OB Tot Scale]]*AG$185+AG$186, "")</f>
        <v/>
      </c>
      <c r="AH139" s="1" t="str">
        <f>IF(Table1[[#This Row],[Included?]], Table35[[#This Row],[I Weighted Scale]]*AH$185+AH$186, "")</f>
        <v/>
      </c>
      <c r="AI139" s="1" t="str">
        <f>IF(Table1[[#This Row],[Included?]], Table35[[#This Row],[I OB Weighted Scale]]*AI$185+AI$186, "")</f>
        <v/>
      </c>
      <c r="AJ139" s="1" t="str">
        <f>IF(Table1[[#This Row],[Included?]], Table35[[#This Row],[I Z-score]]*AJ$185+AJ$186, "")</f>
        <v/>
      </c>
      <c r="AK139" s="1" t="str">
        <f>IF(Table1[[#This Row],[Included?]], Table35[[#This Row],[I OBMod Z-Score]]*AK$185+AK$186, "")</f>
        <v/>
      </c>
      <c r="AL139" s="1" t="str">
        <f>IF(Table1[[#This Row],[Included?]], AVERAGE(Table35[[#This Row],[I Tot Value]:[I OB Z Value]]), "")</f>
        <v/>
      </c>
    </row>
    <row r="140" spans="1:38" x14ac:dyDescent="0.25">
      <c r="A140" s="1">
        <f>(Table1[[#This Row],[R]]-Data!H$188)/(Data!H$187-Data!H$188)</f>
        <v>0.23636363636363647</v>
      </c>
      <c r="B140" s="1">
        <f>(Table1[[#This Row],[HR]]-Data!I$188)/(Data!I$187-Data!I$188)</f>
        <v>0.47038801906058536</v>
      </c>
      <c r="C140" s="1">
        <f>(Table1[[#This Row],[RBI]]-Data!J$188)/(Data!J$187-Data!J$188)</f>
        <v>0.24734881054743479</v>
      </c>
      <c r="D140" s="1">
        <f>(Table1[[#This Row],[SB]]-Data!K$188)/(Data!K$187-Data!K$188)</f>
        <v>8.2496863237139256E-2</v>
      </c>
      <c r="E140" s="1">
        <f>(Table1[[#This Row],[OBP]]-Data!L$188)/(Data!L$187-Data!L$188)</f>
        <v>0.65068049572444941</v>
      </c>
      <c r="F140" s="1">
        <f>(Table1[[#This Row],[OB]]-Data!P$188)/(Data!P$187-Data!P$188)</f>
        <v>0.40692152988722274</v>
      </c>
      <c r="G140" s="1">
        <f>SUM(Table3[[#This Row],[R Scale]:[OBP Scale]])</f>
        <v>1.6872778249332452</v>
      </c>
      <c r="H140" s="1">
        <f>SUM(Table3[[#This Row],[R Scale]:[SB Scale]],Table3[[#This Row],[OB Scale]])</f>
        <v>1.4435188590960184</v>
      </c>
      <c r="I140" s="1">
        <f>Table3[[#This Row],[R Scale]]*Data!B$192+Table3[[#This Row],[HR Scale]]*Data!C$192+Table3[[#This Row],[RBI Scale]]*Data!D$192+Table3[[#This Row],[SB Scale]]*Data!E$192+Table3[[#This Row],[OBP Scale]]*Data!F$192</f>
        <v>1.8432473225512584</v>
      </c>
      <c r="J140" s="1">
        <f>Table3[[#This Row],[R Scale]]*Data!B$192+Table3[[#This Row],[HR Scale]]*Data!C$192+Table3[[#This Row],[RBI Scale]]*Data!D$192+Table3[[#This Row],[SB Scale]]*Data!E$192+Table3[[#This Row],[OB Scale]]*Data!F$192</f>
        <v>1.5507365635465864</v>
      </c>
      <c r="K14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-0.7757115213473178</v>
      </c>
      <c r="L14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-1.0062043678204651</v>
      </c>
      <c r="M140" s="1">
        <f ca="1">Table3[[#This Row],[Tot Scale]]*M$185+M$186</f>
        <v>-4.1463591220544274</v>
      </c>
      <c r="N140" s="1">
        <f ca="1">Table3[[#This Row],[OB Tot Scale]]*N$185+N$186</f>
        <v>-14.872953622632039</v>
      </c>
      <c r="O140" s="1">
        <f ca="1">Table3[[#This Row],[Weighted Scale]]*O$185+O$186</f>
        <v>-2.7976704797507779</v>
      </c>
      <c r="P140" s="1">
        <f ca="1">Table3[[#This Row],[OB Weighted Scale]]*P$185+P$186</f>
        <v>-14.94868675038353</v>
      </c>
      <c r="Q140" s="1">
        <f ca="1">Table3[[#This Row],[Z-score]]*Q$185+Q$186</f>
        <v>-4.2935171670464687</v>
      </c>
      <c r="R140" s="1">
        <f ca="1">Table3[[#This Row],[OBMod Z-Score]]*R$185+R$186</f>
        <v>-5.6737870919978519</v>
      </c>
      <c r="S140" s="1">
        <f ca="1">AVERAGE(Table3[[#This Row],[Tot Value]:[OB Z Value]])</f>
        <v>-7.7888290389775152</v>
      </c>
      <c r="T140" s="1">
        <f>IF(Table1[[#This Row],[Included?]], (Table1[[#This Row],[I R]]-Data!S$188)/(Data!S$187-Data!S$188), "")</f>
        <v>3.4829443447037783E-2</v>
      </c>
      <c r="U140" s="1">
        <f>IF(Table1[[#This Row],[Included?]], (Table1[[#This Row],[I HR]]-Data!T$188)/(Data!T$187-Data!T$188), "")</f>
        <v>0.47038801906058536</v>
      </c>
      <c r="V140" s="1">
        <f>IF(Table1[[#This Row],[Included?]], (Table1[[#This Row],[I RBI]]-Data!U$188)/(Data!U$187-Data!U$188), "")</f>
        <v>5.2669552669552713E-2</v>
      </c>
      <c r="W140" s="1">
        <f>IF(Table1[[#This Row],[Included?]], (Table1[[#This Row],[I SB]]-Data!V$188)/(Data!V$187-Data!V$188), "")</f>
        <v>8.2496863237139256E-2</v>
      </c>
      <c r="X140" s="1">
        <f>IF(Table1[[#This Row],[Included?]], (Table1[[#This Row],[I OBP]]-Data!W$188)/(Data!W$187-Data!W$188), "")</f>
        <v>0.57999188110260014</v>
      </c>
      <c r="Y140" s="1">
        <f>IF(Table1[[#This Row],[Included?]], (Table1[[#This Row],[I OB]]-Data!AA$188)/(Data!AA$187-Data!AA$188), "")</f>
        <v>8.6941612864553819E-2</v>
      </c>
      <c r="Z140" s="1">
        <f>IF(Table1[[#This Row],[Included?]], SUM(Table35[[#This Row],[I R Scale]:[I OBP Scale]]), "")</f>
        <v>1.2203757595169153</v>
      </c>
      <c r="AA140" s="1">
        <f>IF(Table1[[#This Row],[Included?]], SUM(Table35[[#This Row],[I R Scale]:[I SB Scale]],Table35[[#This Row],[I OB Scale]]), "")</f>
        <v>0.72732549127886892</v>
      </c>
      <c r="AB140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1.3434251019266421</v>
      </c>
      <c r="AC140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0.75176478004098646</v>
      </c>
      <c r="AD1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-3.335012812824643</v>
      </c>
      <c r="AE140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-3.4857437690796638</v>
      </c>
      <c r="AF140" s="1">
        <f ca="1">IF(Table1[[#This Row],[Included?]], Table35[[#This Row],[I Tot Scale]]*AF$185+AF$186, "")</f>
        <v>4.2330644250579752</v>
      </c>
      <c r="AG140" s="1">
        <f ca="1">IF(Table1[[#This Row],[Included?]], Table35[[#This Row],[I OB Tot Scale]]*AG$185+AG$186, "")</f>
        <v>2.2532383743240771</v>
      </c>
      <c r="AH140" s="1">
        <f ca="1">IF(Table1[[#This Row],[Included?]], Table35[[#This Row],[I Weighted Scale]]*AH$185+AH$186, "")</f>
        <v>5.1117670403293296</v>
      </c>
      <c r="AI140" s="1">
        <f ca="1">IF(Table1[[#This Row],[Included?]], Table35[[#This Row],[I OB Weighted Scale]]*AI$185+AI$186, "")</f>
        <v>2.1969274562066321</v>
      </c>
      <c r="AJ140" s="1">
        <f ca="1">IF(Table1[[#This Row],[Included?]], Table35[[#This Row],[I Z-score]]*AJ$185+AJ$186, "")</f>
        <v>4.8593804806768315</v>
      </c>
      <c r="AK140" s="1">
        <f ca="1">IF(Table1[[#This Row],[Included?]], Table35[[#This Row],[I OBMod Z-Score]]*AK$185+AK$186, "")</f>
        <v>4.2028520924482073</v>
      </c>
      <c r="AL140" s="1">
        <f ca="1">IF(Table1[[#This Row],[Included?]], AVERAGE(Table35[[#This Row],[I Tot Value]:[I OB Z Value]]), "")</f>
        <v>3.8095383115071755</v>
      </c>
    </row>
    <row r="141" spans="1:38" x14ac:dyDescent="0.25">
      <c r="A141" s="1">
        <f>(Table1[[#This Row],[R]]-Data!H$188)/(Data!H$187-Data!H$188)</f>
        <v>0.23664772727272729</v>
      </c>
      <c r="B141" s="1">
        <f>(Table1[[#This Row],[HR]]-Data!I$188)/(Data!I$187-Data!I$188)</f>
        <v>0.4247787610619469</v>
      </c>
      <c r="C141" s="1">
        <f>(Table1[[#This Row],[RBI]]-Data!J$188)/(Data!J$187-Data!J$188)</f>
        <v>0.27285755230725134</v>
      </c>
      <c r="D141" s="1">
        <f>(Table1[[#This Row],[SB]]-Data!K$188)/(Data!K$187-Data!K$188)</f>
        <v>5.8030112923462975E-2</v>
      </c>
      <c r="E141" s="1">
        <f>(Table1[[#This Row],[OBP]]-Data!L$188)/(Data!L$187-Data!L$188)</f>
        <v>0.55499701527646539</v>
      </c>
      <c r="F141" s="1">
        <f>(Table1[[#This Row],[OB]]-Data!P$188)/(Data!P$187-Data!P$188)</f>
        <v>0.37958398047799502</v>
      </c>
      <c r="G141" s="1">
        <f>SUM(Table3[[#This Row],[R Scale]:[OBP Scale]])</f>
        <v>1.5473111688418539</v>
      </c>
      <c r="H141" s="1">
        <f>SUM(Table3[[#This Row],[R Scale]:[SB Scale]],Table3[[#This Row],[OB Scale]])</f>
        <v>1.3718981340433833</v>
      </c>
      <c r="I141" s="1">
        <f>Table3[[#This Row],[R Scale]]*Data!B$192+Table3[[#This Row],[HR Scale]]*Data!C$192+Table3[[#This Row],[RBI Scale]]*Data!D$192+Table3[[#This Row],[SB Scale]]*Data!E$192+Table3[[#This Row],[OBP Scale]]*Data!F$192</f>
        <v>1.6892173096313248</v>
      </c>
      <c r="J141" s="1">
        <f>Table3[[#This Row],[R Scale]]*Data!B$192+Table3[[#This Row],[HR Scale]]*Data!C$192+Table3[[#This Row],[RBI Scale]]*Data!D$192+Table3[[#This Row],[SB Scale]]*Data!E$192+Table3[[#This Row],[OB Scale]]*Data!F$192</f>
        <v>1.4787216678731601</v>
      </c>
      <c r="K14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-1.5612319033899338</v>
      </c>
      <c r="L14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-1.6978816488486528</v>
      </c>
      <c r="M141" s="1">
        <f ca="1">Table3[[#This Row],[Tot Scale]]*M$185+M$186</f>
        <v>-9.3155856504038823</v>
      </c>
      <c r="N141" s="1">
        <f ca="1">Table3[[#This Row],[OB Tot Scale]]*N$185+N$186</f>
        <v>-17.4848172086107</v>
      </c>
      <c r="O141" s="1">
        <f ca="1">Table3[[#This Row],[Weighted Scale]]*O$185+O$186</f>
        <v>-8.0954190095203558</v>
      </c>
      <c r="P141" s="1">
        <f ca="1">Table3[[#This Row],[OB Weighted Scale]]*P$185+P$186</f>
        <v>-17.407320447085461</v>
      </c>
      <c r="Q141" s="1">
        <f ca="1">Table3[[#This Row],[Z-score]]*Q$185+Q$186</f>
        <v>-10.065333955855888</v>
      </c>
      <c r="R141" s="1">
        <f ca="1">Table3[[#This Row],[OBMod Z-Score]]*R$185+R$186</f>
        <v>-10.70955130425007</v>
      </c>
      <c r="S141" s="1">
        <f ca="1">AVERAGE(Table3[[#This Row],[Tot Value]:[OB Z Value]])</f>
        <v>-12.179671262621058</v>
      </c>
      <c r="T141" s="1">
        <f>IF(Table1[[#This Row],[Included?]], (Table1[[#This Row],[I R]]-Data!S$188)/(Data!S$187-Data!S$188), "")</f>
        <v>3.5188509874326708E-2</v>
      </c>
      <c r="U141" s="1">
        <f>IF(Table1[[#This Row],[Included?]], (Table1[[#This Row],[I HR]]-Data!T$188)/(Data!T$187-Data!T$188), "")</f>
        <v>0.4247787610619469</v>
      </c>
      <c r="V141" s="1">
        <f>IF(Table1[[#This Row],[Included?]], (Table1[[#This Row],[I RBI]]-Data!U$188)/(Data!U$187-Data!U$188), "")</f>
        <v>8.4776334776334811E-2</v>
      </c>
      <c r="W141" s="1">
        <f>IF(Table1[[#This Row],[Included?]], (Table1[[#This Row],[I SB]]-Data!V$188)/(Data!V$187-Data!V$188), "")</f>
        <v>5.8030112923462975E-2</v>
      </c>
      <c r="X141" s="1">
        <f>IF(Table1[[#This Row],[Included?]], (Table1[[#This Row],[I OBP]]-Data!W$188)/(Data!W$187-Data!W$188), "")</f>
        <v>0.4649458039708379</v>
      </c>
      <c r="Y141" s="1">
        <f>IF(Table1[[#This Row],[Included?]], (Table1[[#This Row],[I OB]]-Data!AA$188)/(Data!AA$187-Data!AA$188), "")</f>
        <v>4.4854806430527312E-2</v>
      </c>
      <c r="Z141" s="1">
        <f>IF(Table1[[#This Row],[Included?]], SUM(Table35[[#This Row],[I R Scale]:[I OBP Scale]]), "")</f>
        <v>1.0677195226069092</v>
      </c>
      <c r="AA141" s="1">
        <f>IF(Table1[[#This Row],[Included?]], SUM(Table35[[#This Row],[I R Scale]:[I SB Scale]],Table35[[#This Row],[I OB Scale]]), "")</f>
        <v>0.64762852506659863</v>
      </c>
      <c r="AB141" s="1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>1.1741450993689111</v>
      </c>
      <c r="AC141" s="1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>0.67003590232053833</v>
      </c>
      <c r="AD1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>-4.1851156330029005</v>
      </c>
      <c r="AE141" s="1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>-4.1924739832848417</v>
      </c>
      <c r="AF141" s="1">
        <f ca="1">IF(Table1[[#This Row],[Included?]], Table35[[#This Row],[I Tot Scale]]*AF$185+AF$186, "")</f>
        <v>1</v>
      </c>
      <c r="AG141" s="1">
        <f ca="1">IF(Table1[[#This Row],[Included?]], Table35[[#This Row],[I OB Tot Scale]]*AG$185+AG$186, "")</f>
        <v>1</v>
      </c>
      <c r="AH141" s="1">
        <f ca="1">IF(Table1[[#This Row],[Included?]], Table35[[#This Row],[I Weighted Scale]]*AH$185+AH$186, "")</f>
        <v>1.7724008474395454</v>
      </c>
      <c r="AI141" s="1">
        <f ca="1">IF(Table1[[#This Row],[Included?]], Table35[[#This Row],[I OB Weighted Scale]]*AI$185+AI$186, "")</f>
        <v>1</v>
      </c>
      <c r="AJ141" s="1">
        <f ca="1">IF(Table1[[#This Row],[Included?]], Table35[[#This Row],[I Z-score]]*AJ$185+AJ$186, "")</f>
        <v>1</v>
      </c>
      <c r="AK141" s="1">
        <f ca="1">IF(Table1[[#This Row],[Included?]], Table35[[#This Row],[I OBMod Z-Score]]*AK$185+AK$186, "")</f>
        <v>1</v>
      </c>
      <c r="AL141" s="1">
        <f ca="1">IF(Table1[[#This Row],[Included?]], AVERAGE(Table35[[#This Row],[I Tot Value]:[I OB Z Value]]), "")</f>
        <v>1.1287334745732576</v>
      </c>
    </row>
    <row r="142" spans="1:38" x14ac:dyDescent="0.25">
      <c r="A142" s="1">
        <f>(Table1[[#This Row],[R]]-Data!H$188)/(Data!H$187-Data!H$188)</f>
        <v>0.28721590909090916</v>
      </c>
      <c r="B142" s="1">
        <f>(Table1[[#This Row],[HR]]-Data!I$188)/(Data!I$187-Data!I$188)</f>
        <v>0.14703880190605856</v>
      </c>
      <c r="C142" s="1">
        <f>(Table1[[#This Row],[RBI]]-Data!J$188)/(Data!J$187-Data!J$188)</f>
        <v>0.36858698767555159</v>
      </c>
      <c r="D142" s="1">
        <f>(Table1[[#This Row],[SB]]-Data!K$188)/(Data!K$187-Data!K$188)</f>
        <v>5.9598494353826836E-3</v>
      </c>
      <c r="E142" s="1">
        <f>(Table1[[#This Row],[OBP]]-Data!L$188)/(Data!L$187-Data!L$188)</f>
        <v>0.28439012549193843</v>
      </c>
      <c r="F142" s="1">
        <f>(Table1[[#This Row],[OB]]-Data!P$188)/(Data!P$187-Data!P$188)</f>
        <v>0.4198479298729359</v>
      </c>
      <c r="G142" s="1">
        <f>SUM(Table3[[#This Row],[R Scale]:[OBP Scale]])</f>
        <v>1.0931916735998404</v>
      </c>
      <c r="H142" s="1">
        <f>SUM(Table3[[#This Row],[R Scale]:[SB Scale]],Table3[[#This Row],[OB Scale]])</f>
        <v>1.2286494779808379</v>
      </c>
      <c r="I142" s="1">
        <f>Table3[[#This Row],[R Scale]]*Data!B$192+Table3[[#This Row],[HR Scale]]*Data!C$192+Table3[[#This Row],[RBI Scale]]*Data!D$192+Table3[[#This Row],[SB Scale]]*Data!E$192+Table3[[#This Row],[OBP Scale]]*Data!F$192</f>
        <v>1.1950655053242474</v>
      </c>
      <c r="J142" s="1">
        <f>Table3[[#This Row],[R Scale]]*Data!B$192+Table3[[#This Row],[HR Scale]]*Data!C$192+Table3[[#This Row],[RBI Scale]]*Data!D$192+Table3[[#This Row],[SB Scale]]*Data!E$192+Table3[[#This Row],[OB Scale]]*Data!F$192</f>
        <v>1.3576148705814446</v>
      </c>
      <c r="K14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-3.96019890865507</v>
      </c>
      <c r="L14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-3.9849312232237915</v>
      </c>
      <c r="M142" s="1">
        <f ca="1">Table3[[#This Row],[Tot Scale]]*M$185+M$186</f>
        <v>-26.087055423268325</v>
      </c>
      <c r="N142" s="1">
        <f ca="1">Table3[[#This Row],[OB Tot Scale]]*N$185+N$186</f>
        <v>-22.708807167315804</v>
      </c>
      <c r="O142" s="1">
        <f ca="1">Table3[[#This Row],[Weighted Scale]]*O$185+O$186</f>
        <v>-25.091405344414753</v>
      </c>
      <c r="P142" s="1">
        <f ca="1">Table3[[#This Row],[OB Weighted Scale]]*P$185+P$186</f>
        <v>-21.541982449115331</v>
      </c>
      <c r="Q142" s="1">
        <f ca="1">Table3[[#This Row],[Z-score]]*Q$185+Q$186</f>
        <v>-27.69237248130305</v>
      </c>
      <c r="R142" s="1">
        <f ca="1">Table3[[#This Row],[OBMod Z-Score]]*R$185+R$186</f>
        <v>-27.360441414685319</v>
      </c>
      <c r="S142" s="1">
        <f ca="1">AVERAGE(Table3[[#This Row],[Tot Value]:[OB Z Value]])</f>
        <v>-25.080344046683763</v>
      </c>
      <c r="T142" s="1" t="str">
        <f>IF(Table1[[#This Row],[Included?]], (Table1[[#This Row],[I R]]-Data!S$188)/(Data!S$187-Data!S$188), "")</f>
        <v/>
      </c>
      <c r="U142" s="1" t="str">
        <f>IF(Table1[[#This Row],[Included?]], (Table1[[#This Row],[I HR]]-Data!T$188)/(Data!T$187-Data!T$188), "")</f>
        <v/>
      </c>
      <c r="V142" s="1" t="str">
        <f>IF(Table1[[#This Row],[Included?]], (Table1[[#This Row],[I RBI]]-Data!U$188)/(Data!U$187-Data!U$188), "")</f>
        <v/>
      </c>
      <c r="W142" s="1" t="str">
        <f>IF(Table1[[#This Row],[Included?]], (Table1[[#This Row],[I SB]]-Data!V$188)/(Data!V$187-Data!V$188), "")</f>
        <v/>
      </c>
      <c r="X142" s="1" t="str">
        <f>IF(Table1[[#This Row],[Included?]], (Table1[[#This Row],[I OBP]]-Data!W$188)/(Data!W$187-Data!W$188), "")</f>
        <v/>
      </c>
      <c r="Y142" s="1" t="str">
        <f>IF(Table1[[#This Row],[Included?]], (Table1[[#This Row],[I OB]]-Data!AA$188)/(Data!AA$187-Data!AA$188), "")</f>
        <v/>
      </c>
      <c r="Z142" s="1" t="str">
        <f>IF(Table1[[#This Row],[Included?]], SUM(Table35[[#This Row],[I R Scale]:[I OBP Scale]]), "")</f>
        <v/>
      </c>
      <c r="AA142" s="1" t="str">
        <f>IF(Table1[[#This Row],[Included?]], SUM(Table35[[#This Row],[I R Scale]:[I SB Scale]],Table35[[#This Row],[I OB Scale]]), "")</f>
        <v/>
      </c>
      <c r="AB14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2" s="1" t="str">
        <f>IF(Table1[[#This Row],[Included?]], Table35[[#This Row],[I Tot Scale]]*AF$185+AF$186, "")</f>
        <v/>
      </c>
      <c r="AG142" s="1" t="str">
        <f>IF(Table1[[#This Row],[Included?]], Table35[[#This Row],[I OB Tot Scale]]*AG$185+AG$186, "")</f>
        <v/>
      </c>
      <c r="AH142" s="1" t="str">
        <f>IF(Table1[[#This Row],[Included?]], Table35[[#This Row],[I Weighted Scale]]*AH$185+AH$186, "")</f>
        <v/>
      </c>
      <c r="AI142" s="1" t="str">
        <f>IF(Table1[[#This Row],[Included?]], Table35[[#This Row],[I OB Weighted Scale]]*AI$185+AI$186, "")</f>
        <v/>
      </c>
      <c r="AJ142" s="1" t="str">
        <f>IF(Table1[[#This Row],[Included?]], Table35[[#This Row],[I Z-score]]*AJ$185+AJ$186, "")</f>
        <v/>
      </c>
      <c r="AK142" s="1" t="str">
        <f>IF(Table1[[#This Row],[Included?]], Table35[[#This Row],[I OBMod Z-Score]]*AK$185+AK$186, "")</f>
        <v/>
      </c>
      <c r="AL142" s="1" t="str">
        <f>IF(Table1[[#This Row],[Included?]], AVERAGE(Table35[[#This Row],[I Tot Value]:[I OB Z Value]]), "")</f>
        <v/>
      </c>
    </row>
    <row r="143" spans="1:38" x14ac:dyDescent="0.25">
      <c r="A143" s="1">
        <f>(Table1[[#This Row],[R]]-Data!H$188)/(Data!H$187-Data!H$188)</f>
        <v>0.28011363636363634</v>
      </c>
      <c r="B143" s="1">
        <f>(Table1[[#This Row],[HR]]-Data!I$188)/(Data!I$187-Data!I$188)</f>
        <v>0.36215112321307003</v>
      </c>
      <c r="C143" s="1">
        <f>(Table1[[#This Row],[RBI]]-Data!J$188)/(Data!J$187-Data!J$188)</f>
        <v>0.34852393235884199</v>
      </c>
      <c r="D143" s="1">
        <f>(Table1[[#This Row],[SB]]-Data!K$188)/(Data!K$187-Data!K$188)</f>
        <v>0</v>
      </c>
      <c r="E143" s="1">
        <f>(Table1[[#This Row],[OBP]]-Data!L$188)/(Data!L$187-Data!L$188)</f>
        <v>0.4012096406101136</v>
      </c>
      <c r="F143" s="1">
        <f>(Table1[[#This Row],[OB]]-Data!P$188)/(Data!P$187-Data!P$188)</f>
        <v>0.33959216113156904</v>
      </c>
      <c r="G143" s="1">
        <f>SUM(Table3[[#This Row],[R Scale]:[OBP Scale]])</f>
        <v>1.391998332545662</v>
      </c>
      <c r="H143" s="1">
        <f>SUM(Table3[[#This Row],[R Scale]:[SB Scale]],Table3[[#This Row],[OB Scale]])</f>
        <v>1.3303808530671175</v>
      </c>
      <c r="I143" s="1">
        <f>Table3[[#This Row],[R Scale]]*Data!B$192+Table3[[#This Row],[HR Scale]]*Data!C$192+Table3[[#This Row],[RBI Scale]]*Data!D$192+Table3[[#This Row],[SB Scale]]*Data!E$192+Table3[[#This Row],[OBP Scale]]*Data!F$192</f>
        <v>1.5139336835030894</v>
      </c>
      <c r="J143" s="1">
        <f>Table3[[#This Row],[R Scale]]*Data!B$192+Table3[[#This Row],[HR Scale]]*Data!C$192+Table3[[#This Row],[RBI Scale]]*Data!D$192+Table3[[#This Row],[SB Scale]]*Data!E$192+Table3[[#This Row],[OB Scale]]*Data!F$192</f>
        <v>1.439992708128836</v>
      </c>
      <c r="K14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-2.515922251708631</v>
      </c>
      <c r="L14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-2.5157186112107519</v>
      </c>
      <c r="M143" s="1">
        <f ca="1">Table3[[#This Row],[Tot Scale]]*M$185+M$186</f>
        <v>-15.051574892379151</v>
      </c>
      <c r="N143" s="1">
        <f ca="1">Table3[[#This Row],[OB Tot Scale]]*N$185+N$186</f>
        <v>-18.998868822735822</v>
      </c>
      <c r="O143" s="1">
        <f ca="1">Table3[[#This Row],[Weighted Scale]]*O$185+O$186</f>
        <v>-14.124169867940644</v>
      </c>
      <c r="P143" s="1">
        <f ca="1">Table3[[#This Row],[OB Weighted Scale]]*P$185+P$186</f>
        <v>-18.729551418541881</v>
      </c>
      <c r="Q143" s="1">
        <f ca="1">Table3[[#This Row],[Z-score]]*Q$185+Q$186</f>
        <v>-17.080171389114522</v>
      </c>
      <c r="R143" s="1">
        <f ca="1">Table3[[#This Row],[OBMod Z-Score]]*R$185+R$186</f>
        <v>-16.663822493261822</v>
      </c>
      <c r="S143" s="1">
        <f ca="1">AVERAGE(Table3[[#This Row],[Tot Value]:[OB Z Value]])</f>
        <v>-16.774693147328975</v>
      </c>
      <c r="T143" s="1" t="str">
        <f>IF(Table1[[#This Row],[Included?]], (Table1[[#This Row],[I R]]-Data!S$188)/(Data!S$187-Data!S$188), "")</f>
        <v/>
      </c>
      <c r="U143" s="1" t="str">
        <f>IF(Table1[[#This Row],[Included?]], (Table1[[#This Row],[I HR]]-Data!T$188)/(Data!T$187-Data!T$188), "")</f>
        <v/>
      </c>
      <c r="V143" s="1" t="str">
        <f>IF(Table1[[#This Row],[Included?]], (Table1[[#This Row],[I RBI]]-Data!U$188)/(Data!U$187-Data!U$188), "")</f>
        <v/>
      </c>
      <c r="W143" s="1" t="str">
        <f>IF(Table1[[#This Row],[Included?]], (Table1[[#This Row],[I SB]]-Data!V$188)/(Data!V$187-Data!V$188), "")</f>
        <v/>
      </c>
      <c r="X143" s="1" t="str">
        <f>IF(Table1[[#This Row],[Included?]], (Table1[[#This Row],[I OBP]]-Data!W$188)/(Data!W$187-Data!W$188), "")</f>
        <v/>
      </c>
      <c r="Y143" s="1" t="str">
        <f>IF(Table1[[#This Row],[Included?]], (Table1[[#This Row],[I OB]]-Data!AA$188)/(Data!AA$187-Data!AA$188), "")</f>
        <v/>
      </c>
      <c r="Z143" s="1" t="str">
        <f>IF(Table1[[#This Row],[Included?]], SUM(Table35[[#This Row],[I R Scale]:[I OBP Scale]]), "")</f>
        <v/>
      </c>
      <c r="AA143" s="1" t="str">
        <f>IF(Table1[[#This Row],[Included?]], SUM(Table35[[#This Row],[I R Scale]:[I SB Scale]],Table35[[#This Row],[I OB Scale]]), "")</f>
        <v/>
      </c>
      <c r="AB14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3" s="1" t="str">
        <f>IF(Table1[[#This Row],[Included?]], Table35[[#This Row],[I Tot Scale]]*AF$185+AF$186, "")</f>
        <v/>
      </c>
      <c r="AG143" s="1" t="str">
        <f>IF(Table1[[#This Row],[Included?]], Table35[[#This Row],[I OB Tot Scale]]*AG$185+AG$186, "")</f>
        <v/>
      </c>
      <c r="AH143" s="1" t="str">
        <f>IF(Table1[[#This Row],[Included?]], Table35[[#This Row],[I Weighted Scale]]*AH$185+AH$186, "")</f>
        <v/>
      </c>
      <c r="AI143" s="1" t="str">
        <f>IF(Table1[[#This Row],[Included?]], Table35[[#This Row],[I OB Weighted Scale]]*AI$185+AI$186, "")</f>
        <v/>
      </c>
      <c r="AJ143" s="1" t="str">
        <f>IF(Table1[[#This Row],[Included?]], Table35[[#This Row],[I Z-score]]*AJ$185+AJ$186, "")</f>
        <v/>
      </c>
      <c r="AK143" s="1" t="str">
        <f>IF(Table1[[#This Row],[Included?]], Table35[[#This Row],[I OBMod Z-Score]]*AK$185+AK$186, "")</f>
        <v/>
      </c>
      <c r="AL143" s="1" t="str">
        <f>IF(Table1[[#This Row],[Included?]], AVERAGE(Table35[[#This Row],[I Tot Value]:[I OB Z Value]]), "")</f>
        <v/>
      </c>
    </row>
    <row r="144" spans="1:38" x14ac:dyDescent="0.25">
      <c r="A144" s="1">
        <f>(Table1[[#This Row],[R]]-Data!H$188)/(Data!H$187-Data!H$188)</f>
        <v>0.19573863636363639</v>
      </c>
      <c r="B144" s="1">
        <f>(Table1[[#This Row],[HR]]-Data!I$188)/(Data!I$187-Data!I$188)</f>
        <v>0.20285908781483999</v>
      </c>
      <c r="C144" s="1">
        <f>(Table1[[#This Row],[RBI]]-Data!J$188)/(Data!J$187-Data!J$188)</f>
        <v>0.26999140154772139</v>
      </c>
      <c r="D144" s="1">
        <f>(Table1[[#This Row],[SB]]-Data!K$188)/(Data!K$187-Data!K$188)</f>
        <v>7.5282308657465486E-3</v>
      </c>
      <c r="E144" s="1">
        <f>(Table1[[#This Row],[OBP]]-Data!L$188)/(Data!L$187-Data!L$188)</f>
        <v>0.35740077324584707</v>
      </c>
      <c r="F144" s="1">
        <f>(Table1[[#This Row],[OB]]-Data!P$188)/(Data!P$187-Data!P$188)</f>
        <v>0.415555007513014</v>
      </c>
      <c r="G144" s="1">
        <f>SUM(Table3[[#This Row],[R Scale]:[OBP Scale]])</f>
        <v>1.0335181298377913</v>
      </c>
      <c r="H144" s="1">
        <f>SUM(Table3[[#This Row],[R Scale]:[SB Scale]],Table3[[#This Row],[OB Scale]])</f>
        <v>1.0916723641049582</v>
      </c>
      <c r="I144" s="1">
        <f>Table3[[#This Row],[R Scale]]*Data!B$192+Table3[[#This Row],[HR Scale]]*Data!C$192+Table3[[#This Row],[RBI Scale]]*Data!D$192+Table3[[#This Row],[SB Scale]]*Data!E$192+Table3[[#This Row],[OBP Scale]]*Data!F$192</f>
        <v>1.1394227011601414</v>
      </c>
      <c r="J144" s="1">
        <f>Table3[[#This Row],[R Scale]]*Data!B$192+Table3[[#This Row],[HR Scale]]*Data!C$192+Table3[[#This Row],[RBI Scale]]*Data!D$192+Table3[[#This Row],[SB Scale]]*Data!E$192+Table3[[#This Row],[OB Scale]]*Data!F$192</f>
        <v>1.2092077822807417</v>
      </c>
      <c r="K14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-4.242850079690891</v>
      </c>
      <c r="L14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-4.2536282963647061</v>
      </c>
      <c r="M144" s="1">
        <f ca="1">Table3[[#This Row],[Tot Scale]]*M$185+M$186</f>
        <v>-28.290909355836334</v>
      </c>
      <c r="N144" s="1">
        <f ca="1">Table3[[#This Row],[OB Tot Scale]]*N$185+N$186</f>
        <v>-27.704086614458191</v>
      </c>
      <c r="O144" s="1">
        <f ca="1">Table3[[#This Row],[Weighted Scale]]*O$185+O$186</f>
        <v>-27.005198496570621</v>
      </c>
      <c r="P144" s="1">
        <f ca="1">Table3[[#This Row],[OB Weighted Scale]]*P$185+P$186</f>
        <v>-26.608693505397085</v>
      </c>
      <c r="Q144" s="1">
        <f ca="1">Table3[[#This Row],[Z-score]]*Q$185+Q$186</f>
        <v>-29.769226006247852</v>
      </c>
      <c r="R144" s="1">
        <f ca="1">Table3[[#This Row],[OBMod Z-Score]]*R$185+R$186</f>
        <v>-29.316693473229936</v>
      </c>
      <c r="S144" s="1">
        <f ca="1">AVERAGE(Table3[[#This Row],[Tot Value]:[OB Z Value]])</f>
        <v>-28.115801241956671</v>
      </c>
      <c r="T144" s="1" t="str">
        <f>IF(Table1[[#This Row],[Included?]], (Table1[[#This Row],[I R]]-Data!S$188)/(Data!S$187-Data!S$188), "")</f>
        <v/>
      </c>
      <c r="U144" s="1" t="str">
        <f>IF(Table1[[#This Row],[Included?]], (Table1[[#This Row],[I HR]]-Data!T$188)/(Data!T$187-Data!T$188), "")</f>
        <v/>
      </c>
      <c r="V144" s="1" t="str">
        <f>IF(Table1[[#This Row],[Included?]], (Table1[[#This Row],[I RBI]]-Data!U$188)/(Data!U$187-Data!U$188), "")</f>
        <v/>
      </c>
      <c r="W144" s="1" t="str">
        <f>IF(Table1[[#This Row],[Included?]], (Table1[[#This Row],[I SB]]-Data!V$188)/(Data!V$187-Data!V$188), "")</f>
        <v/>
      </c>
      <c r="X144" s="1" t="str">
        <f>IF(Table1[[#This Row],[Included?]], (Table1[[#This Row],[I OBP]]-Data!W$188)/(Data!W$187-Data!W$188), "")</f>
        <v/>
      </c>
      <c r="Y144" s="1" t="str">
        <f>IF(Table1[[#This Row],[Included?]], (Table1[[#This Row],[I OB]]-Data!AA$188)/(Data!AA$187-Data!AA$188), "")</f>
        <v/>
      </c>
      <c r="Z144" s="1" t="str">
        <f>IF(Table1[[#This Row],[Included?]], SUM(Table35[[#This Row],[I R Scale]:[I OBP Scale]]), "")</f>
        <v/>
      </c>
      <c r="AA144" s="1" t="str">
        <f>IF(Table1[[#This Row],[Included?]], SUM(Table35[[#This Row],[I R Scale]:[I SB Scale]],Table35[[#This Row],[I OB Scale]]), "")</f>
        <v/>
      </c>
      <c r="AB14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4" s="1" t="str">
        <f>IF(Table1[[#This Row],[Included?]], Table35[[#This Row],[I Tot Scale]]*AF$185+AF$186, "")</f>
        <v/>
      </c>
      <c r="AG144" s="1" t="str">
        <f>IF(Table1[[#This Row],[Included?]], Table35[[#This Row],[I OB Tot Scale]]*AG$185+AG$186, "")</f>
        <v/>
      </c>
      <c r="AH144" s="1" t="str">
        <f>IF(Table1[[#This Row],[Included?]], Table35[[#This Row],[I Weighted Scale]]*AH$185+AH$186, "")</f>
        <v/>
      </c>
      <c r="AI144" s="1" t="str">
        <f>IF(Table1[[#This Row],[Included?]], Table35[[#This Row],[I OB Weighted Scale]]*AI$185+AI$186, "")</f>
        <v/>
      </c>
      <c r="AJ144" s="1" t="str">
        <f>IF(Table1[[#This Row],[Included?]], Table35[[#This Row],[I Z-score]]*AJ$185+AJ$186, "")</f>
        <v/>
      </c>
      <c r="AK144" s="1" t="str">
        <f>IF(Table1[[#This Row],[Included?]], Table35[[#This Row],[I OBMod Z-Score]]*AK$185+AK$186, "")</f>
        <v/>
      </c>
      <c r="AL144" s="1" t="str">
        <f>IF(Table1[[#This Row],[Included?]], AVERAGE(Table35[[#This Row],[I Tot Value]:[I OB Z Value]]), "")</f>
        <v/>
      </c>
    </row>
    <row r="145" spans="1:38" x14ac:dyDescent="0.25">
      <c r="A145" s="1">
        <f>(Table1[[#This Row],[R]]-Data!H$188)/(Data!H$187-Data!H$188)</f>
        <v>0.14346590909090914</v>
      </c>
      <c r="B145" s="1">
        <f>(Table1[[#This Row],[HR]]-Data!I$188)/(Data!I$187-Data!I$188)</f>
        <v>0.17562968005445881</v>
      </c>
      <c r="C145" s="1">
        <f>(Table1[[#This Row],[RBI]]-Data!J$188)/(Data!J$187-Data!J$188)</f>
        <v>0.24218973918028089</v>
      </c>
      <c r="D145" s="1">
        <f>(Table1[[#This Row],[SB]]-Data!K$188)/(Data!K$187-Data!K$188)</f>
        <v>2.6976160602258461E-2</v>
      </c>
      <c r="E145" s="1">
        <f>(Table1[[#This Row],[OBP]]-Data!L$188)/(Data!L$187-Data!L$188)</f>
        <v>0.48846713514987805</v>
      </c>
      <c r="F145" s="1">
        <f>(Table1[[#This Row],[OB]]-Data!P$188)/(Data!P$187-Data!P$188)</f>
        <v>0.43091356541687853</v>
      </c>
      <c r="G145" s="1">
        <f>SUM(Table3[[#This Row],[R Scale]:[OBP Scale]])</f>
        <v>1.0767286240777854</v>
      </c>
      <c r="H145" s="1">
        <f>SUM(Table3[[#This Row],[R Scale]:[SB Scale]],Table3[[#This Row],[OB Scale]])</f>
        <v>1.0191750543447857</v>
      </c>
      <c r="I145" s="1">
        <f>Table3[[#This Row],[R Scale]]*Data!B$192+Table3[[#This Row],[HR Scale]]*Data!C$192+Table3[[#This Row],[RBI Scale]]*Data!D$192+Table3[[#This Row],[SB Scale]]*Data!E$192+Table3[[#This Row],[OBP Scale]]*Data!F$192</f>
        <v>1.2085134080347264</v>
      </c>
      <c r="J145" s="1">
        <f>Table3[[#This Row],[R Scale]]*Data!B$192+Table3[[#This Row],[HR Scale]]*Data!C$192+Table3[[#This Row],[RBI Scale]]*Data!D$192+Table3[[#This Row],[SB Scale]]*Data!E$192+Table3[[#This Row],[OB Scale]]*Data!F$192</f>
        <v>1.1394491243551268</v>
      </c>
      <c r="K14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-3.9000029563315781</v>
      </c>
      <c r="L14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-3.9554113518538765</v>
      </c>
      <c r="M145" s="1">
        <f ca="1">Table3[[#This Row],[Tot Scale]]*M$185+M$186</f>
        <v>-26.695066178854077</v>
      </c>
      <c r="N145" s="1">
        <f ca="1">Table3[[#This Row],[OB Tot Scale]]*N$185+N$186</f>
        <v>-30.347917479125535</v>
      </c>
      <c r="O145" s="1">
        <f ca="1">Table3[[#This Row],[Weighted Scale]]*O$185+O$186</f>
        <v>-24.628874663137999</v>
      </c>
      <c r="P145" s="1">
        <f ca="1">Table3[[#This Row],[OB Weighted Scale]]*P$185+P$186</f>
        <v>-28.990297830568764</v>
      </c>
      <c r="Q145" s="1">
        <f ca="1">Table3[[#This Row],[Z-score]]*Q$185+Q$186</f>
        <v>-27.25006695215097</v>
      </c>
      <c r="R145" s="1">
        <f ca="1">Table3[[#This Row],[OBMod Z-Score]]*R$185+R$186</f>
        <v>-27.145521659660361</v>
      </c>
      <c r="S145" s="1">
        <f ca="1">AVERAGE(Table3[[#This Row],[Tot Value]:[OB Z Value]])</f>
        <v>-27.509624127249612</v>
      </c>
      <c r="T145" s="1" t="str">
        <f>IF(Table1[[#This Row],[Included?]], (Table1[[#This Row],[I R]]-Data!S$188)/(Data!S$187-Data!S$188), "")</f>
        <v/>
      </c>
      <c r="U145" s="1" t="str">
        <f>IF(Table1[[#This Row],[Included?]], (Table1[[#This Row],[I HR]]-Data!T$188)/(Data!T$187-Data!T$188), "")</f>
        <v/>
      </c>
      <c r="V145" s="1" t="str">
        <f>IF(Table1[[#This Row],[Included?]], (Table1[[#This Row],[I RBI]]-Data!U$188)/(Data!U$187-Data!U$188), "")</f>
        <v/>
      </c>
      <c r="W145" s="1" t="str">
        <f>IF(Table1[[#This Row],[Included?]], (Table1[[#This Row],[I SB]]-Data!V$188)/(Data!V$187-Data!V$188), "")</f>
        <v/>
      </c>
      <c r="X145" s="1" t="str">
        <f>IF(Table1[[#This Row],[Included?]], (Table1[[#This Row],[I OBP]]-Data!W$188)/(Data!W$187-Data!W$188), "")</f>
        <v/>
      </c>
      <c r="Y145" s="1" t="str">
        <f>IF(Table1[[#This Row],[Included?]], (Table1[[#This Row],[I OB]]-Data!AA$188)/(Data!AA$187-Data!AA$188), "")</f>
        <v/>
      </c>
      <c r="Z145" s="1" t="str">
        <f>IF(Table1[[#This Row],[Included?]], SUM(Table35[[#This Row],[I R Scale]:[I OBP Scale]]), "")</f>
        <v/>
      </c>
      <c r="AA145" s="1" t="str">
        <f>IF(Table1[[#This Row],[Included?]], SUM(Table35[[#This Row],[I R Scale]:[I SB Scale]],Table35[[#This Row],[I OB Scale]]), "")</f>
        <v/>
      </c>
      <c r="AB14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5" s="1" t="str">
        <f>IF(Table1[[#This Row],[Included?]], Table35[[#This Row],[I Tot Scale]]*AF$185+AF$186, "")</f>
        <v/>
      </c>
      <c r="AG145" s="1" t="str">
        <f>IF(Table1[[#This Row],[Included?]], Table35[[#This Row],[I OB Tot Scale]]*AG$185+AG$186, "")</f>
        <v/>
      </c>
      <c r="AH145" s="1" t="str">
        <f>IF(Table1[[#This Row],[Included?]], Table35[[#This Row],[I Weighted Scale]]*AH$185+AH$186, "")</f>
        <v/>
      </c>
      <c r="AI145" s="1" t="str">
        <f>IF(Table1[[#This Row],[Included?]], Table35[[#This Row],[I OB Weighted Scale]]*AI$185+AI$186, "")</f>
        <v/>
      </c>
      <c r="AJ145" s="1" t="str">
        <f>IF(Table1[[#This Row],[Included?]], Table35[[#This Row],[I Z-score]]*AJ$185+AJ$186, "")</f>
        <v/>
      </c>
      <c r="AK145" s="1" t="str">
        <f>IF(Table1[[#This Row],[Included?]], Table35[[#This Row],[I OBMod Z-Score]]*AK$185+AK$186, "")</f>
        <v/>
      </c>
      <c r="AL145" s="1" t="str">
        <f>IF(Table1[[#This Row],[Included?]], AVERAGE(Table35[[#This Row],[I Tot Value]:[I OB Z Value]]), "")</f>
        <v/>
      </c>
    </row>
    <row r="146" spans="1:38" x14ac:dyDescent="0.25">
      <c r="A146" s="1">
        <f>(Table1[[#This Row],[R]]-Data!H$188)/(Data!H$187-Data!H$188)</f>
        <v>0.27812500000000007</v>
      </c>
      <c r="B146" s="1">
        <f>(Table1[[#This Row],[HR]]-Data!I$188)/(Data!I$187-Data!I$188)</f>
        <v>0.61266167460857723</v>
      </c>
      <c r="C146" s="1">
        <f>(Table1[[#This Row],[RBI]]-Data!J$188)/(Data!J$187-Data!J$188)</f>
        <v>0.15878475207795928</v>
      </c>
      <c r="D146" s="1">
        <f>(Table1[[#This Row],[SB]]-Data!K$188)/(Data!K$187-Data!K$188)</f>
        <v>1.5683814303638643E-2</v>
      </c>
      <c r="E146" s="1">
        <f>(Table1[[#This Row],[OBP]]-Data!L$188)/(Data!L$187-Data!L$188)</f>
        <v>0</v>
      </c>
      <c r="F146" s="1">
        <f>(Table1[[#This Row],[OB]]-Data!P$188)/(Data!P$187-Data!P$188)</f>
        <v>0.24217518017666034</v>
      </c>
      <c r="G146" s="1">
        <f>SUM(Table3[[#This Row],[R Scale]:[OBP Scale]])</f>
        <v>1.0652552409901752</v>
      </c>
      <c r="H146" s="1">
        <f>SUM(Table3[[#This Row],[R Scale]:[SB Scale]],Table3[[#This Row],[OB Scale]])</f>
        <v>1.3074304211668355</v>
      </c>
      <c r="I146" s="1">
        <f>Table3[[#This Row],[R Scale]]*Data!B$192+Table3[[#This Row],[HR Scale]]*Data!C$192+Table3[[#This Row],[RBI Scale]]*Data!D$192+Table3[[#This Row],[SB Scale]]*Data!E$192+Table3[[#This Row],[OBP Scale]]*Data!F$192</f>
        <v>1.0691996914057671</v>
      </c>
      <c r="J146" s="1">
        <f>Table3[[#This Row],[R Scale]]*Data!B$192+Table3[[#This Row],[HR Scale]]*Data!C$192+Table3[[#This Row],[RBI Scale]]*Data!D$192+Table3[[#This Row],[SB Scale]]*Data!E$192+Table3[[#This Row],[OB Scale]]*Data!F$192</f>
        <v>1.3598099076177594</v>
      </c>
      <c r="K14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-4.4669968228478769</v>
      </c>
      <c r="L14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-4.2828938500314226</v>
      </c>
      <c r="M146" s="1">
        <f ca="1">Table3[[#This Row],[Tot Scale]]*M$185+M$186</f>
        <v>-27.118799358474121</v>
      </c>
      <c r="N146" s="1">
        <f ca="1">Table3[[#This Row],[OB Tot Scale]]*N$185+N$186</f>
        <v>-19.835824847947471</v>
      </c>
      <c r="O146" s="1">
        <f ca="1">Table3[[#This Row],[Weighted Scale]]*O$185+O$186</f>
        <v>-29.420467051249069</v>
      </c>
      <c r="P146" s="1">
        <f ca="1">Table3[[#This Row],[OB Weighted Scale]]*P$185+P$186</f>
        <v>-21.467042508252732</v>
      </c>
      <c r="Q146" s="1">
        <f ca="1">Table3[[#This Row],[Z-score]]*Q$185+Q$186</f>
        <v>-31.416202921024148</v>
      </c>
      <c r="R146" s="1">
        <f ca="1">Table3[[#This Row],[OBMod Z-Score]]*R$185+R$186</f>
        <v>-29.529761665360699</v>
      </c>
      <c r="S146" s="1">
        <f ca="1">AVERAGE(Table3[[#This Row],[Tot Value]:[OB Z Value]])</f>
        <v>-26.464683058718038</v>
      </c>
      <c r="T146" s="1" t="str">
        <f>IF(Table1[[#This Row],[Included?]], (Table1[[#This Row],[I R]]-Data!S$188)/(Data!S$187-Data!S$188), "")</f>
        <v/>
      </c>
      <c r="U146" s="1" t="str">
        <f>IF(Table1[[#This Row],[Included?]], (Table1[[#This Row],[I HR]]-Data!T$188)/(Data!T$187-Data!T$188), "")</f>
        <v/>
      </c>
      <c r="V146" s="1" t="str">
        <f>IF(Table1[[#This Row],[Included?]], (Table1[[#This Row],[I RBI]]-Data!U$188)/(Data!U$187-Data!U$188), "")</f>
        <v/>
      </c>
      <c r="W146" s="1" t="str">
        <f>IF(Table1[[#This Row],[Included?]], (Table1[[#This Row],[I SB]]-Data!V$188)/(Data!V$187-Data!V$188), "")</f>
        <v/>
      </c>
      <c r="X146" s="1" t="str">
        <f>IF(Table1[[#This Row],[Included?]], (Table1[[#This Row],[I OBP]]-Data!W$188)/(Data!W$187-Data!W$188), "")</f>
        <v/>
      </c>
      <c r="Y146" s="1" t="str">
        <f>IF(Table1[[#This Row],[Included?]], (Table1[[#This Row],[I OB]]-Data!AA$188)/(Data!AA$187-Data!AA$188), "")</f>
        <v/>
      </c>
      <c r="Z146" s="1" t="str">
        <f>IF(Table1[[#This Row],[Included?]], SUM(Table35[[#This Row],[I R Scale]:[I OBP Scale]]), "")</f>
        <v/>
      </c>
      <c r="AA146" s="1" t="str">
        <f>IF(Table1[[#This Row],[Included?]], SUM(Table35[[#This Row],[I R Scale]:[I SB Scale]],Table35[[#This Row],[I OB Scale]]), "")</f>
        <v/>
      </c>
      <c r="AB14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6" s="1" t="str">
        <f>IF(Table1[[#This Row],[Included?]], Table35[[#This Row],[I Tot Scale]]*AF$185+AF$186, "")</f>
        <v/>
      </c>
      <c r="AG146" s="1" t="str">
        <f>IF(Table1[[#This Row],[Included?]], Table35[[#This Row],[I OB Tot Scale]]*AG$185+AG$186, "")</f>
        <v/>
      </c>
      <c r="AH146" s="1" t="str">
        <f>IF(Table1[[#This Row],[Included?]], Table35[[#This Row],[I Weighted Scale]]*AH$185+AH$186, "")</f>
        <v/>
      </c>
      <c r="AI146" s="1" t="str">
        <f>IF(Table1[[#This Row],[Included?]], Table35[[#This Row],[I OB Weighted Scale]]*AI$185+AI$186, "")</f>
        <v/>
      </c>
      <c r="AJ146" s="1" t="str">
        <f>IF(Table1[[#This Row],[Included?]], Table35[[#This Row],[I Z-score]]*AJ$185+AJ$186, "")</f>
        <v/>
      </c>
      <c r="AK146" s="1" t="str">
        <f>IF(Table1[[#This Row],[Included?]], Table35[[#This Row],[I OBMod Z-Score]]*AK$185+AK$186, "")</f>
        <v/>
      </c>
      <c r="AL146" s="1" t="str">
        <f>IF(Table1[[#This Row],[Included?]], AVERAGE(Table35[[#This Row],[I Tot Value]:[I OB Z Value]]), "")</f>
        <v/>
      </c>
    </row>
    <row r="147" spans="1:38" x14ac:dyDescent="0.25">
      <c r="A147" s="1">
        <f>(Table1[[#This Row],[R]]-Data!H$188)/(Data!H$187-Data!H$188)</f>
        <v>0.20056818181818184</v>
      </c>
      <c r="B147" s="1">
        <f>(Table1[[#This Row],[HR]]-Data!I$188)/(Data!I$187-Data!I$188)</f>
        <v>0.47855684138869975</v>
      </c>
      <c r="C147" s="1">
        <f>(Table1[[#This Row],[RBI]]-Data!J$188)/(Data!J$187-Data!J$188)</f>
        <v>0.16910289481226709</v>
      </c>
      <c r="D147" s="1">
        <f>(Table1[[#This Row],[SB]]-Data!K$188)/(Data!K$187-Data!K$188)</f>
        <v>8.1555834378920951E-3</v>
      </c>
      <c r="E147" s="1">
        <f>(Table1[[#This Row],[OBP]]-Data!L$188)/(Data!L$187-Data!L$188)</f>
        <v>0.14385336852274855</v>
      </c>
      <c r="F147" s="1">
        <f>(Table1[[#This Row],[OB]]-Data!P$188)/(Data!P$187-Data!P$188)</f>
        <v>0.28188814648817906</v>
      </c>
      <c r="G147" s="1">
        <f>SUM(Table3[[#This Row],[R Scale]:[OBP Scale]])</f>
        <v>1.0002368699797894</v>
      </c>
      <c r="H147" s="1">
        <f>SUM(Table3[[#This Row],[R Scale]:[SB Scale]],Table3[[#This Row],[OB Scale]])</f>
        <v>1.13827164794522</v>
      </c>
      <c r="I147" s="1">
        <f>Table3[[#This Row],[R Scale]]*Data!B$192+Table3[[#This Row],[HR Scale]]*Data!C$192+Table3[[#This Row],[RBI Scale]]*Data!D$192+Table3[[#This Row],[SB Scale]]*Data!E$192+Table3[[#This Row],[OBP Scale]]*Data!F$192</f>
        <v>1.0427713044649742</v>
      </c>
      <c r="J147" s="1">
        <f>Table3[[#This Row],[R Scale]]*Data!B$192+Table3[[#This Row],[HR Scale]]*Data!C$192+Table3[[#This Row],[RBI Scale]]*Data!D$192+Table3[[#This Row],[SB Scale]]*Data!E$192+Table3[[#This Row],[OB Scale]]*Data!F$192</f>
        <v>1.2084130380234908</v>
      </c>
      <c r="K14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-4.664798240293389</v>
      </c>
      <c r="L14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-4.5202485439050442</v>
      </c>
      <c r="M147" s="1">
        <f ca="1">Table3[[#This Row],[Tot Scale]]*M$185+M$186</f>
        <v>-29.520047610325619</v>
      </c>
      <c r="N147" s="1">
        <f ca="1">Table3[[#This Row],[OB Tot Scale]]*N$185+N$186</f>
        <v>-26.004704591927464</v>
      </c>
      <c r="O147" s="1">
        <f ca="1">Table3[[#This Row],[Weighted Scale]]*O$185+O$186</f>
        <v>-30.329451900406653</v>
      </c>
      <c r="P147" s="1">
        <f ca="1">Table3[[#This Row],[OB Weighted Scale]]*P$185+P$186</f>
        <v>-26.635826572700246</v>
      </c>
      <c r="Q147" s="1">
        <f ca="1">Table3[[#This Row],[Z-score]]*Q$185+Q$186</f>
        <v>-32.869600653484731</v>
      </c>
      <c r="R147" s="1">
        <f ca="1">Table3[[#This Row],[OBMod Z-Score]]*R$185+R$186</f>
        <v>-31.257825179666231</v>
      </c>
      <c r="S147" s="1">
        <f ca="1">AVERAGE(Table3[[#This Row],[Tot Value]:[OB Z Value]])</f>
        <v>-29.43624275141849</v>
      </c>
      <c r="T147" s="1" t="str">
        <f>IF(Table1[[#This Row],[Included?]], (Table1[[#This Row],[I R]]-Data!S$188)/(Data!S$187-Data!S$188), "")</f>
        <v/>
      </c>
      <c r="U147" s="1" t="str">
        <f>IF(Table1[[#This Row],[Included?]], (Table1[[#This Row],[I HR]]-Data!T$188)/(Data!T$187-Data!T$188), "")</f>
        <v/>
      </c>
      <c r="V147" s="1" t="str">
        <f>IF(Table1[[#This Row],[Included?]], (Table1[[#This Row],[I RBI]]-Data!U$188)/(Data!U$187-Data!U$188), "")</f>
        <v/>
      </c>
      <c r="W147" s="1" t="str">
        <f>IF(Table1[[#This Row],[Included?]], (Table1[[#This Row],[I SB]]-Data!V$188)/(Data!V$187-Data!V$188), "")</f>
        <v/>
      </c>
      <c r="X147" s="1" t="str">
        <f>IF(Table1[[#This Row],[Included?]], (Table1[[#This Row],[I OBP]]-Data!W$188)/(Data!W$187-Data!W$188), "")</f>
        <v/>
      </c>
      <c r="Y147" s="1" t="str">
        <f>IF(Table1[[#This Row],[Included?]], (Table1[[#This Row],[I OB]]-Data!AA$188)/(Data!AA$187-Data!AA$188), "")</f>
        <v/>
      </c>
      <c r="Z147" s="1" t="str">
        <f>IF(Table1[[#This Row],[Included?]], SUM(Table35[[#This Row],[I R Scale]:[I OBP Scale]]), "")</f>
        <v/>
      </c>
      <c r="AA147" s="1" t="str">
        <f>IF(Table1[[#This Row],[Included?]], SUM(Table35[[#This Row],[I R Scale]:[I SB Scale]],Table35[[#This Row],[I OB Scale]]), "")</f>
        <v/>
      </c>
      <c r="AB14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7" s="1" t="str">
        <f>IF(Table1[[#This Row],[Included?]], Table35[[#This Row],[I Tot Scale]]*AF$185+AF$186, "")</f>
        <v/>
      </c>
      <c r="AG147" s="1" t="str">
        <f>IF(Table1[[#This Row],[Included?]], Table35[[#This Row],[I OB Tot Scale]]*AG$185+AG$186, "")</f>
        <v/>
      </c>
      <c r="AH147" s="1" t="str">
        <f>IF(Table1[[#This Row],[Included?]], Table35[[#This Row],[I Weighted Scale]]*AH$185+AH$186, "")</f>
        <v/>
      </c>
      <c r="AI147" s="1" t="str">
        <f>IF(Table1[[#This Row],[Included?]], Table35[[#This Row],[I OB Weighted Scale]]*AI$185+AI$186, "")</f>
        <v/>
      </c>
      <c r="AJ147" s="1" t="str">
        <f>IF(Table1[[#This Row],[Included?]], Table35[[#This Row],[I Z-score]]*AJ$185+AJ$186, "")</f>
        <v/>
      </c>
      <c r="AK147" s="1" t="str">
        <f>IF(Table1[[#This Row],[Included?]], Table35[[#This Row],[I OBMod Z-Score]]*AK$185+AK$186, "")</f>
        <v/>
      </c>
      <c r="AL147" s="1" t="str">
        <f>IF(Table1[[#This Row],[Included?]], AVERAGE(Table35[[#This Row],[I Tot Value]:[I OB Z Value]]), "")</f>
        <v/>
      </c>
    </row>
    <row r="148" spans="1:38" x14ac:dyDescent="0.25">
      <c r="A148" s="1">
        <f>(Table1[[#This Row],[R]]-Data!H$188)/(Data!H$187-Data!H$188)</f>
        <v>0.19886363636363644</v>
      </c>
      <c r="B148" s="1">
        <f>(Table1[[#This Row],[HR]]-Data!I$188)/(Data!I$187-Data!I$188)</f>
        <v>0.15112321307011573</v>
      </c>
      <c r="C148" s="1">
        <f>(Table1[[#This Row],[RBI]]-Data!J$188)/(Data!J$187-Data!J$188)</f>
        <v>0.29750644883920901</v>
      </c>
      <c r="D148" s="1">
        <f>(Table1[[#This Row],[SB]]-Data!K$188)/(Data!K$187-Data!K$188)</f>
        <v>1.9134253450439141E-2</v>
      </c>
      <c r="E148" s="1">
        <f>(Table1[[#This Row],[OBP]]-Data!L$188)/(Data!L$187-Data!L$188)</f>
        <v>0.40385361687322208</v>
      </c>
      <c r="F148" s="1">
        <f>(Table1[[#This Row],[OB]]-Data!P$188)/(Data!P$187-Data!P$188)</f>
        <v>0.31771766210295144</v>
      </c>
      <c r="G148" s="1">
        <f>SUM(Table3[[#This Row],[R Scale]:[OBP Scale]])</f>
        <v>1.0704811685966225</v>
      </c>
      <c r="H148" s="1">
        <f>SUM(Table3[[#This Row],[R Scale]:[SB Scale]],Table3[[#This Row],[OB Scale]])</f>
        <v>0.98434521382635176</v>
      </c>
      <c r="I148" s="1">
        <f>Table3[[#This Row],[R Scale]]*Data!B$192+Table3[[#This Row],[HR Scale]]*Data!C$192+Table3[[#This Row],[RBI Scale]]*Data!D$192+Table3[[#This Row],[SB Scale]]*Data!E$192+Table3[[#This Row],[OBP Scale]]*Data!F$192</f>
        <v>1.1908668181027449</v>
      </c>
      <c r="J148" s="1">
        <f>Table3[[#This Row],[R Scale]]*Data!B$192+Table3[[#This Row],[HR Scale]]*Data!C$192+Table3[[#This Row],[RBI Scale]]*Data!D$192+Table3[[#This Row],[SB Scale]]*Data!E$192+Table3[[#This Row],[OB Scale]]*Data!F$192</f>
        <v>1.0875036723784202</v>
      </c>
      <c r="K14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-3.9830342316372152</v>
      </c>
      <c r="L14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-3.9798221823389879</v>
      </c>
      <c r="M148" s="1">
        <f ca="1">Table3[[#This Row],[Tot Scale]]*M$185+M$186</f>
        <v>-26.925796222063958</v>
      </c>
      <c r="N148" s="1">
        <f ca="1">Table3[[#This Row],[OB Tot Scale]]*N$185+N$186</f>
        <v>-31.6180916094305</v>
      </c>
      <c r="O148" s="1">
        <f ca="1">Table3[[#This Row],[Weighted Scale]]*O$185+O$186</f>
        <v>-25.23581609030127</v>
      </c>
      <c r="P148" s="1">
        <f ca="1">Table3[[#This Row],[OB Weighted Scale]]*P$185+P$186</f>
        <v>-30.763748134510116</v>
      </c>
      <c r="Q148" s="1">
        <f ca="1">Table3[[#This Row],[Z-score]]*Q$185+Q$186</f>
        <v>-27.860160999054177</v>
      </c>
      <c r="R148" s="1">
        <f ca="1">Table3[[#This Row],[OBMod Z-Score]]*R$185+R$186</f>
        <v>-27.323244985147568</v>
      </c>
      <c r="S148" s="1">
        <f ca="1">AVERAGE(Table3[[#This Row],[Tot Value]:[OB Z Value]])</f>
        <v>-28.287809673417936</v>
      </c>
      <c r="T148" s="1" t="str">
        <f>IF(Table1[[#This Row],[Included?]], (Table1[[#This Row],[I R]]-Data!S$188)/(Data!S$187-Data!S$188), "")</f>
        <v/>
      </c>
      <c r="U148" s="1" t="str">
        <f>IF(Table1[[#This Row],[Included?]], (Table1[[#This Row],[I HR]]-Data!T$188)/(Data!T$187-Data!T$188), "")</f>
        <v/>
      </c>
      <c r="V148" s="1" t="str">
        <f>IF(Table1[[#This Row],[Included?]], (Table1[[#This Row],[I RBI]]-Data!U$188)/(Data!U$187-Data!U$188), "")</f>
        <v/>
      </c>
      <c r="W148" s="1" t="str">
        <f>IF(Table1[[#This Row],[Included?]], (Table1[[#This Row],[I SB]]-Data!V$188)/(Data!V$187-Data!V$188), "")</f>
        <v/>
      </c>
      <c r="X148" s="1" t="str">
        <f>IF(Table1[[#This Row],[Included?]], (Table1[[#This Row],[I OBP]]-Data!W$188)/(Data!W$187-Data!W$188), "")</f>
        <v/>
      </c>
      <c r="Y148" s="1" t="str">
        <f>IF(Table1[[#This Row],[Included?]], (Table1[[#This Row],[I OB]]-Data!AA$188)/(Data!AA$187-Data!AA$188), "")</f>
        <v/>
      </c>
      <c r="Z148" s="1" t="str">
        <f>IF(Table1[[#This Row],[Included?]], SUM(Table35[[#This Row],[I R Scale]:[I OBP Scale]]), "")</f>
        <v/>
      </c>
      <c r="AA148" s="1" t="str">
        <f>IF(Table1[[#This Row],[Included?]], SUM(Table35[[#This Row],[I R Scale]:[I SB Scale]],Table35[[#This Row],[I OB Scale]]), "")</f>
        <v/>
      </c>
      <c r="AB14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8" s="1" t="str">
        <f>IF(Table1[[#This Row],[Included?]], Table35[[#This Row],[I Tot Scale]]*AF$185+AF$186, "")</f>
        <v/>
      </c>
      <c r="AG148" s="1" t="str">
        <f>IF(Table1[[#This Row],[Included?]], Table35[[#This Row],[I OB Tot Scale]]*AG$185+AG$186, "")</f>
        <v/>
      </c>
      <c r="AH148" s="1" t="str">
        <f>IF(Table1[[#This Row],[Included?]], Table35[[#This Row],[I Weighted Scale]]*AH$185+AH$186, "")</f>
        <v/>
      </c>
      <c r="AI148" s="1" t="str">
        <f>IF(Table1[[#This Row],[Included?]], Table35[[#This Row],[I OB Weighted Scale]]*AI$185+AI$186, "")</f>
        <v/>
      </c>
      <c r="AJ148" s="1" t="str">
        <f>IF(Table1[[#This Row],[Included?]], Table35[[#This Row],[I Z-score]]*AJ$185+AJ$186, "")</f>
        <v/>
      </c>
      <c r="AK148" s="1" t="str">
        <f>IF(Table1[[#This Row],[Included?]], Table35[[#This Row],[I OBMod Z-Score]]*AK$185+AK$186, "")</f>
        <v/>
      </c>
      <c r="AL148" s="1" t="str">
        <f>IF(Table1[[#This Row],[Included?]], AVERAGE(Table35[[#This Row],[I Tot Value]:[I OB Z Value]]), "")</f>
        <v/>
      </c>
    </row>
    <row r="149" spans="1:38" x14ac:dyDescent="0.25">
      <c r="A149" s="1">
        <f>(Table1[[#This Row],[R]]-Data!H$188)/(Data!H$187-Data!H$188)</f>
        <v>0.15965909090909089</v>
      </c>
      <c r="B149" s="1">
        <f>(Table1[[#This Row],[HR]]-Data!I$188)/(Data!I$187-Data!I$188)</f>
        <v>0.30292716133424097</v>
      </c>
      <c r="C149" s="1">
        <f>(Table1[[#This Row],[RBI]]-Data!J$188)/(Data!J$187-Data!J$188)</f>
        <v>0.24018343364860989</v>
      </c>
      <c r="D149" s="1">
        <f>(Table1[[#This Row],[SB]]-Data!K$188)/(Data!K$187-Data!K$188)</f>
        <v>1.1606022584692595E-2</v>
      </c>
      <c r="E149" s="1">
        <f>(Table1[[#This Row],[OBP]]-Data!L$188)/(Data!L$187-Data!L$188)</f>
        <v>0.21047241763098748</v>
      </c>
      <c r="F149" s="1">
        <f>(Table1[[#This Row],[OB]]-Data!P$188)/(Data!P$187-Data!P$188)</f>
        <v>0.2539720422217514</v>
      </c>
      <c r="G149" s="1">
        <f>SUM(Table3[[#This Row],[R Scale]:[OBP Scale]])</f>
        <v>0.92484812610762168</v>
      </c>
      <c r="H149" s="1">
        <f>SUM(Table3[[#This Row],[R Scale]:[SB Scale]],Table3[[#This Row],[OB Scale]])</f>
        <v>0.96834775069838563</v>
      </c>
      <c r="I149" s="1">
        <f>Table3[[#This Row],[R Scale]]*Data!B$192+Table3[[#This Row],[HR Scale]]*Data!C$192+Table3[[#This Row],[RBI Scale]]*Data!D$192+Table3[[#This Row],[SB Scale]]*Data!E$192+Table3[[#This Row],[OBP Scale]]*Data!F$192</f>
        <v>0.99901338727263211</v>
      </c>
      <c r="J149" s="1">
        <f>Table3[[#This Row],[R Scale]]*Data!B$192+Table3[[#This Row],[HR Scale]]*Data!C$192+Table3[[#This Row],[RBI Scale]]*Data!D$192+Table3[[#This Row],[SB Scale]]*Data!E$192+Table3[[#This Row],[OB Scale]]*Data!F$192</f>
        <v>1.0512129367815488</v>
      </c>
      <c r="K14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-4.9185527517735563</v>
      </c>
      <c r="L14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-4.7315388874253603</v>
      </c>
      <c r="M149" s="1">
        <f ca="1">Table3[[#This Row],[Tot Scale]]*M$185+M$186</f>
        <v>-32.304292841621972</v>
      </c>
      <c r="N149" s="1">
        <f ca="1">Table3[[#This Row],[OB Tot Scale]]*N$185+N$186</f>
        <v>-32.201486868013319</v>
      </c>
      <c r="O149" s="1">
        <f ca="1">Table3[[#This Row],[Weighted Scale]]*O$185+O$186</f>
        <v>-31.834473143195297</v>
      </c>
      <c r="P149" s="1">
        <f ca="1">Table3[[#This Row],[OB Weighted Scale]]*P$185+P$186</f>
        <v>-32.002736604634251</v>
      </c>
      <c r="Q149" s="1">
        <f ca="1">Table3[[#This Row],[Z-score]]*Q$185+Q$186</f>
        <v>-34.734128402324103</v>
      </c>
      <c r="R149" s="1">
        <f ca="1">Table3[[#This Row],[OBMod Z-Score]]*R$185+R$186</f>
        <v>-32.796126898514686</v>
      </c>
      <c r="S149" s="1">
        <f ca="1">AVERAGE(Table3[[#This Row],[Tot Value]:[OB Z Value]])</f>
        <v>-32.645540793050607</v>
      </c>
      <c r="T149" s="1" t="str">
        <f>IF(Table1[[#This Row],[Included?]], (Table1[[#This Row],[I R]]-Data!S$188)/(Data!S$187-Data!S$188), "")</f>
        <v/>
      </c>
      <c r="U149" s="1" t="str">
        <f>IF(Table1[[#This Row],[Included?]], (Table1[[#This Row],[I HR]]-Data!T$188)/(Data!T$187-Data!T$188), "")</f>
        <v/>
      </c>
      <c r="V149" s="1" t="str">
        <f>IF(Table1[[#This Row],[Included?]], (Table1[[#This Row],[I RBI]]-Data!U$188)/(Data!U$187-Data!U$188), "")</f>
        <v/>
      </c>
      <c r="W149" s="1" t="str">
        <f>IF(Table1[[#This Row],[Included?]], (Table1[[#This Row],[I SB]]-Data!V$188)/(Data!V$187-Data!V$188), "")</f>
        <v/>
      </c>
      <c r="X149" s="1" t="str">
        <f>IF(Table1[[#This Row],[Included?]], (Table1[[#This Row],[I OBP]]-Data!W$188)/(Data!W$187-Data!W$188), "")</f>
        <v/>
      </c>
      <c r="Y149" s="1" t="str">
        <f>IF(Table1[[#This Row],[Included?]], (Table1[[#This Row],[I OB]]-Data!AA$188)/(Data!AA$187-Data!AA$188), "")</f>
        <v/>
      </c>
      <c r="Z149" s="1" t="str">
        <f>IF(Table1[[#This Row],[Included?]], SUM(Table35[[#This Row],[I R Scale]:[I OBP Scale]]), "")</f>
        <v/>
      </c>
      <c r="AA149" s="1" t="str">
        <f>IF(Table1[[#This Row],[Included?]], SUM(Table35[[#This Row],[I R Scale]:[I SB Scale]],Table35[[#This Row],[I OB Scale]]), "")</f>
        <v/>
      </c>
      <c r="AB14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4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4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4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49" s="1" t="str">
        <f>IF(Table1[[#This Row],[Included?]], Table35[[#This Row],[I Tot Scale]]*AF$185+AF$186, "")</f>
        <v/>
      </c>
      <c r="AG149" s="1" t="str">
        <f>IF(Table1[[#This Row],[Included?]], Table35[[#This Row],[I OB Tot Scale]]*AG$185+AG$186, "")</f>
        <v/>
      </c>
      <c r="AH149" s="1" t="str">
        <f>IF(Table1[[#This Row],[Included?]], Table35[[#This Row],[I Weighted Scale]]*AH$185+AH$186, "")</f>
        <v/>
      </c>
      <c r="AI149" s="1" t="str">
        <f>IF(Table1[[#This Row],[Included?]], Table35[[#This Row],[I OB Weighted Scale]]*AI$185+AI$186, "")</f>
        <v/>
      </c>
      <c r="AJ149" s="1" t="str">
        <f>IF(Table1[[#This Row],[Included?]], Table35[[#This Row],[I Z-score]]*AJ$185+AJ$186, "")</f>
        <v/>
      </c>
      <c r="AK149" s="1" t="str">
        <f>IF(Table1[[#This Row],[Included?]], Table35[[#This Row],[I OBMod Z-Score]]*AK$185+AK$186, "")</f>
        <v/>
      </c>
      <c r="AL149" s="1" t="str">
        <f>IF(Table1[[#This Row],[Included?]], AVERAGE(Table35[[#This Row],[I Tot Value]:[I OB Z Value]]), "")</f>
        <v/>
      </c>
    </row>
    <row r="150" spans="1:38" x14ac:dyDescent="0.25">
      <c r="A150" s="1">
        <f>(Table1[[#This Row],[R]]-Data!H$188)/(Data!H$187-Data!H$188)</f>
        <v>0.17556818181818187</v>
      </c>
      <c r="B150" s="1">
        <f>(Table1[[#This Row],[HR]]-Data!I$188)/(Data!I$187-Data!I$188)</f>
        <v>0.40639891082368956</v>
      </c>
      <c r="C150" s="1">
        <f>(Table1[[#This Row],[RBI]]-Data!J$188)/(Data!J$187-Data!J$188)</f>
        <v>0.24734881054743479</v>
      </c>
      <c r="D150" s="1">
        <f>(Table1[[#This Row],[SB]]-Data!K$188)/(Data!K$187-Data!K$188)</f>
        <v>1.7565872020075278E-2</v>
      </c>
      <c r="E150" s="1">
        <f>(Table1[[#This Row],[OBP]]-Data!L$188)/(Data!L$187-Data!L$188)</f>
        <v>0.25224735876094612</v>
      </c>
      <c r="F150" s="1">
        <f>(Table1[[#This Row],[OB]]-Data!P$188)/(Data!P$187-Data!P$188)</f>
        <v>0.18016986235786853</v>
      </c>
      <c r="G150" s="1">
        <f>SUM(Table3[[#This Row],[R Scale]:[OBP Scale]])</f>
        <v>1.0991291339703277</v>
      </c>
      <c r="H150" s="1">
        <f>SUM(Table3[[#This Row],[R Scale]:[SB Scale]],Table3[[#This Row],[OB Scale]])</f>
        <v>1.02705163756725</v>
      </c>
      <c r="I150" s="1">
        <f>Table3[[#This Row],[R Scale]]*Data!B$192+Table3[[#This Row],[HR Scale]]*Data!C$192+Table3[[#This Row],[RBI Scale]]*Data!D$192+Table3[[#This Row],[SB Scale]]*Data!E$192+Table3[[#This Row],[OBP Scale]]*Data!F$192</f>
        <v>1.1814915496501857</v>
      </c>
      <c r="J150" s="1">
        <f>Table3[[#This Row],[R Scale]]*Data!B$192+Table3[[#This Row],[HR Scale]]*Data!C$192+Table3[[#This Row],[RBI Scale]]*Data!D$192+Table3[[#This Row],[SB Scale]]*Data!E$192+Table3[[#This Row],[OB Scale]]*Data!F$192</f>
        <v>1.0949985539664924</v>
      </c>
      <c r="K15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-4.0610109668725638</v>
      </c>
      <c r="L15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-3.8014999519563002</v>
      </c>
      <c r="M150" s="1">
        <f ca="1">Table3[[#This Row],[Tot Scale]]*M$185+M$186</f>
        <v>-25.867774070728856</v>
      </c>
      <c r="N150" s="1">
        <f ca="1">Table3[[#This Row],[OB Tot Scale]]*N$185+N$186</f>
        <v>-30.060674353821142</v>
      </c>
      <c r="O150" s="1">
        <f ca="1">Table3[[#This Row],[Weighted Scale]]*O$185+O$186</f>
        <v>-25.558271524272818</v>
      </c>
      <c r="P150" s="1">
        <f ca="1">Table3[[#This Row],[OB Weighted Scale]]*P$185+P$186</f>
        <v>-30.507868177274752</v>
      </c>
      <c r="Q150" s="1">
        <f ca="1">Table3[[#This Row],[Z-score]]*Q$185+Q$186</f>
        <v>-28.433115488659663</v>
      </c>
      <c r="R150" s="1">
        <f ca="1">Table3[[#This Row],[OBMod Z-Score]]*R$185+R$186</f>
        <v>-26.024967984238618</v>
      </c>
      <c r="S150" s="1">
        <f ca="1">AVERAGE(Table3[[#This Row],[Tot Value]:[OB Z Value]])</f>
        <v>-27.742111933165976</v>
      </c>
      <c r="T150" s="1" t="str">
        <f>IF(Table1[[#This Row],[Included?]], (Table1[[#This Row],[I R]]-Data!S$188)/(Data!S$187-Data!S$188), "")</f>
        <v/>
      </c>
      <c r="U150" s="1" t="str">
        <f>IF(Table1[[#This Row],[Included?]], (Table1[[#This Row],[I HR]]-Data!T$188)/(Data!T$187-Data!T$188), "")</f>
        <v/>
      </c>
      <c r="V150" s="1" t="str">
        <f>IF(Table1[[#This Row],[Included?]], (Table1[[#This Row],[I RBI]]-Data!U$188)/(Data!U$187-Data!U$188), "")</f>
        <v/>
      </c>
      <c r="W150" s="1" t="str">
        <f>IF(Table1[[#This Row],[Included?]], (Table1[[#This Row],[I SB]]-Data!V$188)/(Data!V$187-Data!V$188), "")</f>
        <v/>
      </c>
      <c r="X150" s="1" t="str">
        <f>IF(Table1[[#This Row],[Included?]], (Table1[[#This Row],[I OBP]]-Data!W$188)/(Data!W$187-Data!W$188), "")</f>
        <v/>
      </c>
      <c r="Y150" s="1" t="str">
        <f>IF(Table1[[#This Row],[Included?]], (Table1[[#This Row],[I OB]]-Data!AA$188)/(Data!AA$187-Data!AA$188), "")</f>
        <v/>
      </c>
      <c r="Z150" s="1" t="str">
        <f>IF(Table1[[#This Row],[Included?]], SUM(Table35[[#This Row],[I R Scale]:[I OBP Scale]]), "")</f>
        <v/>
      </c>
      <c r="AA150" s="1" t="str">
        <f>IF(Table1[[#This Row],[Included?]], SUM(Table35[[#This Row],[I R Scale]:[I SB Scale]],Table35[[#This Row],[I OB Scale]]), "")</f>
        <v/>
      </c>
      <c r="AB15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0" s="1" t="str">
        <f>IF(Table1[[#This Row],[Included?]], Table35[[#This Row],[I Tot Scale]]*AF$185+AF$186, "")</f>
        <v/>
      </c>
      <c r="AG150" s="1" t="str">
        <f>IF(Table1[[#This Row],[Included?]], Table35[[#This Row],[I OB Tot Scale]]*AG$185+AG$186, "")</f>
        <v/>
      </c>
      <c r="AH150" s="1" t="str">
        <f>IF(Table1[[#This Row],[Included?]], Table35[[#This Row],[I Weighted Scale]]*AH$185+AH$186, "")</f>
        <v/>
      </c>
      <c r="AI150" s="1" t="str">
        <f>IF(Table1[[#This Row],[Included?]], Table35[[#This Row],[I OB Weighted Scale]]*AI$185+AI$186, "")</f>
        <v/>
      </c>
      <c r="AJ150" s="1" t="str">
        <f>IF(Table1[[#This Row],[Included?]], Table35[[#This Row],[I Z-score]]*AJ$185+AJ$186, "")</f>
        <v/>
      </c>
      <c r="AK150" s="1" t="str">
        <f>IF(Table1[[#This Row],[Included?]], Table35[[#This Row],[I OBMod Z-Score]]*AK$185+AK$186, "")</f>
        <v/>
      </c>
      <c r="AL150" s="1" t="str">
        <f>IF(Table1[[#This Row],[Included?]], AVERAGE(Table35[[#This Row],[I Tot Value]:[I OB Z Value]]), "")</f>
        <v/>
      </c>
    </row>
    <row r="151" spans="1:38" x14ac:dyDescent="0.25">
      <c r="A151" s="1">
        <f>(Table1[[#This Row],[R]]-Data!H$188)/(Data!H$187-Data!H$188)</f>
        <v>0.20085227272727271</v>
      </c>
      <c r="B151" s="1">
        <f>(Table1[[#This Row],[HR]]-Data!I$188)/(Data!I$187-Data!I$188)</f>
        <v>0.3213070115724983</v>
      </c>
      <c r="C151" s="1">
        <f>(Table1[[#This Row],[RBI]]-Data!J$188)/(Data!J$187-Data!J$188)</f>
        <v>0.13499570077386075</v>
      </c>
      <c r="D151" s="1">
        <f>(Table1[[#This Row],[SB]]-Data!K$188)/(Data!K$187-Data!K$188)</f>
        <v>0</v>
      </c>
      <c r="E151" s="1">
        <f>(Table1[[#This Row],[OBP]]-Data!L$188)/(Data!L$187-Data!L$188)</f>
        <v>5.789257546877892E-2</v>
      </c>
      <c r="F151" s="1">
        <f>(Table1[[#This Row],[OB]]-Data!P$188)/(Data!P$187-Data!P$188)</f>
        <v>0.26946593936017993</v>
      </c>
      <c r="G151" s="1">
        <f>SUM(Table3[[#This Row],[R Scale]:[OBP Scale]])</f>
        <v>0.7150475605424107</v>
      </c>
      <c r="H151" s="1">
        <f>SUM(Table3[[#This Row],[R Scale]:[SB Scale]],Table3[[#This Row],[OB Scale]])</f>
        <v>0.92662092443381172</v>
      </c>
      <c r="I151" s="1">
        <f>Table3[[#This Row],[R Scale]]*Data!B$192+Table3[[#This Row],[HR Scale]]*Data!C$192+Table3[[#This Row],[RBI Scale]]*Data!D$192+Table3[[#This Row],[SB Scale]]*Data!E$192+Table3[[#This Row],[OBP Scale]]*Data!F$192</f>
        <v>0.73353998851821145</v>
      </c>
      <c r="J151" s="1">
        <f>Table3[[#This Row],[R Scale]]*Data!B$192+Table3[[#This Row],[HR Scale]]*Data!C$192+Table3[[#This Row],[RBI Scale]]*Data!D$192+Table3[[#This Row],[SB Scale]]*Data!E$192+Table3[[#This Row],[OB Scale]]*Data!F$192</f>
        <v>0.98742802518789263</v>
      </c>
      <c r="K15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-6.0757862781402547</v>
      </c>
      <c r="L15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-5.9347771908628708</v>
      </c>
      <c r="M151" s="1">
        <f ca="1">Table3[[#This Row],[Tot Scale]]*M$185+M$186</f>
        <v>-40.052614330950682</v>
      </c>
      <c r="N151" s="1">
        <f ca="1">Table3[[#This Row],[OB Tot Scale]]*N$185+N$186</f>
        <v>-33.723180176742105</v>
      </c>
      <c r="O151" s="1">
        <f ca="1">Table3[[#This Row],[Weighted Scale]]*O$185+O$186</f>
        <v>-40.965234618072472</v>
      </c>
      <c r="P151" s="1">
        <f ca="1">Table3[[#This Row],[OB Weighted Scale]]*P$185+P$186</f>
        <v>-34.180393484073221</v>
      </c>
      <c r="Q151" s="1">
        <f ca="1">Table3[[#This Row],[Z-score]]*Q$185+Q$186</f>
        <v>-43.237204896262952</v>
      </c>
      <c r="R151" s="1">
        <f ca="1">Table3[[#This Row],[OBMod Z-Score]]*R$185+R$186</f>
        <v>-41.55631687938925</v>
      </c>
      <c r="S151" s="1">
        <f ca="1">AVERAGE(Table3[[#This Row],[Tot Value]:[OB Z Value]])</f>
        <v>-38.952490730915109</v>
      </c>
      <c r="T151" s="1" t="str">
        <f>IF(Table1[[#This Row],[Included?]], (Table1[[#This Row],[I R]]-Data!S$188)/(Data!S$187-Data!S$188), "")</f>
        <v/>
      </c>
      <c r="U151" s="1" t="str">
        <f>IF(Table1[[#This Row],[Included?]], (Table1[[#This Row],[I HR]]-Data!T$188)/(Data!T$187-Data!T$188), "")</f>
        <v/>
      </c>
      <c r="V151" s="1" t="str">
        <f>IF(Table1[[#This Row],[Included?]], (Table1[[#This Row],[I RBI]]-Data!U$188)/(Data!U$187-Data!U$188), "")</f>
        <v/>
      </c>
      <c r="W151" s="1" t="str">
        <f>IF(Table1[[#This Row],[Included?]], (Table1[[#This Row],[I SB]]-Data!V$188)/(Data!V$187-Data!V$188), "")</f>
        <v/>
      </c>
      <c r="X151" s="1" t="str">
        <f>IF(Table1[[#This Row],[Included?]], (Table1[[#This Row],[I OBP]]-Data!W$188)/(Data!W$187-Data!W$188), "")</f>
        <v/>
      </c>
      <c r="Y151" s="1" t="str">
        <f>IF(Table1[[#This Row],[Included?]], (Table1[[#This Row],[I OB]]-Data!AA$188)/(Data!AA$187-Data!AA$188), "")</f>
        <v/>
      </c>
      <c r="Z151" s="1" t="str">
        <f>IF(Table1[[#This Row],[Included?]], SUM(Table35[[#This Row],[I R Scale]:[I OBP Scale]]), "")</f>
        <v/>
      </c>
      <c r="AA151" s="1" t="str">
        <f>IF(Table1[[#This Row],[Included?]], SUM(Table35[[#This Row],[I R Scale]:[I SB Scale]],Table35[[#This Row],[I OB Scale]]), "")</f>
        <v/>
      </c>
      <c r="AB15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1" s="1" t="str">
        <f>IF(Table1[[#This Row],[Included?]], Table35[[#This Row],[I Tot Scale]]*AF$185+AF$186, "")</f>
        <v/>
      </c>
      <c r="AG151" s="1" t="str">
        <f>IF(Table1[[#This Row],[Included?]], Table35[[#This Row],[I OB Tot Scale]]*AG$185+AG$186, "")</f>
        <v/>
      </c>
      <c r="AH151" s="1" t="str">
        <f>IF(Table1[[#This Row],[Included?]], Table35[[#This Row],[I Weighted Scale]]*AH$185+AH$186, "")</f>
        <v/>
      </c>
      <c r="AI151" s="1" t="str">
        <f>IF(Table1[[#This Row],[Included?]], Table35[[#This Row],[I OB Weighted Scale]]*AI$185+AI$186, "")</f>
        <v/>
      </c>
      <c r="AJ151" s="1" t="str">
        <f>IF(Table1[[#This Row],[Included?]], Table35[[#This Row],[I Z-score]]*AJ$185+AJ$186, "")</f>
        <v/>
      </c>
      <c r="AK151" s="1" t="str">
        <f>IF(Table1[[#This Row],[Included?]], Table35[[#This Row],[I OBMod Z-Score]]*AK$185+AK$186, "")</f>
        <v/>
      </c>
      <c r="AL151" s="1" t="str">
        <f>IF(Table1[[#This Row],[Included?]], AVERAGE(Table35[[#This Row],[I Tot Value]:[I OB Z Value]]), "")</f>
        <v/>
      </c>
    </row>
    <row r="152" spans="1:38" x14ac:dyDescent="0.25">
      <c r="A152" s="1">
        <f>(Table1[[#This Row],[R]]-Data!H$188)/(Data!H$187-Data!H$188)</f>
        <v>0.16193181818181823</v>
      </c>
      <c r="B152" s="1">
        <f>(Table1[[#This Row],[HR]]-Data!I$188)/(Data!I$187-Data!I$188)</f>
        <v>0.4234172906739278</v>
      </c>
      <c r="C152" s="1">
        <f>(Table1[[#This Row],[RBI]]-Data!J$188)/(Data!J$187-Data!J$188)</f>
        <v>0.12897678417884781</v>
      </c>
      <c r="D152" s="1">
        <f>(Table1[[#This Row],[SB]]-Data!K$188)/(Data!K$187-Data!K$188)</f>
        <v>5.9598494353826845E-3</v>
      </c>
      <c r="E152" s="1">
        <f>(Table1[[#This Row],[OBP]]-Data!L$188)/(Data!L$187-Data!L$188)</f>
        <v>0.26756956374201812</v>
      </c>
      <c r="F152" s="1">
        <f>(Table1[[#This Row],[OB]]-Data!P$188)/(Data!P$187-Data!P$188)</f>
        <v>0.19144769205125248</v>
      </c>
      <c r="G152" s="1">
        <f>SUM(Table3[[#This Row],[R Scale]:[OBP Scale]])</f>
        <v>0.98785530621199469</v>
      </c>
      <c r="H152" s="1">
        <f>SUM(Table3[[#This Row],[R Scale]:[SB Scale]],Table3[[#This Row],[OB Scale]])</f>
        <v>0.91173343452122901</v>
      </c>
      <c r="I152" s="1">
        <f>Table3[[#This Row],[R Scale]]*Data!B$192+Table3[[#This Row],[HR Scale]]*Data!C$192+Table3[[#This Row],[RBI Scale]]*Data!D$192+Table3[[#This Row],[SB Scale]]*Data!E$192+Table3[[#This Row],[OBP Scale]]*Data!F$192</f>
        <v>1.0509713939779859</v>
      </c>
      <c r="J152" s="1">
        <f>Table3[[#This Row],[R Scale]]*Data!B$192+Table3[[#This Row],[HR Scale]]*Data!C$192+Table3[[#This Row],[RBI Scale]]*Data!D$192+Table3[[#This Row],[SB Scale]]*Data!E$192+Table3[[#This Row],[OB Scale]]*Data!F$192</f>
        <v>0.95962514794906717</v>
      </c>
      <c r="K15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-4.6305780941677854</v>
      </c>
      <c r="L15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-4.4027385645830446</v>
      </c>
      <c r="M152" s="1">
        <f ca="1">Table3[[#This Row],[Tot Scale]]*M$185+M$186</f>
        <v>-29.97732157598459</v>
      </c>
      <c r="N152" s="1">
        <f ca="1">Table3[[#This Row],[OB Tot Scale]]*N$185+N$186</f>
        <v>-34.26609694784046</v>
      </c>
      <c r="O152" s="1">
        <f ca="1">Table3[[#This Row],[Weighted Scale]]*O$185+O$186</f>
        <v>-30.0474158780886</v>
      </c>
      <c r="P152" s="1">
        <f ca="1">Table3[[#This Row],[OB Weighted Scale]]*P$185+P$186</f>
        <v>-35.129601147368732</v>
      </c>
      <c r="Q152" s="1">
        <f ca="1">Table3[[#This Row],[Z-score]]*Q$185+Q$186</f>
        <v>-32.618159165219751</v>
      </c>
      <c r="R152" s="1">
        <f ca="1">Table3[[#This Row],[OBMod Z-Score]]*R$185+R$186</f>
        <v>-30.402292455542959</v>
      </c>
      <c r="S152" s="1">
        <f ca="1">AVERAGE(Table3[[#This Row],[Tot Value]:[OB Z Value]])</f>
        <v>-32.073481195007517</v>
      </c>
      <c r="T152" s="1" t="str">
        <f>IF(Table1[[#This Row],[Included?]], (Table1[[#This Row],[I R]]-Data!S$188)/(Data!S$187-Data!S$188), "")</f>
        <v/>
      </c>
      <c r="U152" s="1" t="str">
        <f>IF(Table1[[#This Row],[Included?]], (Table1[[#This Row],[I HR]]-Data!T$188)/(Data!T$187-Data!T$188), "")</f>
        <v/>
      </c>
      <c r="V152" s="1" t="str">
        <f>IF(Table1[[#This Row],[Included?]], (Table1[[#This Row],[I RBI]]-Data!U$188)/(Data!U$187-Data!U$188), "")</f>
        <v/>
      </c>
      <c r="W152" s="1" t="str">
        <f>IF(Table1[[#This Row],[Included?]], (Table1[[#This Row],[I SB]]-Data!V$188)/(Data!V$187-Data!V$188), "")</f>
        <v/>
      </c>
      <c r="X152" s="1" t="str">
        <f>IF(Table1[[#This Row],[Included?]], (Table1[[#This Row],[I OBP]]-Data!W$188)/(Data!W$187-Data!W$188), "")</f>
        <v/>
      </c>
      <c r="Y152" s="1" t="str">
        <f>IF(Table1[[#This Row],[Included?]], (Table1[[#This Row],[I OB]]-Data!AA$188)/(Data!AA$187-Data!AA$188), "")</f>
        <v/>
      </c>
      <c r="Z152" s="1" t="str">
        <f>IF(Table1[[#This Row],[Included?]], SUM(Table35[[#This Row],[I R Scale]:[I OBP Scale]]), "")</f>
        <v/>
      </c>
      <c r="AA152" s="1" t="str">
        <f>IF(Table1[[#This Row],[Included?]], SUM(Table35[[#This Row],[I R Scale]:[I SB Scale]],Table35[[#This Row],[I OB Scale]]), "")</f>
        <v/>
      </c>
      <c r="AB15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2" s="1" t="str">
        <f>IF(Table1[[#This Row],[Included?]], Table35[[#This Row],[I Tot Scale]]*AF$185+AF$186, "")</f>
        <v/>
      </c>
      <c r="AG152" s="1" t="str">
        <f>IF(Table1[[#This Row],[Included?]], Table35[[#This Row],[I OB Tot Scale]]*AG$185+AG$186, "")</f>
        <v/>
      </c>
      <c r="AH152" s="1" t="str">
        <f>IF(Table1[[#This Row],[Included?]], Table35[[#This Row],[I Weighted Scale]]*AH$185+AH$186, "")</f>
        <v/>
      </c>
      <c r="AI152" s="1" t="str">
        <f>IF(Table1[[#This Row],[Included?]], Table35[[#This Row],[I OB Weighted Scale]]*AI$185+AI$186, "")</f>
        <v/>
      </c>
      <c r="AJ152" s="1" t="str">
        <f>IF(Table1[[#This Row],[Included?]], Table35[[#This Row],[I Z-score]]*AJ$185+AJ$186, "")</f>
        <v/>
      </c>
      <c r="AK152" s="1" t="str">
        <f>IF(Table1[[#This Row],[Included?]], Table35[[#This Row],[I OBMod Z-Score]]*AK$185+AK$186, "")</f>
        <v/>
      </c>
      <c r="AL152" s="1" t="str">
        <f>IF(Table1[[#This Row],[Included?]], AVERAGE(Table35[[#This Row],[I Tot Value]:[I OB Z Value]]), "")</f>
        <v/>
      </c>
    </row>
    <row r="153" spans="1:38" x14ac:dyDescent="0.25">
      <c r="A153" s="1">
        <f>(Table1[[#This Row],[R]]-Data!H$188)/(Data!H$187-Data!H$188)</f>
        <v>0.11732954545454548</v>
      </c>
      <c r="B153" s="1">
        <f>(Table1[[#This Row],[HR]]-Data!I$188)/(Data!I$187-Data!I$188)</f>
        <v>9.8706603131381895E-2</v>
      </c>
      <c r="C153" s="1">
        <f>(Table1[[#This Row],[RBI]]-Data!J$188)/(Data!J$187-Data!J$188)</f>
        <v>5.646316996274002E-2</v>
      </c>
      <c r="D153" s="1">
        <f>(Table1[[#This Row],[SB]]-Data!K$188)/(Data!K$187-Data!K$188)</f>
        <v>8.1555834378920951E-3</v>
      </c>
      <c r="E153" s="1">
        <f>(Table1[[#This Row],[OBP]]-Data!L$188)/(Data!L$187-Data!L$188)</f>
        <v>0.48549313523719256</v>
      </c>
      <c r="F153" s="1">
        <f>(Table1[[#This Row],[OB]]-Data!P$188)/(Data!P$187-Data!P$188)</f>
        <v>0.34650126436865042</v>
      </c>
      <c r="G153" s="1">
        <f>SUM(Table3[[#This Row],[R Scale]:[OBP Scale]])</f>
        <v>0.76614803722375202</v>
      </c>
      <c r="H153" s="1">
        <f>SUM(Table3[[#This Row],[R Scale]:[SB Scale]],Table3[[#This Row],[OB Scale]])</f>
        <v>0.62715616635520988</v>
      </c>
      <c r="I153" s="1">
        <f>Table3[[#This Row],[R Scale]]*Data!B$192+Table3[[#This Row],[HR Scale]]*Data!C$192+Table3[[#This Row],[RBI Scale]]*Data!D$192+Table3[[#This Row],[SB Scale]]*Data!E$192+Table3[[#This Row],[OBP Scale]]*Data!F$192</f>
        <v>0.86280634371828402</v>
      </c>
      <c r="J153" s="1">
        <f>Table3[[#This Row],[R Scale]]*Data!B$192+Table3[[#This Row],[HR Scale]]*Data!C$192+Table3[[#This Row],[RBI Scale]]*Data!D$192+Table3[[#This Row],[SB Scale]]*Data!E$192+Table3[[#This Row],[OB Scale]]*Data!F$192</f>
        <v>0.69601609867603342</v>
      </c>
      <c r="K15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-5.4392893492442926</v>
      </c>
      <c r="L15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-5.514990257708928</v>
      </c>
      <c r="M153" s="1">
        <f ca="1">Table3[[#This Row],[Tot Scale]]*M$185+M$186</f>
        <v>-38.165379563407079</v>
      </c>
      <c r="N153" s="1">
        <f ca="1">Table3[[#This Row],[OB Tot Scale]]*N$185+N$186</f>
        <v>-44.644056729368316</v>
      </c>
      <c r="O153" s="1">
        <f ca="1">Table3[[#This Row],[Weighted Scale]]*O$185+O$186</f>
        <v>-36.519213805454399</v>
      </c>
      <c r="P153" s="1">
        <f ca="1">Table3[[#This Row],[OB Weighted Scale]]*P$185+P$186</f>
        <v>-44.129379390988348</v>
      </c>
      <c r="Q153" s="1">
        <f ca="1">Table3[[#This Row],[Z-score]]*Q$185+Q$186</f>
        <v>-38.560376968928487</v>
      </c>
      <c r="R153" s="1">
        <f ca="1">Table3[[#This Row],[OBMod Z-Score]]*R$185+R$186</f>
        <v>-38.500053398239011</v>
      </c>
      <c r="S153" s="1">
        <f ca="1">AVERAGE(Table3[[#This Row],[Tot Value]:[OB Z Value]])</f>
        <v>-40.086409976064267</v>
      </c>
      <c r="T153" s="1" t="str">
        <f>IF(Table1[[#This Row],[Included?]], (Table1[[#This Row],[I R]]-Data!S$188)/(Data!S$187-Data!S$188), "")</f>
        <v/>
      </c>
      <c r="U153" s="1" t="str">
        <f>IF(Table1[[#This Row],[Included?]], (Table1[[#This Row],[I HR]]-Data!T$188)/(Data!T$187-Data!T$188), "")</f>
        <v/>
      </c>
      <c r="V153" s="1" t="str">
        <f>IF(Table1[[#This Row],[Included?]], (Table1[[#This Row],[I RBI]]-Data!U$188)/(Data!U$187-Data!U$188), "")</f>
        <v/>
      </c>
      <c r="W153" s="1" t="str">
        <f>IF(Table1[[#This Row],[Included?]], (Table1[[#This Row],[I SB]]-Data!V$188)/(Data!V$187-Data!V$188), "")</f>
        <v/>
      </c>
      <c r="X153" s="1" t="str">
        <f>IF(Table1[[#This Row],[Included?]], (Table1[[#This Row],[I OBP]]-Data!W$188)/(Data!W$187-Data!W$188), "")</f>
        <v/>
      </c>
      <c r="Y153" s="1" t="str">
        <f>IF(Table1[[#This Row],[Included?]], (Table1[[#This Row],[I OB]]-Data!AA$188)/(Data!AA$187-Data!AA$188), "")</f>
        <v/>
      </c>
      <c r="Z153" s="1" t="str">
        <f>IF(Table1[[#This Row],[Included?]], SUM(Table35[[#This Row],[I R Scale]:[I OBP Scale]]), "")</f>
        <v/>
      </c>
      <c r="AA153" s="1" t="str">
        <f>IF(Table1[[#This Row],[Included?]], SUM(Table35[[#This Row],[I R Scale]:[I SB Scale]],Table35[[#This Row],[I OB Scale]]), "")</f>
        <v/>
      </c>
      <c r="AB15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3" s="1" t="str">
        <f>IF(Table1[[#This Row],[Included?]], Table35[[#This Row],[I Tot Scale]]*AF$185+AF$186, "")</f>
        <v/>
      </c>
      <c r="AG153" s="1" t="str">
        <f>IF(Table1[[#This Row],[Included?]], Table35[[#This Row],[I OB Tot Scale]]*AG$185+AG$186, "")</f>
        <v/>
      </c>
      <c r="AH153" s="1" t="str">
        <f>IF(Table1[[#This Row],[Included?]], Table35[[#This Row],[I Weighted Scale]]*AH$185+AH$186, "")</f>
        <v/>
      </c>
      <c r="AI153" s="1" t="str">
        <f>IF(Table1[[#This Row],[Included?]], Table35[[#This Row],[I OB Weighted Scale]]*AI$185+AI$186, "")</f>
        <v/>
      </c>
      <c r="AJ153" s="1" t="str">
        <f>IF(Table1[[#This Row],[Included?]], Table35[[#This Row],[I Z-score]]*AJ$185+AJ$186, "")</f>
        <v/>
      </c>
      <c r="AK153" s="1" t="str">
        <f>IF(Table1[[#This Row],[Included?]], Table35[[#This Row],[I OBMod Z-Score]]*AK$185+AK$186, "")</f>
        <v/>
      </c>
      <c r="AL153" s="1" t="str">
        <f>IF(Table1[[#This Row],[Included?]], AVERAGE(Table35[[#This Row],[I Tot Value]:[I OB Z Value]]), "")</f>
        <v/>
      </c>
    </row>
    <row r="154" spans="1:38" x14ac:dyDescent="0.25">
      <c r="A154" s="1">
        <f>(Table1[[#This Row],[R]]-Data!H$188)/(Data!H$187-Data!H$188)</f>
        <v>0.11107954545454547</v>
      </c>
      <c r="B154" s="1">
        <f>(Table1[[#This Row],[HR]]-Data!I$188)/(Data!I$187-Data!I$188)</f>
        <v>0.18107556160653507</v>
      </c>
      <c r="C154" s="1">
        <f>(Table1[[#This Row],[RBI]]-Data!J$188)/(Data!J$187-Data!J$188)</f>
        <v>0.1006018916595013</v>
      </c>
      <c r="D154" s="1">
        <f>(Table1[[#This Row],[SB]]-Data!K$188)/(Data!K$187-Data!K$188)</f>
        <v>6.5872020075282301E-3</v>
      </c>
      <c r="E154" s="1">
        <f>(Table1[[#This Row],[OBP]]-Data!L$188)/(Data!L$187-Data!L$188)</f>
        <v>0.14236569070700678</v>
      </c>
      <c r="F154" s="1">
        <f>(Table1[[#This Row],[OB]]-Data!P$188)/(Data!P$187-Data!P$188)</f>
        <v>0.14202833634953643</v>
      </c>
      <c r="G154" s="1">
        <f>SUM(Table3[[#This Row],[R Scale]:[OBP Scale]])</f>
        <v>0.54170989143511683</v>
      </c>
      <c r="H154" s="1">
        <f>SUM(Table3[[#This Row],[R Scale]:[SB Scale]],Table3[[#This Row],[OB Scale]])</f>
        <v>0.54137253707764654</v>
      </c>
      <c r="I154" s="1">
        <f>Table3[[#This Row],[R Scale]]*Data!B$192+Table3[[#This Row],[HR Scale]]*Data!C$192+Table3[[#This Row],[RBI Scale]]*Data!D$192+Table3[[#This Row],[SB Scale]]*Data!E$192+Table3[[#This Row],[OBP Scale]]*Data!F$192</f>
        <v>0.57919545336296396</v>
      </c>
      <c r="J154" s="1">
        <f>Table3[[#This Row],[R Scale]]*Data!B$192+Table3[[#This Row],[HR Scale]]*Data!C$192+Table3[[#This Row],[RBI Scale]]*Data!D$192+Table3[[#This Row],[SB Scale]]*Data!E$192+Table3[[#This Row],[OB Scale]]*Data!F$192</f>
        <v>0.57879062813399951</v>
      </c>
      <c r="K15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-6.8166964872125204</v>
      </c>
      <c r="L15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-6.3745921715556859</v>
      </c>
      <c r="M154" s="1">
        <f ca="1">Table3[[#This Row],[Tot Scale]]*M$185+M$186</f>
        <v>-46.454293863300343</v>
      </c>
      <c r="N154" s="1">
        <f ca="1">Table3[[#This Row],[OB Tot Scale]]*N$185+N$186</f>
        <v>-47.772412905859127</v>
      </c>
      <c r="O154" s="1">
        <f ca="1">Table3[[#This Row],[Weighted Scale]]*O$185+O$186</f>
        <v>-46.273800907823528</v>
      </c>
      <c r="P154" s="1">
        <f ca="1">Table3[[#This Row],[OB Weighted Scale]]*P$185+P$186</f>
        <v>-48.131530463918878</v>
      </c>
      <c r="Q154" s="1">
        <f ca="1">Table3[[#This Row],[Z-score]]*Q$185+Q$186</f>
        <v>-48.681236752703818</v>
      </c>
      <c r="R154" s="1">
        <f ca="1">Table3[[#This Row],[OBMod Z-Score]]*R$185+R$186</f>
        <v>-44.758394785566743</v>
      </c>
      <c r="S154" s="1">
        <f ca="1">AVERAGE(Table3[[#This Row],[Tot Value]:[OB Z Value]])</f>
        <v>-47.01194494652875</v>
      </c>
      <c r="T154" s="1" t="str">
        <f>IF(Table1[[#This Row],[Included?]], (Table1[[#This Row],[I R]]-Data!S$188)/(Data!S$187-Data!S$188), "")</f>
        <v/>
      </c>
      <c r="U154" s="1" t="str">
        <f>IF(Table1[[#This Row],[Included?]], (Table1[[#This Row],[I HR]]-Data!T$188)/(Data!T$187-Data!T$188), "")</f>
        <v/>
      </c>
      <c r="V154" s="1" t="str">
        <f>IF(Table1[[#This Row],[Included?]], (Table1[[#This Row],[I RBI]]-Data!U$188)/(Data!U$187-Data!U$188), "")</f>
        <v/>
      </c>
      <c r="W154" s="1" t="str">
        <f>IF(Table1[[#This Row],[Included?]], (Table1[[#This Row],[I SB]]-Data!V$188)/(Data!V$187-Data!V$188), "")</f>
        <v/>
      </c>
      <c r="X154" s="1" t="str">
        <f>IF(Table1[[#This Row],[Included?]], (Table1[[#This Row],[I OBP]]-Data!W$188)/(Data!W$187-Data!W$188), "")</f>
        <v/>
      </c>
      <c r="Y154" s="1" t="str">
        <f>IF(Table1[[#This Row],[Included?]], (Table1[[#This Row],[I OB]]-Data!AA$188)/(Data!AA$187-Data!AA$188), "")</f>
        <v/>
      </c>
      <c r="Z154" s="1" t="str">
        <f>IF(Table1[[#This Row],[Included?]], SUM(Table35[[#This Row],[I R Scale]:[I OBP Scale]]), "")</f>
        <v/>
      </c>
      <c r="AA154" s="1" t="str">
        <f>IF(Table1[[#This Row],[Included?]], SUM(Table35[[#This Row],[I R Scale]:[I SB Scale]],Table35[[#This Row],[I OB Scale]]), "")</f>
        <v/>
      </c>
      <c r="AB15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4" s="1" t="str">
        <f>IF(Table1[[#This Row],[Included?]], Table35[[#This Row],[I Tot Scale]]*AF$185+AF$186, "")</f>
        <v/>
      </c>
      <c r="AG154" s="1" t="str">
        <f>IF(Table1[[#This Row],[Included?]], Table35[[#This Row],[I OB Tot Scale]]*AG$185+AG$186, "")</f>
        <v/>
      </c>
      <c r="AH154" s="1" t="str">
        <f>IF(Table1[[#This Row],[Included?]], Table35[[#This Row],[I Weighted Scale]]*AH$185+AH$186, "")</f>
        <v/>
      </c>
      <c r="AI154" s="1" t="str">
        <f>IF(Table1[[#This Row],[Included?]], Table35[[#This Row],[I OB Weighted Scale]]*AI$185+AI$186, "")</f>
        <v/>
      </c>
      <c r="AJ154" s="1" t="str">
        <f>IF(Table1[[#This Row],[Included?]], Table35[[#This Row],[I Z-score]]*AJ$185+AJ$186, "")</f>
        <v/>
      </c>
      <c r="AK154" s="1" t="str">
        <f>IF(Table1[[#This Row],[Included?]], Table35[[#This Row],[I OBMod Z-Score]]*AK$185+AK$186, "")</f>
        <v/>
      </c>
      <c r="AL154" s="1" t="str">
        <f>IF(Table1[[#This Row],[Included?]], AVERAGE(Table35[[#This Row],[I Tot Value]:[I OB Z Value]]), "")</f>
        <v/>
      </c>
    </row>
    <row r="155" spans="1:38" x14ac:dyDescent="0.25">
      <c r="A155" s="1">
        <f>(Table1[[#This Row],[R]]-Data!H$188)/(Data!H$187-Data!H$188)</f>
        <v>3.3238636363636366E-2</v>
      </c>
      <c r="B155" s="1">
        <f>(Table1[[#This Row],[HR]]-Data!I$188)/(Data!I$187-Data!I$188)</f>
        <v>8.8495575221238937E-2</v>
      </c>
      <c r="C155" s="1">
        <f>(Table1[[#This Row],[RBI]]-Data!J$188)/(Data!J$187-Data!J$188)</f>
        <v>3.7546574949842329E-2</v>
      </c>
      <c r="D155" s="1">
        <f>(Table1[[#This Row],[SB]]-Data!K$188)/(Data!K$187-Data!K$188)</f>
        <v>5.0188205771643651E-3</v>
      </c>
      <c r="E155" s="1">
        <f>(Table1[[#This Row],[OBP]]-Data!L$188)/(Data!L$187-Data!L$188)</f>
        <v>0.26847850376806592</v>
      </c>
      <c r="F155" s="1">
        <f>(Table1[[#This Row],[OB]]-Data!P$188)/(Data!P$187-Data!P$188)</f>
        <v>0.15196121060398562</v>
      </c>
      <c r="G155" s="1">
        <f>SUM(Table3[[#This Row],[R Scale]:[OBP Scale]])</f>
        <v>0.43277811087994789</v>
      </c>
      <c r="H155" s="1">
        <f>SUM(Table3[[#This Row],[R Scale]:[SB Scale]],Table3[[#This Row],[OB Scale]])</f>
        <v>0.31626081771586756</v>
      </c>
      <c r="I155" s="1">
        <f>Table3[[#This Row],[R Scale]]*Data!B$192+Table3[[#This Row],[HR Scale]]*Data!C$192+Table3[[#This Row],[RBI Scale]]*Data!D$192+Table3[[#This Row],[SB Scale]]*Data!E$192+Table3[[#This Row],[OBP Scale]]*Data!F$192</f>
        <v>0.49065926298716595</v>
      </c>
      <c r="J155" s="1">
        <f>Table3[[#This Row],[R Scale]]*Data!B$192+Table3[[#This Row],[HR Scale]]*Data!C$192+Table3[[#This Row],[RBI Scale]]*Data!D$192+Table3[[#This Row],[SB Scale]]*Data!E$192+Table3[[#This Row],[OB Scale]]*Data!F$192</f>
        <v>0.35083851119026954</v>
      </c>
      <c r="K15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-7.2467223802274052</v>
      </c>
      <c r="L15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-6.9735489004599263</v>
      </c>
      <c r="M155" s="1">
        <f ca="1">Table3[[#This Row],[Tot Scale]]*M$185+M$186</f>
        <v>-50.477345249613734</v>
      </c>
      <c r="N155" s="1">
        <f ca="1">Table3[[#This Row],[OB Tot Scale]]*N$185+N$186</f>
        <v>-55.981783896532271</v>
      </c>
      <c r="O155" s="1">
        <f ca="1">Table3[[#This Row],[Weighted Scale]]*O$185+O$186</f>
        <v>-49.318937784093194</v>
      </c>
      <c r="P155" s="1">
        <f ca="1">Table3[[#This Row],[OB Weighted Scale]]*P$185+P$186</f>
        <v>-55.913958678408406</v>
      </c>
      <c r="Q155" s="1">
        <f ca="1">Table3[[#This Row],[Z-score]]*Q$185+Q$186</f>
        <v>-51.840964654953744</v>
      </c>
      <c r="R155" s="1">
        <f ca="1">Table3[[#This Row],[OBMod Z-Score]]*R$185+R$186</f>
        <v>-49.119105976803205</v>
      </c>
      <c r="S155" s="1">
        <f ca="1">AVERAGE(Table3[[#This Row],[Tot Value]:[OB Z Value]])</f>
        <v>-52.108682706734093</v>
      </c>
      <c r="T155" s="1" t="str">
        <f>IF(Table1[[#This Row],[Included?]], (Table1[[#This Row],[I R]]-Data!S$188)/(Data!S$187-Data!S$188), "")</f>
        <v/>
      </c>
      <c r="U155" s="1" t="str">
        <f>IF(Table1[[#This Row],[Included?]], (Table1[[#This Row],[I HR]]-Data!T$188)/(Data!T$187-Data!T$188), "")</f>
        <v/>
      </c>
      <c r="V155" s="1" t="str">
        <f>IF(Table1[[#This Row],[Included?]], (Table1[[#This Row],[I RBI]]-Data!U$188)/(Data!U$187-Data!U$188), "")</f>
        <v/>
      </c>
      <c r="W155" s="1" t="str">
        <f>IF(Table1[[#This Row],[Included?]], (Table1[[#This Row],[I SB]]-Data!V$188)/(Data!V$187-Data!V$188), "")</f>
        <v/>
      </c>
      <c r="X155" s="1" t="str">
        <f>IF(Table1[[#This Row],[Included?]], (Table1[[#This Row],[I OBP]]-Data!W$188)/(Data!W$187-Data!W$188), "")</f>
        <v/>
      </c>
      <c r="Y155" s="1" t="str">
        <f>IF(Table1[[#This Row],[Included?]], (Table1[[#This Row],[I OB]]-Data!AA$188)/(Data!AA$187-Data!AA$188), "")</f>
        <v/>
      </c>
      <c r="Z155" s="1" t="str">
        <f>IF(Table1[[#This Row],[Included?]], SUM(Table35[[#This Row],[I R Scale]:[I OBP Scale]]), "")</f>
        <v/>
      </c>
      <c r="AA155" s="1" t="str">
        <f>IF(Table1[[#This Row],[Included?]], SUM(Table35[[#This Row],[I R Scale]:[I SB Scale]],Table35[[#This Row],[I OB Scale]]), "")</f>
        <v/>
      </c>
      <c r="AB15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5" s="1" t="str">
        <f>IF(Table1[[#This Row],[Included?]], Table35[[#This Row],[I Tot Scale]]*AF$185+AF$186, "")</f>
        <v/>
      </c>
      <c r="AG155" s="1" t="str">
        <f>IF(Table1[[#This Row],[Included?]], Table35[[#This Row],[I OB Tot Scale]]*AG$185+AG$186, "")</f>
        <v/>
      </c>
      <c r="AH155" s="1" t="str">
        <f>IF(Table1[[#This Row],[Included?]], Table35[[#This Row],[I Weighted Scale]]*AH$185+AH$186, "")</f>
        <v/>
      </c>
      <c r="AI155" s="1" t="str">
        <f>IF(Table1[[#This Row],[Included?]], Table35[[#This Row],[I OB Weighted Scale]]*AI$185+AI$186, "")</f>
        <v/>
      </c>
      <c r="AJ155" s="1" t="str">
        <f>IF(Table1[[#This Row],[Included?]], Table35[[#This Row],[I Z-score]]*AJ$185+AJ$186, "")</f>
        <v/>
      </c>
      <c r="AK155" s="1" t="str">
        <f>IF(Table1[[#This Row],[Included?]], Table35[[#This Row],[I OBMod Z-Score]]*AK$185+AK$186, "")</f>
        <v/>
      </c>
      <c r="AL155" s="1" t="str">
        <f>IF(Table1[[#This Row],[Included?]], AVERAGE(Table35[[#This Row],[I Tot Value]:[I OB Z Value]]), "")</f>
        <v/>
      </c>
    </row>
    <row r="156" spans="1:38" x14ac:dyDescent="0.25">
      <c r="A156" s="1">
        <f>(Table1[[#This Row],[R]]-Data!H$188)/(Data!H$187-Data!H$188)</f>
        <v>4.1761363636363645E-2</v>
      </c>
      <c r="B156" s="1">
        <f>(Table1[[#This Row],[HR]]-Data!I$188)/(Data!I$187-Data!I$188)</f>
        <v>0.13546630360789652</v>
      </c>
      <c r="C156" s="1">
        <f>(Table1[[#This Row],[RBI]]-Data!J$188)/(Data!J$187-Data!J$188)</f>
        <v>0.11665233591286898</v>
      </c>
      <c r="D156" s="1">
        <f>(Table1[[#This Row],[SB]]-Data!K$188)/(Data!K$187-Data!K$188)</f>
        <v>3.7327478042659963E-2</v>
      </c>
      <c r="E156" s="1">
        <f>(Table1[[#This Row],[OBP]]-Data!L$188)/(Data!L$187-Data!L$188)</f>
        <v>0.15096989044051029</v>
      </c>
      <c r="F156" s="1">
        <f>(Table1[[#This Row],[OB]]-Data!P$188)/(Data!P$187-Data!P$188)</f>
        <v>7.3856987136610278E-2</v>
      </c>
      <c r="G156" s="1">
        <f>SUM(Table3[[#This Row],[R Scale]:[OBP Scale]])</f>
        <v>0.48217737164029939</v>
      </c>
      <c r="H156" s="1">
        <f>SUM(Table3[[#This Row],[R Scale]:[SB Scale]],Table3[[#This Row],[OB Scale]])</f>
        <v>0.40506446833639936</v>
      </c>
      <c r="I156" s="1">
        <f>Table3[[#This Row],[R Scale]]*Data!B$192+Table3[[#This Row],[HR Scale]]*Data!C$192+Table3[[#This Row],[RBI Scale]]*Data!D$192+Table3[[#This Row],[SB Scale]]*Data!E$192+Table3[[#This Row],[OBP Scale]]*Data!F$192</f>
        <v>0.53152568054733895</v>
      </c>
      <c r="J156" s="1">
        <f>Table3[[#This Row],[R Scale]]*Data!B$192+Table3[[#This Row],[HR Scale]]*Data!C$192+Table3[[#This Row],[RBI Scale]]*Data!D$192+Table3[[#This Row],[SB Scale]]*Data!E$192+Table3[[#This Row],[OB Scale]]*Data!F$192</f>
        <v>0.43899019658265892</v>
      </c>
      <c r="K15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-7.0354437622516466</v>
      </c>
      <c r="L15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-6.4566396462219497</v>
      </c>
      <c r="M156" s="1">
        <f ca="1">Table3[[#This Row],[Tot Scale]]*M$185+M$186</f>
        <v>-48.652939520891266</v>
      </c>
      <c r="N156" s="1">
        <f ca="1">Table3[[#This Row],[OB Tot Scale]]*N$185+N$186</f>
        <v>-52.743293624515601</v>
      </c>
      <c r="O156" s="1">
        <f ca="1">Table3[[#This Row],[Weighted Scale]]*O$185+O$186</f>
        <v>-47.913367535528103</v>
      </c>
      <c r="P156" s="1">
        <f ca="1">Table3[[#This Row],[OB Weighted Scale]]*P$185+P$186</f>
        <v>-52.904404861797509</v>
      </c>
      <c r="Q156" s="1">
        <f ca="1">Table3[[#This Row],[Z-score]]*Q$185+Q$186</f>
        <v>-50.288539660992512</v>
      </c>
      <c r="R156" s="1">
        <f ca="1">Table3[[#This Row],[OBMod Z-Score]]*R$185+R$186</f>
        <v>-45.355742346290228</v>
      </c>
      <c r="S156" s="1">
        <f ca="1">AVERAGE(Table3[[#This Row],[Tot Value]:[OB Z Value]])</f>
        <v>-49.643047925002541</v>
      </c>
      <c r="T156" s="1" t="str">
        <f>IF(Table1[[#This Row],[Included?]], (Table1[[#This Row],[I R]]-Data!S$188)/(Data!S$187-Data!S$188), "")</f>
        <v/>
      </c>
      <c r="U156" s="1" t="str">
        <f>IF(Table1[[#This Row],[Included?]], (Table1[[#This Row],[I HR]]-Data!T$188)/(Data!T$187-Data!T$188), "")</f>
        <v/>
      </c>
      <c r="V156" s="1" t="str">
        <f>IF(Table1[[#This Row],[Included?]], (Table1[[#This Row],[I RBI]]-Data!U$188)/(Data!U$187-Data!U$188), "")</f>
        <v/>
      </c>
      <c r="W156" s="1" t="str">
        <f>IF(Table1[[#This Row],[Included?]], (Table1[[#This Row],[I SB]]-Data!V$188)/(Data!V$187-Data!V$188), "")</f>
        <v/>
      </c>
      <c r="X156" s="1" t="str">
        <f>IF(Table1[[#This Row],[Included?]], (Table1[[#This Row],[I OBP]]-Data!W$188)/(Data!W$187-Data!W$188), "")</f>
        <v/>
      </c>
      <c r="Y156" s="1" t="str">
        <f>IF(Table1[[#This Row],[Included?]], (Table1[[#This Row],[I OB]]-Data!AA$188)/(Data!AA$187-Data!AA$188), "")</f>
        <v/>
      </c>
      <c r="Z156" s="1" t="str">
        <f>IF(Table1[[#This Row],[Included?]], SUM(Table35[[#This Row],[I R Scale]:[I OBP Scale]]), "")</f>
        <v/>
      </c>
      <c r="AA156" s="1" t="str">
        <f>IF(Table1[[#This Row],[Included?]], SUM(Table35[[#This Row],[I R Scale]:[I SB Scale]],Table35[[#This Row],[I OB Scale]]), "")</f>
        <v/>
      </c>
      <c r="AB15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6" s="1" t="str">
        <f>IF(Table1[[#This Row],[Included?]], Table35[[#This Row],[I Tot Scale]]*AF$185+AF$186, "")</f>
        <v/>
      </c>
      <c r="AG156" s="1" t="str">
        <f>IF(Table1[[#This Row],[Included?]], Table35[[#This Row],[I OB Tot Scale]]*AG$185+AG$186, "")</f>
        <v/>
      </c>
      <c r="AH156" s="1" t="str">
        <f>IF(Table1[[#This Row],[Included?]], Table35[[#This Row],[I Weighted Scale]]*AH$185+AH$186, "")</f>
        <v/>
      </c>
      <c r="AI156" s="1" t="str">
        <f>IF(Table1[[#This Row],[Included?]], Table35[[#This Row],[I OB Weighted Scale]]*AI$185+AI$186, "")</f>
        <v/>
      </c>
      <c r="AJ156" s="1" t="str">
        <f>IF(Table1[[#This Row],[Included?]], Table35[[#This Row],[I Z-score]]*AJ$185+AJ$186, "")</f>
        <v/>
      </c>
      <c r="AK156" s="1" t="str">
        <f>IF(Table1[[#This Row],[Included?]], Table35[[#This Row],[I OBMod Z-Score]]*AK$185+AK$186, "")</f>
        <v/>
      </c>
      <c r="AL156" s="1" t="str">
        <f>IF(Table1[[#This Row],[Included?]], AVERAGE(Table35[[#This Row],[I Tot Value]:[I OB Z Value]]), "")</f>
        <v/>
      </c>
    </row>
    <row r="157" spans="1:38" x14ac:dyDescent="0.25">
      <c r="A157" s="1">
        <f>(Table1[[#This Row],[R]]-Data!H$188)/(Data!H$187-Data!H$188)</f>
        <v>2.3011363636363691E-2</v>
      </c>
      <c r="B157" s="1">
        <f>(Table1[[#This Row],[HR]]-Data!I$188)/(Data!I$187-Data!I$188)</f>
        <v>0.35262083049693671</v>
      </c>
      <c r="C157" s="1">
        <f>(Table1[[#This Row],[RBI]]-Data!J$188)/(Data!J$187-Data!J$188)</f>
        <v>7.767268558326168E-2</v>
      </c>
      <c r="D157" s="1">
        <f>(Table1[[#This Row],[SB]]-Data!K$188)/(Data!K$187-Data!K$188)</f>
        <v>4.0777917189460475E-3</v>
      </c>
      <c r="E157" s="1">
        <f>(Table1[[#This Row],[OBP]]-Data!L$188)/(Data!L$187-Data!L$188)</f>
        <v>0.31432678655284713</v>
      </c>
      <c r="F157" s="1">
        <f>(Table1[[#This Row],[OB]]-Data!P$188)/(Data!P$187-Data!P$188)</f>
        <v>0</v>
      </c>
      <c r="G157" s="1">
        <f>SUM(Table3[[#This Row],[R Scale]:[OBP Scale]])</f>
        <v>0.77170945798835522</v>
      </c>
      <c r="H157" s="1">
        <f>SUM(Table3[[#This Row],[R Scale]:[SB Scale]],Table3[[#This Row],[OB Scale]])</f>
        <v>0.45738267143550815</v>
      </c>
      <c r="I157" s="1">
        <f>Table3[[#This Row],[R Scale]]*Data!B$192+Table3[[#This Row],[HR Scale]]*Data!C$192+Table3[[#This Row],[RBI Scale]]*Data!D$192+Table3[[#This Row],[SB Scale]]*Data!E$192+Table3[[#This Row],[OBP Scale]]*Data!F$192</f>
        <v>0.84780821605194068</v>
      </c>
      <c r="J157" s="1">
        <f>Table3[[#This Row],[R Scale]]*Data!B$192+Table3[[#This Row],[HR Scale]]*Data!C$192+Table3[[#This Row],[RBI Scale]]*Data!D$192+Table3[[#This Row],[SB Scale]]*Data!E$192+Table3[[#This Row],[OB Scale]]*Data!F$192</f>
        <v>0.47061607218852408</v>
      </c>
      <c r="K15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-5.6651951130557627</v>
      </c>
      <c r="L15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-5.3304956676956348</v>
      </c>
      <c r="M157" s="1">
        <f ca="1">Table3[[#This Row],[Tot Scale]]*M$185+M$186</f>
        <v>-37.959986046447369</v>
      </c>
      <c r="N157" s="1">
        <f ca="1">Table3[[#This Row],[OB Tot Scale]]*N$185+N$186</f>
        <v>-50.835354135520291</v>
      </c>
      <c r="O157" s="1">
        <f ca="1">Table3[[#This Row],[Weighted Scale]]*O$185+O$186</f>
        <v>-37.035063329111637</v>
      </c>
      <c r="P157" s="1">
        <f ca="1">Table3[[#This Row],[OB Weighted Scale]]*P$185+P$186</f>
        <v>-51.824677636962058</v>
      </c>
      <c r="Q157" s="1">
        <f ca="1">Table3[[#This Row],[Z-score]]*Q$185+Q$186</f>
        <v>-40.220278748771953</v>
      </c>
      <c r="R157" s="1">
        <f ca="1">Table3[[#This Row],[OBMod Z-Score]]*R$185+R$186</f>
        <v>-37.156838463722138</v>
      </c>
      <c r="S157" s="1">
        <f ca="1">AVERAGE(Table3[[#This Row],[Tot Value]:[OB Z Value]])</f>
        <v>-42.505366393422577</v>
      </c>
      <c r="T157" s="1" t="str">
        <f>IF(Table1[[#This Row],[Included?]], (Table1[[#This Row],[I R]]-Data!S$188)/(Data!S$187-Data!S$188), "")</f>
        <v/>
      </c>
      <c r="U157" s="1" t="str">
        <f>IF(Table1[[#This Row],[Included?]], (Table1[[#This Row],[I HR]]-Data!T$188)/(Data!T$187-Data!T$188), "")</f>
        <v/>
      </c>
      <c r="V157" s="1" t="str">
        <f>IF(Table1[[#This Row],[Included?]], (Table1[[#This Row],[I RBI]]-Data!U$188)/(Data!U$187-Data!U$188), "")</f>
        <v/>
      </c>
      <c r="W157" s="1" t="str">
        <f>IF(Table1[[#This Row],[Included?]], (Table1[[#This Row],[I SB]]-Data!V$188)/(Data!V$187-Data!V$188), "")</f>
        <v/>
      </c>
      <c r="X157" s="1" t="str">
        <f>IF(Table1[[#This Row],[Included?]], (Table1[[#This Row],[I OBP]]-Data!W$188)/(Data!W$187-Data!W$188), "")</f>
        <v/>
      </c>
      <c r="Y157" s="1" t="str">
        <f>IF(Table1[[#This Row],[Included?]], (Table1[[#This Row],[I OB]]-Data!AA$188)/(Data!AA$187-Data!AA$188), "")</f>
        <v/>
      </c>
      <c r="Z157" s="1" t="str">
        <f>IF(Table1[[#This Row],[Included?]], SUM(Table35[[#This Row],[I R Scale]:[I OBP Scale]]), "")</f>
        <v/>
      </c>
      <c r="AA157" s="1" t="str">
        <f>IF(Table1[[#This Row],[Included?]], SUM(Table35[[#This Row],[I R Scale]:[I SB Scale]],Table35[[#This Row],[I OB Scale]]), "")</f>
        <v/>
      </c>
      <c r="AB15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7" s="1" t="str">
        <f>IF(Table1[[#This Row],[Included?]], Table35[[#This Row],[I Tot Scale]]*AF$185+AF$186, "")</f>
        <v/>
      </c>
      <c r="AG157" s="1" t="str">
        <f>IF(Table1[[#This Row],[Included?]], Table35[[#This Row],[I OB Tot Scale]]*AG$185+AG$186, "")</f>
        <v/>
      </c>
      <c r="AH157" s="1" t="str">
        <f>IF(Table1[[#This Row],[Included?]], Table35[[#This Row],[I Weighted Scale]]*AH$185+AH$186, "")</f>
        <v/>
      </c>
      <c r="AI157" s="1" t="str">
        <f>IF(Table1[[#This Row],[Included?]], Table35[[#This Row],[I OB Weighted Scale]]*AI$185+AI$186, "")</f>
        <v/>
      </c>
      <c r="AJ157" s="1" t="str">
        <f>IF(Table1[[#This Row],[Included?]], Table35[[#This Row],[I Z-score]]*AJ$185+AJ$186, "")</f>
        <v/>
      </c>
      <c r="AK157" s="1" t="str">
        <f>IF(Table1[[#This Row],[Included?]], Table35[[#This Row],[I OBMod Z-Score]]*AK$185+AK$186, "")</f>
        <v/>
      </c>
      <c r="AL157" s="1" t="str">
        <f>IF(Table1[[#This Row],[Included?]], AVERAGE(Table35[[#This Row],[I Tot Value]:[I OB Z Value]]), "")</f>
        <v/>
      </c>
    </row>
    <row r="158" spans="1:38" x14ac:dyDescent="0.25">
      <c r="A158" s="1">
        <f>(Table1[[#This Row],[R]]-Data!H$188)/(Data!H$187-Data!H$188)</f>
        <v>7.6704545454545844E-3</v>
      </c>
      <c r="B158" s="1">
        <f>(Table1[[#This Row],[HR]]-Data!I$188)/(Data!I$187-Data!I$188)</f>
        <v>0.23485364193328795</v>
      </c>
      <c r="C158" s="1">
        <f>(Table1[[#This Row],[RBI]]-Data!J$188)/(Data!J$187-Data!J$188)</f>
        <v>6.3055316709658979E-3</v>
      </c>
      <c r="D158" s="1">
        <f>(Table1[[#This Row],[SB]]-Data!K$188)/(Data!K$187-Data!K$188)</f>
        <v>7.8419071518193214E-3</v>
      </c>
      <c r="E158" s="1">
        <f>(Table1[[#This Row],[OBP]]-Data!L$188)/(Data!L$187-Data!L$188)</f>
        <v>0.29979024460715609</v>
      </c>
      <c r="F158" s="1">
        <f>(Table1[[#This Row],[OB]]-Data!P$188)/(Data!P$187-Data!P$188)</f>
        <v>4.8203606593600692E-2</v>
      </c>
      <c r="G158" s="1">
        <f>SUM(Table3[[#This Row],[R Scale]:[OBP Scale]])</f>
        <v>0.55646177990868384</v>
      </c>
      <c r="H158" s="1">
        <f>SUM(Table3[[#This Row],[R Scale]:[SB Scale]],Table3[[#This Row],[OB Scale]])</f>
        <v>0.30487514189512843</v>
      </c>
      <c r="I158" s="1">
        <f>Table3[[#This Row],[R Scale]]*Data!B$192+Table3[[#This Row],[HR Scale]]*Data!C$192+Table3[[#This Row],[RBI Scale]]*Data!D$192+Table3[[#This Row],[SB Scale]]*Data!E$192+Table3[[#This Row],[OBP Scale]]*Data!F$192</f>
        <v>0.6169138897097628</v>
      </c>
      <c r="J158" s="1">
        <f>Table3[[#This Row],[R Scale]]*Data!B$192+Table3[[#This Row],[HR Scale]]*Data!C$192+Table3[[#This Row],[RBI Scale]]*Data!D$192+Table3[[#This Row],[SB Scale]]*Data!E$192+Table3[[#This Row],[OB Scale]]*Data!F$192</f>
        <v>0.31500992409349626</v>
      </c>
      <c r="K15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-6.6783177650028902</v>
      </c>
      <c r="L15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-6.3519469034751967</v>
      </c>
      <c r="M158" s="1">
        <f ca="1">Table3[[#This Row],[Tot Scale]]*M$185+M$186</f>
        <v>-45.909479438420291</v>
      </c>
      <c r="N158" s="1">
        <f ca="1">Table3[[#This Row],[OB Tot Scale]]*N$185+N$186</f>
        <v>-56.396996560968319</v>
      </c>
      <c r="O158" s="1">
        <f ca="1">Table3[[#This Row],[Weighted Scale]]*O$185+O$186</f>
        <v>-44.976503148033494</v>
      </c>
      <c r="P158" s="1">
        <f ca="1">Table3[[#This Row],[OB Weighted Scale]]*P$185+P$186</f>
        <v>-57.137169108939538</v>
      </c>
      <c r="Q158" s="1">
        <f ca="1">Table3[[#This Row],[Z-score]]*Q$185+Q$186</f>
        <v>-47.664462840374952</v>
      </c>
      <c r="R158" s="1">
        <f ca="1">Table3[[#This Row],[OBMod Z-Score]]*R$185+R$186</f>
        <v>-44.593525656994139</v>
      </c>
      <c r="S158" s="1">
        <f ca="1">AVERAGE(Table3[[#This Row],[Tot Value]:[OB Z Value]])</f>
        <v>-49.446356125621783</v>
      </c>
      <c r="T158" s="1" t="str">
        <f>IF(Table1[[#This Row],[Included?]], (Table1[[#This Row],[I R]]-Data!S$188)/(Data!S$187-Data!S$188), "")</f>
        <v/>
      </c>
      <c r="U158" s="1" t="str">
        <f>IF(Table1[[#This Row],[Included?]], (Table1[[#This Row],[I HR]]-Data!T$188)/(Data!T$187-Data!T$188), "")</f>
        <v/>
      </c>
      <c r="V158" s="1" t="str">
        <f>IF(Table1[[#This Row],[Included?]], (Table1[[#This Row],[I RBI]]-Data!U$188)/(Data!U$187-Data!U$188), "")</f>
        <v/>
      </c>
      <c r="W158" s="1" t="str">
        <f>IF(Table1[[#This Row],[Included?]], (Table1[[#This Row],[I SB]]-Data!V$188)/(Data!V$187-Data!V$188), "")</f>
        <v/>
      </c>
      <c r="X158" s="1" t="str">
        <f>IF(Table1[[#This Row],[Included?]], (Table1[[#This Row],[I OBP]]-Data!W$188)/(Data!W$187-Data!W$188), "")</f>
        <v/>
      </c>
      <c r="Y158" s="1" t="str">
        <f>IF(Table1[[#This Row],[Included?]], (Table1[[#This Row],[I OB]]-Data!AA$188)/(Data!AA$187-Data!AA$188), "")</f>
        <v/>
      </c>
      <c r="Z158" s="1" t="str">
        <f>IF(Table1[[#This Row],[Included?]], SUM(Table35[[#This Row],[I R Scale]:[I OBP Scale]]), "")</f>
        <v/>
      </c>
      <c r="AA158" s="1" t="str">
        <f>IF(Table1[[#This Row],[Included?]], SUM(Table35[[#This Row],[I R Scale]:[I SB Scale]],Table35[[#This Row],[I OB Scale]]), "")</f>
        <v/>
      </c>
      <c r="AB15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8" s="1" t="str">
        <f>IF(Table1[[#This Row],[Included?]], Table35[[#This Row],[I Tot Scale]]*AF$185+AF$186, "")</f>
        <v/>
      </c>
      <c r="AG158" s="1" t="str">
        <f>IF(Table1[[#This Row],[Included?]], Table35[[#This Row],[I OB Tot Scale]]*AG$185+AG$186, "")</f>
        <v/>
      </c>
      <c r="AH158" s="1" t="str">
        <f>IF(Table1[[#This Row],[Included?]], Table35[[#This Row],[I Weighted Scale]]*AH$185+AH$186, "")</f>
        <v/>
      </c>
      <c r="AI158" s="1" t="str">
        <f>IF(Table1[[#This Row],[Included?]], Table35[[#This Row],[I OB Weighted Scale]]*AI$185+AI$186, "")</f>
        <v/>
      </c>
      <c r="AJ158" s="1" t="str">
        <f>IF(Table1[[#This Row],[Included?]], Table35[[#This Row],[I Z-score]]*AJ$185+AJ$186, "")</f>
        <v/>
      </c>
      <c r="AK158" s="1" t="str">
        <f>IF(Table1[[#This Row],[Included?]], Table35[[#This Row],[I OBMod Z-Score]]*AK$185+AK$186, "")</f>
        <v/>
      </c>
      <c r="AL158" s="1" t="str">
        <f>IF(Table1[[#This Row],[Included?]], AVERAGE(Table35[[#This Row],[I Tot Value]:[I OB Z Value]]), "")</f>
        <v/>
      </c>
    </row>
    <row r="159" spans="1:38" x14ac:dyDescent="0.25">
      <c r="A159" s="1">
        <f>(Table1[[#This Row],[R]]-Data!H$188)/(Data!H$187-Data!H$188)</f>
        <v>0</v>
      </c>
      <c r="B159" s="1">
        <f>(Table1[[#This Row],[HR]]-Data!I$188)/(Data!I$187-Data!I$188)</f>
        <v>0.15588835942818247</v>
      </c>
      <c r="C159" s="1">
        <f>(Table1[[#This Row],[RBI]]-Data!J$188)/(Data!J$187-Data!J$188)</f>
        <v>0</v>
      </c>
      <c r="D159" s="1">
        <f>(Table1[[#This Row],[SB]]-Data!K$188)/(Data!K$187-Data!K$188)</f>
        <v>4.7051442910915932E-3</v>
      </c>
      <c r="E159" s="1">
        <f>(Table1[[#This Row],[OBP]]-Data!L$188)/(Data!L$187-Data!L$188)</f>
        <v>0.59417047721259575</v>
      </c>
      <c r="F159" s="1">
        <f>(Table1[[#This Row],[OB]]-Data!P$188)/(Data!P$187-Data!P$188)</f>
        <v>6.9236272101977497E-2</v>
      </c>
      <c r="G159" s="1">
        <f>SUM(Table3[[#This Row],[R Scale]:[OBP Scale]])</f>
        <v>0.7547639809318698</v>
      </c>
      <c r="H159" s="1">
        <f>SUM(Table3[[#This Row],[R Scale]:[SB Scale]],Table3[[#This Row],[OB Scale]])</f>
        <v>0.22982977582125155</v>
      </c>
      <c r="I159" s="1">
        <f>Table3[[#This Row],[R Scale]]*Data!B$192+Table3[[#This Row],[HR Scale]]*Data!C$192+Table3[[#This Row],[RBI Scale]]*Data!D$192+Table3[[#This Row],[SB Scale]]*Data!E$192+Table3[[#This Row],[OBP Scale]]*Data!F$192</f>
        <v>0.87359807637438891</v>
      </c>
      <c r="J159" s="1">
        <f>Table3[[#This Row],[R Scale]]*Data!B$192+Table3[[#This Row],[HR Scale]]*Data!C$192+Table3[[#This Row],[RBI Scale]]*Data!D$192+Table3[[#This Row],[SB Scale]]*Data!E$192+Table3[[#This Row],[OB Scale]]*Data!F$192</f>
        <v>0.24367703024164705</v>
      </c>
      <c r="K15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-5.4774297556937999</v>
      </c>
      <c r="L15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-5.9399430804792148</v>
      </c>
      <c r="M159" s="1">
        <f ca="1">Table3[[#This Row],[Tot Scale]]*M$185+M$186</f>
        <v>-38.58581373985691</v>
      </c>
      <c r="N159" s="1">
        <f ca="1">Table3[[#This Row],[OB Tot Scale]]*N$185+N$186</f>
        <v>-59.133749907164528</v>
      </c>
      <c r="O159" s="1">
        <f ca="1">Table3[[#This Row],[Weighted Scale]]*O$185+O$186</f>
        <v>-36.148040131384363</v>
      </c>
      <c r="P159" s="1">
        <f ca="1">Table3[[#This Row],[OB Weighted Scale]]*P$185+P$186</f>
        <v>-59.572518835789651</v>
      </c>
      <c r="Q159" s="1">
        <f ca="1">Table3[[#This Row],[Z-score]]*Q$185+Q$186</f>
        <v>-38.840623596908834</v>
      </c>
      <c r="R159" s="1">
        <f ca="1">Table3[[#This Row],[OBMod Z-Score]]*R$185+R$186</f>
        <v>-41.593927196755409</v>
      </c>
      <c r="S159" s="1">
        <f ca="1">AVERAGE(Table3[[#This Row],[Tot Value]:[OB Z Value]])</f>
        <v>-45.645778901309946</v>
      </c>
      <c r="T159" s="1" t="str">
        <f>IF(Table1[[#This Row],[Included?]], (Table1[[#This Row],[I R]]-Data!S$188)/(Data!S$187-Data!S$188), "")</f>
        <v/>
      </c>
      <c r="U159" s="1" t="str">
        <f>IF(Table1[[#This Row],[Included?]], (Table1[[#This Row],[I HR]]-Data!T$188)/(Data!T$187-Data!T$188), "")</f>
        <v/>
      </c>
      <c r="V159" s="1" t="str">
        <f>IF(Table1[[#This Row],[Included?]], (Table1[[#This Row],[I RBI]]-Data!U$188)/(Data!U$187-Data!U$188), "")</f>
        <v/>
      </c>
      <c r="W159" s="1" t="str">
        <f>IF(Table1[[#This Row],[Included?]], (Table1[[#This Row],[I SB]]-Data!V$188)/(Data!V$187-Data!V$188), "")</f>
        <v/>
      </c>
      <c r="X159" s="1" t="str">
        <f>IF(Table1[[#This Row],[Included?]], (Table1[[#This Row],[I OBP]]-Data!W$188)/(Data!W$187-Data!W$188), "")</f>
        <v/>
      </c>
      <c r="Y159" s="1" t="str">
        <f>IF(Table1[[#This Row],[Included?]], (Table1[[#This Row],[I OB]]-Data!AA$188)/(Data!AA$187-Data!AA$188), "")</f>
        <v/>
      </c>
      <c r="Z159" s="1" t="str">
        <f>IF(Table1[[#This Row],[Included?]], SUM(Table35[[#This Row],[I R Scale]:[I OBP Scale]]), "")</f>
        <v/>
      </c>
      <c r="AA159" s="1" t="str">
        <f>IF(Table1[[#This Row],[Included?]], SUM(Table35[[#This Row],[I R Scale]:[I SB Scale]],Table35[[#This Row],[I OB Scale]]), "")</f>
        <v/>
      </c>
      <c r="AB15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5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5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5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59" s="1" t="str">
        <f>IF(Table1[[#This Row],[Included?]], Table35[[#This Row],[I Tot Scale]]*AF$185+AF$186, "")</f>
        <v/>
      </c>
      <c r="AG159" s="1" t="str">
        <f>IF(Table1[[#This Row],[Included?]], Table35[[#This Row],[I OB Tot Scale]]*AG$185+AG$186, "")</f>
        <v/>
      </c>
      <c r="AH159" s="1" t="str">
        <f>IF(Table1[[#This Row],[Included?]], Table35[[#This Row],[I Weighted Scale]]*AH$185+AH$186, "")</f>
        <v/>
      </c>
      <c r="AI159" s="1" t="str">
        <f>IF(Table1[[#This Row],[Included?]], Table35[[#This Row],[I OB Weighted Scale]]*AI$185+AI$186, "")</f>
        <v/>
      </c>
      <c r="AJ159" s="1" t="str">
        <f>IF(Table1[[#This Row],[Included?]], Table35[[#This Row],[I Z-score]]*AJ$185+AJ$186, "")</f>
        <v/>
      </c>
      <c r="AK159" s="1" t="str">
        <f>IF(Table1[[#This Row],[Included?]], Table35[[#This Row],[I OBMod Z-Score]]*AK$185+AK$186, "")</f>
        <v/>
      </c>
      <c r="AL159" s="1" t="str">
        <f>IF(Table1[[#This Row],[Included?]], AVERAGE(Table35[[#This Row],[I Tot Value]:[I OB Z Value]]), "")</f>
        <v/>
      </c>
    </row>
    <row r="160" spans="1:38" x14ac:dyDescent="0.25">
      <c r="A160" s="1">
        <f>(Table1[[#This Row],[R]]-Data!H$188)/(Data!H$187-Data!H$188)</f>
        <v>0.2957386363636364</v>
      </c>
      <c r="B160" s="1">
        <f>(Table1[[#This Row],[HR]]-Data!I$188)/(Data!I$187-Data!I$188)</f>
        <v>0.24642614023144999</v>
      </c>
      <c r="C160" s="1">
        <f>(Table1[[#This Row],[RBI]]-Data!J$188)/(Data!J$187-Data!J$188)</f>
        <v>0.29550014330753799</v>
      </c>
      <c r="D160" s="1">
        <f>(Table1[[#This Row],[SB]]-Data!K$188)/(Data!K$187-Data!K$188)</f>
        <v>0.2697616060225847</v>
      </c>
      <c r="E160" s="1">
        <f>(Table1[[#This Row],[OBP]]-Data!L$188)/(Data!L$187-Data!L$188)</f>
        <v>0.29938603667472424</v>
      </c>
      <c r="F160" s="1">
        <f>(Table1[[#This Row],[OB]]-Data!P$188)/(Data!P$187-Data!P$188)</f>
        <v>0.42601948511260895</v>
      </c>
      <c r="G160" s="1">
        <f>SUM(Table3[[#This Row],[R Scale]:[OBP Scale]])</f>
        <v>1.4068125625999333</v>
      </c>
      <c r="H160" s="1">
        <f>SUM(Table3[[#This Row],[R Scale]:[SB Scale]],Table3[[#This Row],[OB Scale]])</f>
        <v>1.5334460110378179</v>
      </c>
      <c r="I160" s="1">
        <f>Table3[[#This Row],[R Scale]]*Data!B$192+Table3[[#This Row],[HR Scale]]*Data!C$192+Table3[[#This Row],[RBI Scale]]*Data!D$192+Table3[[#This Row],[SB Scale]]*Data!E$192+Table3[[#This Row],[OBP Scale]]*Data!F$192</f>
        <v>1.4962159349600219</v>
      </c>
      <c r="J160" s="1">
        <f>Table3[[#This Row],[R Scale]]*Data!B$192+Table3[[#This Row],[HR Scale]]*Data!C$192+Table3[[#This Row],[RBI Scale]]*Data!D$192+Table3[[#This Row],[SB Scale]]*Data!E$192+Table3[[#This Row],[OB Scale]]*Data!F$192</f>
        <v>1.6481760730854838</v>
      </c>
      <c r="K16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-1.8962633547653915</v>
      </c>
      <c r="L16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-1.9216799364303885</v>
      </c>
      <c r="M160" s="1">
        <f ca="1">Table3[[#This Row],[Tot Scale]]*M$185+M$186</f>
        <v>-14.504458078045815</v>
      </c>
      <c r="N160" s="1">
        <f ca="1">Table3[[#This Row],[OB Tot Scale]]*N$185+N$186</f>
        <v>-11.593491520357283</v>
      </c>
      <c r="O160" s="1">
        <f ca="1">Table3[[#This Row],[Weighted Scale]]*O$185+O$186</f>
        <v>-14.733558742975369</v>
      </c>
      <c r="P160" s="1">
        <f ca="1">Table3[[#This Row],[OB Weighted Scale]]*P$185+P$186</f>
        <v>-11.622040793291035</v>
      </c>
      <c r="Q160" s="1">
        <f ca="1">Table3[[#This Row],[Z-score]]*Q$185+Q$186</f>
        <v>-12.527065312589983</v>
      </c>
      <c r="R160" s="1">
        <f ca="1">Table3[[#This Row],[OBMod Z-Score]]*R$185+R$186</f>
        <v>-12.338917250305347</v>
      </c>
      <c r="S160" s="1">
        <f ca="1">AVERAGE(Table3[[#This Row],[Tot Value]:[OB Z Value]])</f>
        <v>-12.886588616260804</v>
      </c>
      <c r="T160" s="1" t="str">
        <f>IF(Table1[[#This Row],[Included?]], (Table1[[#This Row],[I R]]-Data!S$188)/(Data!S$187-Data!S$188), "")</f>
        <v/>
      </c>
      <c r="U160" s="1" t="str">
        <f>IF(Table1[[#This Row],[Included?]], (Table1[[#This Row],[I HR]]-Data!T$188)/(Data!T$187-Data!T$188), "")</f>
        <v/>
      </c>
      <c r="V160" s="1" t="str">
        <f>IF(Table1[[#This Row],[Included?]], (Table1[[#This Row],[I RBI]]-Data!U$188)/(Data!U$187-Data!U$188), "")</f>
        <v/>
      </c>
      <c r="W160" s="1" t="str">
        <f>IF(Table1[[#This Row],[Included?]], (Table1[[#This Row],[I SB]]-Data!V$188)/(Data!V$187-Data!V$188), "")</f>
        <v/>
      </c>
      <c r="X160" s="1" t="str">
        <f>IF(Table1[[#This Row],[Included?]], (Table1[[#This Row],[I OBP]]-Data!W$188)/(Data!W$187-Data!W$188), "")</f>
        <v/>
      </c>
      <c r="Y160" s="1" t="str">
        <f>IF(Table1[[#This Row],[Included?]], (Table1[[#This Row],[I OB]]-Data!AA$188)/(Data!AA$187-Data!AA$188), "")</f>
        <v/>
      </c>
      <c r="Z160" s="1" t="str">
        <f>IF(Table1[[#This Row],[Included?]], SUM(Table35[[#This Row],[I R Scale]:[I OBP Scale]]), "")</f>
        <v/>
      </c>
      <c r="AA160" s="1" t="str">
        <f>IF(Table1[[#This Row],[Included?]], SUM(Table35[[#This Row],[I R Scale]:[I SB Scale]],Table35[[#This Row],[I OB Scale]]), "")</f>
        <v/>
      </c>
      <c r="AB16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0" s="1" t="str">
        <f>IF(Table1[[#This Row],[Included?]], Table35[[#This Row],[I Tot Scale]]*AF$185+AF$186, "")</f>
        <v/>
      </c>
      <c r="AG160" s="1" t="str">
        <f>IF(Table1[[#This Row],[Included?]], Table35[[#This Row],[I OB Tot Scale]]*AG$185+AG$186, "")</f>
        <v/>
      </c>
      <c r="AH160" s="1" t="str">
        <f>IF(Table1[[#This Row],[Included?]], Table35[[#This Row],[I Weighted Scale]]*AH$185+AH$186, "")</f>
        <v/>
      </c>
      <c r="AI160" s="1" t="str">
        <f>IF(Table1[[#This Row],[Included?]], Table35[[#This Row],[I OB Weighted Scale]]*AI$185+AI$186, "")</f>
        <v/>
      </c>
      <c r="AJ160" s="1" t="str">
        <f>IF(Table1[[#This Row],[Included?]], Table35[[#This Row],[I Z-score]]*AJ$185+AJ$186, "")</f>
        <v/>
      </c>
      <c r="AK160" s="1" t="str">
        <f>IF(Table1[[#This Row],[Included?]], Table35[[#This Row],[I OBMod Z-Score]]*AK$185+AK$186, "")</f>
        <v/>
      </c>
      <c r="AL160" s="1" t="str">
        <f>IF(Table1[[#This Row],[Included?]], AVERAGE(Table35[[#This Row],[I Tot Value]:[I OB Z Value]]), "")</f>
        <v/>
      </c>
    </row>
    <row r="161" spans="1:38" x14ac:dyDescent="0.25">
      <c r="A161" s="1">
        <f>(Table1[[#This Row],[R]]-Data!H$188)/(Data!H$187-Data!H$188)</f>
        <v>0.39857954545454549</v>
      </c>
      <c r="B161" s="1">
        <f>(Table1[[#This Row],[HR]]-Data!I$188)/(Data!I$187-Data!I$188)</f>
        <v>0.36895847515316532</v>
      </c>
      <c r="C161" s="1">
        <f>(Table1[[#This Row],[RBI]]-Data!J$188)/(Data!J$187-Data!J$188)</f>
        <v>0.35368300372599593</v>
      </c>
      <c r="D161" s="1">
        <f>(Table1[[#This Row],[SB]]-Data!K$188)/(Data!K$187-Data!K$188)</f>
        <v>0.10163111668757839</v>
      </c>
      <c r="E161" s="1">
        <f>(Table1[[#This Row],[OBP]]-Data!L$188)/(Data!L$187-Data!L$188)</f>
        <v>0.2144678222925834</v>
      </c>
      <c r="F161" s="1">
        <f>(Table1[[#This Row],[OB]]-Data!P$188)/(Data!P$187-Data!P$188)</f>
        <v>0.37897482236632007</v>
      </c>
      <c r="G161" s="1">
        <f>SUM(Table3[[#This Row],[R Scale]:[OBP Scale]])</f>
        <v>1.4373199633138685</v>
      </c>
      <c r="H161" s="1">
        <f>SUM(Table3[[#This Row],[R Scale]:[SB Scale]],Table3[[#This Row],[OB Scale]])</f>
        <v>1.6018269633876052</v>
      </c>
      <c r="I161" s="1">
        <f>Table3[[#This Row],[R Scale]]*Data!B$192+Table3[[#This Row],[HR Scale]]*Data!C$192+Table3[[#This Row],[RBI Scale]]*Data!D$192+Table3[[#This Row],[SB Scale]]*Data!E$192+Table3[[#This Row],[OBP Scale]]*Data!F$192</f>
        <v>1.5110921739721297</v>
      </c>
      <c r="J161" s="1">
        <f>Table3[[#This Row],[R Scale]]*Data!B$192+Table3[[#This Row],[HR Scale]]*Data!C$192+Table3[[#This Row],[RBI Scale]]*Data!D$192+Table3[[#This Row],[SB Scale]]*Data!E$192+Table3[[#This Row],[OB Scale]]*Data!F$192</f>
        <v>1.7085005740606136</v>
      </c>
      <c r="K16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-2.1852308997202359</v>
      </c>
      <c r="L16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-2.189104834787325</v>
      </c>
      <c r="M161" s="1">
        <f ca="1">Table3[[#This Row],[Tot Scale]]*M$185+M$186</f>
        <v>-13.377763553183478</v>
      </c>
      <c r="N161" s="1">
        <f ca="1">Table3[[#This Row],[OB Tot Scale]]*N$185+N$186</f>
        <v>-9.0997759193815142</v>
      </c>
      <c r="O161" s="1">
        <f ca="1">Table3[[#This Row],[Weighted Scale]]*O$185+O$186</f>
        <v>-14.221901489555144</v>
      </c>
      <c r="P161" s="1">
        <f ca="1">Table3[[#This Row],[OB Weighted Scale]]*P$185+P$186</f>
        <v>-9.5625245022897118</v>
      </c>
      <c r="Q161" s="1">
        <f ca="1">Table3[[#This Row],[Z-score]]*Q$185+Q$186</f>
        <v>-14.650330049597056</v>
      </c>
      <c r="R161" s="1">
        <f ca="1">Table3[[#This Row],[OBMod Z-Score]]*R$185+R$186</f>
        <v>-14.285907226048337</v>
      </c>
      <c r="S161" s="1">
        <f ca="1">AVERAGE(Table3[[#This Row],[Tot Value]:[OB Z Value]])</f>
        <v>-12.533033790009206</v>
      </c>
      <c r="T161" s="1" t="str">
        <f>IF(Table1[[#This Row],[Included?]], (Table1[[#This Row],[I R]]-Data!S$188)/(Data!S$187-Data!S$188), "")</f>
        <v/>
      </c>
      <c r="U161" s="1" t="str">
        <f>IF(Table1[[#This Row],[Included?]], (Table1[[#This Row],[I HR]]-Data!T$188)/(Data!T$187-Data!T$188), "")</f>
        <v/>
      </c>
      <c r="V161" s="1" t="str">
        <f>IF(Table1[[#This Row],[Included?]], (Table1[[#This Row],[I RBI]]-Data!U$188)/(Data!U$187-Data!U$188), "")</f>
        <v/>
      </c>
      <c r="W161" s="1" t="str">
        <f>IF(Table1[[#This Row],[Included?]], (Table1[[#This Row],[I SB]]-Data!V$188)/(Data!V$187-Data!V$188), "")</f>
        <v/>
      </c>
      <c r="X161" s="1" t="str">
        <f>IF(Table1[[#This Row],[Included?]], (Table1[[#This Row],[I OBP]]-Data!W$188)/(Data!W$187-Data!W$188), "")</f>
        <v/>
      </c>
      <c r="Y161" s="1" t="str">
        <f>IF(Table1[[#This Row],[Included?]], (Table1[[#This Row],[I OB]]-Data!AA$188)/(Data!AA$187-Data!AA$188), "")</f>
        <v/>
      </c>
      <c r="Z161" s="1" t="str">
        <f>IF(Table1[[#This Row],[Included?]], SUM(Table35[[#This Row],[I R Scale]:[I OBP Scale]]), "")</f>
        <v/>
      </c>
      <c r="AA161" s="1" t="str">
        <f>IF(Table1[[#This Row],[Included?]], SUM(Table35[[#This Row],[I R Scale]:[I SB Scale]],Table35[[#This Row],[I OB Scale]]), "")</f>
        <v/>
      </c>
      <c r="AB16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1" s="1" t="str">
        <f>IF(Table1[[#This Row],[Included?]], Table35[[#This Row],[I Tot Scale]]*AF$185+AF$186, "")</f>
        <v/>
      </c>
      <c r="AG161" s="1" t="str">
        <f>IF(Table1[[#This Row],[Included?]], Table35[[#This Row],[I OB Tot Scale]]*AG$185+AG$186, "")</f>
        <v/>
      </c>
      <c r="AH161" s="1" t="str">
        <f>IF(Table1[[#This Row],[Included?]], Table35[[#This Row],[I Weighted Scale]]*AH$185+AH$186, "")</f>
        <v/>
      </c>
      <c r="AI161" s="1" t="str">
        <f>IF(Table1[[#This Row],[Included?]], Table35[[#This Row],[I OB Weighted Scale]]*AI$185+AI$186, "")</f>
        <v/>
      </c>
      <c r="AJ161" s="1" t="str">
        <f>IF(Table1[[#This Row],[Included?]], Table35[[#This Row],[I Z-score]]*AJ$185+AJ$186, "")</f>
        <v/>
      </c>
      <c r="AK161" s="1" t="str">
        <f>IF(Table1[[#This Row],[Included?]], Table35[[#This Row],[I OBMod Z-Score]]*AK$185+AK$186, "")</f>
        <v/>
      </c>
      <c r="AL161" s="1" t="str">
        <f>IF(Table1[[#This Row],[Included?]], AVERAGE(Table35[[#This Row],[I Tot Value]:[I OB Z Value]]), "")</f>
        <v/>
      </c>
    </row>
    <row r="162" spans="1:38" x14ac:dyDescent="0.25">
      <c r="A162" s="1">
        <f>(Table1[[#This Row],[R]]-Data!H$188)/(Data!H$187-Data!H$188)</f>
        <v>0.38863636363636367</v>
      </c>
      <c r="B162" s="1">
        <f>(Table1[[#This Row],[HR]]-Data!I$188)/(Data!I$187-Data!I$188)</f>
        <v>0.18584070796460173</v>
      </c>
      <c r="C162" s="1">
        <f>(Table1[[#This Row],[RBI]]-Data!J$188)/(Data!J$187-Data!J$188)</f>
        <v>0.31613642877615367</v>
      </c>
      <c r="D162" s="1">
        <f>(Table1[[#This Row],[SB]]-Data!K$188)/(Data!K$187-Data!K$188)</f>
        <v>0.22898368883312417</v>
      </c>
      <c r="E162" s="1">
        <f>(Table1[[#This Row],[OBP]]-Data!L$188)/(Data!L$187-Data!L$188)</f>
        <v>0.15174205522502868</v>
      </c>
      <c r="F162" s="1">
        <f>(Table1[[#This Row],[OB]]-Data!P$188)/(Data!P$187-Data!P$188)</f>
        <v>0.39059877649725688</v>
      </c>
      <c r="G162" s="1">
        <f>SUM(Table3[[#This Row],[R Scale]:[OBP Scale]])</f>
        <v>1.2713392444352718</v>
      </c>
      <c r="H162" s="1">
        <f>SUM(Table3[[#This Row],[R Scale]:[SB Scale]],Table3[[#This Row],[OB Scale]])</f>
        <v>1.5101959657075001</v>
      </c>
      <c r="I162" s="1">
        <f>Table3[[#This Row],[R Scale]]*Data!B$192+Table3[[#This Row],[HR Scale]]*Data!C$192+Table3[[#This Row],[RBI Scale]]*Data!D$192+Table3[[#This Row],[SB Scale]]*Data!E$192+Table3[[#This Row],[OBP Scale]]*Data!F$192</f>
        <v>1.3260513048718721</v>
      </c>
      <c r="J162" s="1">
        <f>Table3[[#This Row],[R Scale]]*Data!B$192+Table3[[#This Row],[HR Scale]]*Data!C$192+Table3[[#This Row],[RBI Scale]]*Data!D$192+Table3[[#This Row],[SB Scale]]*Data!E$192+Table3[[#This Row],[OB Scale]]*Data!F$192</f>
        <v>1.6126793703985458</v>
      </c>
      <c r="K16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-2.7025611612847023</v>
      </c>
      <c r="L16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-2.7715854263146484</v>
      </c>
      <c r="M162" s="1">
        <f ca="1">Table3[[#This Row],[Tot Scale]]*M$185+M$186</f>
        <v>-19.507737356812314</v>
      </c>
      <c r="N162" s="1">
        <f ca="1">Table3[[#This Row],[OB Tot Scale]]*N$185+N$186</f>
        <v>-12.441373843888378</v>
      </c>
      <c r="O162" s="1">
        <f ca="1">Table3[[#This Row],[Weighted Scale]]*O$185+O$186</f>
        <v>-20.586245513422384</v>
      </c>
      <c r="P162" s="1">
        <f ca="1">Table3[[#This Row],[OB Weighted Scale]]*P$185+P$186</f>
        <v>-12.833920481955495</v>
      </c>
      <c r="Q162" s="1">
        <f ca="1">Table3[[#This Row],[Z-score]]*Q$185+Q$186</f>
        <v>-18.451549670776739</v>
      </c>
      <c r="R162" s="1">
        <f ca="1">Table3[[#This Row],[OBMod Z-Score]]*R$185+R$186</f>
        <v>-18.526663714080595</v>
      </c>
      <c r="S162" s="1">
        <f ca="1">AVERAGE(Table3[[#This Row],[Tot Value]:[OB Z Value]])</f>
        <v>-17.057915096822651</v>
      </c>
      <c r="T162" s="1" t="str">
        <f>IF(Table1[[#This Row],[Included?]], (Table1[[#This Row],[I R]]-Data!S$188)/(Data!S$187-Data!S$188), "")</f>
        <v/>
      </c>
      <c r="U162" s="1" t="str">
        <f>IF(Table1[[#This Row],[Included?]], (Table1[[#This Row],[I HR]]-Data!T$188)/(Data!T$187-Data!T$188), "")</f>
        <v/>
      </c>
      <c r="V162" s="1" t="str">
        <f>IF(Table1[[#This Row],[Included?]], (Table1[[#This Row],[I RBI]]-Data!U$188)/(Data!U$187-Data!U$188), "")</f>
        <v/>
      </c>
      <c r="W162" s="1" t="str">
        <f>IF(Table1[[#This Row],[Included?]], (Table1[[#This Row],[I SB]]-Data!V$188)/(Data!V$187-Data!V$188), "")</f>
        <v/>
      </c>
      <c r="X162" s="1" t="str">
        <f>IF(Table1[[#This Row],[Included?]], (Table1[[#This Row],[I OBP]]-Data!W$188)/(Data!W$187-Data!W$188), "")</f>
        <v/>
      </c>
      <c r="Y162" s="1" t="str">
        <f>IF(Table1[[#This Row],[Included?]], (Table1[[#This Row],[I OB]]-Data!AA$188)/(Data!AA$187-Data!AA$188), "")</f>
        <v/>
      </c>
      <c r="Z162" s="1" t="str">
        <f>IF(Table1[[#This Row],[Included?]], SUM(Table35[[#This Row],[I R Scale]:[I OBP Scale]]), "")</f>
        <v/>
      </c>
      <c r="AA162" s="1" t="str">
        <f>IF(Table1[[#This Row],[Included?]], SUM(Table35[[#This Row],[I R Scale]:[I SB Scale]],Table35[[#This Row],[I OB Scale]]), "")</f>
        <v/>
      </c>
      <c r="AB16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2" s="1" t="str">
        <f>IF(Table1[[#This Row],[Included?]], Table35[[#This Row],[I Tot Scale]]*AF$185+AF$186, "")</f>
        <v/>
      </c>
      <c r="AG162" s="1" t="str">
        <f>IF(Table1[[#This Row],[Included?]], Table35[[#This Row],[I OB Tot Scale]]*AG$185+AG$186, "")</f>
        <v/>
      </c>
      <c r="AH162" s="1" t="str">
        <f>IF(Table1[[#This Row],[Included?]], Table35[[#This Row],[I Weighted Scale]]*AH$185+AH$186, "")</f>
        <v/>
      </c>
      <c r="AI162" s="1" t="str">
        <f>IF(Table1[[#This Row],[Included?]], Table35[[#This Row],[I OB Weighted Scale]]*AI$185+AI$186, "")</f>
        <v/>
      </c>
      <c r="AJ162" s="1" t="str">
        <f>IF(Table1[[#This Row],[Included?]], Table35[[#This Row],[I Z-score]]*AJ$185+AJ$186, "")</f>
        <v/>
      </c>
      <c r="AK162" s="1" t="str">
        <f>IF(Table1[[#This Row],[Included?]], Table35[[#This Row],[I OBMod Z-Score]]*AK$185+AK$186, "")</f>
        <v/>
      </c>
      <c r="AL162" s="1" t="str">
        <f>IF(Table1[[#This Row],[Included?]], AVERAGE(Table35[[#This Row],[I Tot Value]:[I OB Z Value]]), "")</f>
        <v/>
      </c>
    </row>
    <row r="163" spans="1:38" x14ac:dyDescent="0.25">
      <c r="A163" s="1">
        <f>(Table1[[#This Row],[R]]-Data!H$188)/(Data!H$187-Data!H$188)</f>
        <v>0.44346590909090911</v>
      </c>
      <c r="B163" s="1">
        <f>(Table1[[#This Row],[HR]]-Data!I$188)/(Data!I$187-Data!I$188)</f>
        <v>0.31858407079646012</v>
      </c>
      <c r="C163" s="1">
        <f>(Table1[[#This Row],[RBI]]-Data!J$188)/(Data!J$187-Data!J$188)</f>
        <v>0.22184006878761825</v>
      </c>
      <c r="D163" s="1">
        <f>(Table1[[#This Row],[SB]]-Data!K$188)/(Data!K$187-Data!K$188)</f>
        <v>0.19196988707653698</v>
      </c>
      <c r="E163" s="1">
        <f>(Table1[[#This Row],[OBP]]-Data!L$188)/(Data!L$187-Data!L$188)</f>
        <v>0.28525209159298426</v>
      </c>
      <c r="F163" s="1">
        <f>(Table1[[#This Row],[OB]]-Data!P$188)/(Data!P$187-Data!P$188)</f>
        <v>0.34125491373074962</v>
      </c>
      <c r="G163" s="1">
        <f>SUM(Table3[[#This Row],[R Scale]:[OBP Scale]])</f>
        <v>1.4611120273445088</v>
      </c>
      <c r="H163" s="1">
        <f>SUM(Table3[[#This Row],[R Scale]:[SB Scale]],Table3[[#This Row],[OB Scale]])</f>
        <v>1.5171148494822742</v>
      </c>
      <c r="I163" s="1">
        <f>Table3[[#This Row],[R Scale]]*Data!B$192+Table3[[#This Row],[HR Scale]]*Data!C$192+Table3[[#This Row],[RBI Scale]]*Data!D$192+Table3[[#This Row],[SB Scale]]*Data!E$192+Table3[[#This Row],[OBP Scale]]*Data!F$192</f>
        <v>1.5181838685115383</v>
      </c>
      <c r="J163" s="1">
        <f>Table3[[#This Row],[R Scale]]*Data!B$192+Table3[[#This Row],[HR Scale]]*Data!C$192+Table3[[#This Row],[RBI Scale]]*Data!D$192+Table3[[#This Row],[SB Scale]]*Data!E$192+Table3[[#This Row],[OB Scale]]*Data!F$192</f>
        <v>1.5853872550768568</v>
      </c>
      <c r="K16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-1.7986167794877042</v>
      </c>
      <c r="L16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-1.7451957178073445</v>
      </c>
      <c r="M163" s="1">
        <f ca="1">Table3[[#This Row],[Tot Scale]]*M$185+M$186</f>
        <v>-12.499078786498252</v>
      </c>
      <c r="N163" s="1">
        <f ca="1">Table3[[#This Row],[OB Tot Scale]]*N$185+N$186</f>
        <v>-12.189056088466749</v>
      </c>
      <c r="O163" s="1">
        <f ca="1">Table3[[#This Row],[Weighted Scale]]*O$185+O$186</f>
        <v>-13.97798789370772</v>
      </c>
      <c r="P163" s="1">
        <f ca="1">Table3[[#This Row],[OB Weighted Scale]]*P$185+P$186</f>
        <v>-13.765690413116275</v>
      </c>
      <c r="Q163" s="1">
        <f ca="1">Table3[[#This Row],[Z-score]]*Q$185+Q$186</f>
        <v>-11.809581520391038</v>
      </c>
      <c r="R163" s="1">
        <f ca="1">Table3[[#This Row],[OBMod Z-Score]]*R$185+R$186</f>
        <v>-11.054021914653859</v>
      </c>
      <c r="S163" s="1">
        <f ca="1">AVERAGE(Table3[[#This Row],[Tot Value]:[OB Z Value]])</f>
        <v>-12.549236102805649</v>
      </c>
      <c r="T163" s="1" t="str">
        <f>IF(Table1[[#This Row],[Included?]], (Table1[[#This Row],[I R]]-Data!S$188)/(Data!S$187-Data!S$188), "")</f>
        <v/>
      </c>
      <c r="U163" s="1" t="str">
        <f>IF(Table1[[#This Row],[Included?]], (Table1[[#This Row],[I HR]]-Data!T$188)/(Data!T$187-Data!T$188), "")</f>
        <v/>
      </c>
      <c r="V163" s="1" t="str">
        <f>IF(Table1[[#This Row],[Included?]], (Table1[[#This Row],[I RBI]]-Data!U$188)/(Data!U$187-Data!U$188), "")</f>
        <v/>
      </c>
      <c r="W163" s="1" t="str">
        <f>IF(Table1[[#This Row],[Included?]], (Table1[[#This Row],[I SB]]-Data!V$188)/(Data!V$187-Data!V$188), "")</f>
        <v/>
      </c>
      <c r="X163" s="1" t="str">
        <f>IF(Table1[[#This Row],[Included?]], (Table1[[#This Row],[I OBP]]-Data!W$188)/(Data!W$187-Data!W$188), "")</f>
        <v/>
      </c>
      <c r="Y163" s="1" t="str">
        <f>IF(Table1[[#This Row],[Included?]], (Table1[[#This Row],[I OB]]-Data!AA$188)/(Data!AA$187-Data!AA$188), "")</f>
        <v/>
      </c>
      <c r="Z163" s="1" t="str">
        <f>IF(Table1[[#This Row],[Included?]], SUM(Table35[[#This Row],[I R Scale]:[I OBP Scale]]), "")</f>
        <v/>
      </c>
      <c r="AA163" s="1" t="str">
        <f>IF(Table1[[#This Row],[Included?]], SUM(Table35[[#This Row],[I R Scale]:[I SB Scale]],Table35[[#This Row],[I OB Scale]]), "")</f>
        <v/>
      </c>
      <c r="AB16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3" s="1" t="str">
        <f>IF(Table1[[#This Row],[Included?]], Table35[[#This Row],[I Tot Scale]]*AF$185+AF$186, "")</f>
        <v/>
      </c>
      <c r="AG163" s="1" t="str">
        <f>IF(Table1[[#This Row],[Included?]], Table35[[#This Row],[I OB Tot Scale]]*AG$185+AG$186, "")</f>
        <v/>
      </c>
      <c r="AH163" s="1" t="str">
        <f>IF(Table1[[#This Row],[Included?]], Table35[[#This Row],[I Weighted Scale]]*AH$185+AH$186, "")</f>
        <v/>
      </c>
      <c r="AI163" s="1" t="str">
        <f>IF(Table1[[#This Row],[Included?]], Table35[[#This Row],[I OB Weighted Scale]]*AI$185+AI$186, "")</f>
        <v/>
      </c>
      <c r="AJ163" s="1" t="str">
        <f>IF(Table1[[#This Row],[Included?]], Table35[[#This Row],[I Z-score]]*AJ$185+AJ$186, "")</f>
        <v/>
      </c>
      <c r="AK163" s="1" t="str">
        <f>IF(Table1[[#This Row],[Included?]], Table35[[#This Row],[I OBMod Z-Score]]*AK$185+AK$186, "")</f>
        <v/>
      </c>
      <c r="AL163" s="1" t="str">
        <f>IF(Table1[[#This Row],[Included?]], AVERAGE(Table35[[#This Row],[I Tot Value]:[I OB Z Value]]), "")</f>
        <v/>
      </c>
    </row>
    <row r="164" spans="1:38" x14ac:dyDescent="0.25">
      <c r="A164" s="1">
        <f>(Table1[[#This Row],[R]]-Data!H$188)/(Data!H$187-Data!H$188)</f>
        <v>0.27215909090909102</v>
      </c>
      <c r="B164" s="1">
        <f>(Table1[[#This Row],[HR]]-Data!I$188)/(Data!I$187-Data!I$188)</f>
        <v>0.32539142273655547</v>
      </c>
      <c r="C164" s="1">
        <f>(Table1[[#This Row],[RBI]]-Data!J$188)/(Data!J$187-Data!J$188)</f>
        <v>0.27715677844654624</v>
      </c>
      <c r="D164" s="1">
        <f>(Table1[[#This Row],[SB]]-Data!K$188)/(Data!K$187-Data!K$188)</f>
        <v>0.17722710163111663</v>
      </c>
      <c r="E164" s="1">
        <f>(Table1[[#This Row],[OBP]]-Data!L$188)/(Data!L$187-Data!L$188)</f>
        <v>0.32150050438086059</v>
      </c>
      <c r="F164" s="1">
        <f>(Table1[[#This Row],[OB]]-Data!P$188)/(Data!P$187-Data!P$188)</f>
        <v>0.41023061105114372</v>
      </c>
      <c r="G164" s="1">
        <f>SUM(Table3[[#This Row],[R Scale]:[OBP Scale]])</f>
        <v>1.37343489810417</v>
      </c>
      <c r="H164" s="1">
        <f>SUM(Table3[[#This Row],[R Scale]:[SB Scale]],Table3[[#This Row],[OB Scale]])</f>
        <v>1.4621650047744532</v>
      </c>
      <c r="I164" s="1">
        <f>Table3[[#This Row],[R Scale]]*Data!B$192+Table3[[#This Row],[HR Scale]]*Data!C$192+Table3[[#This Row],[RBI Scale]]*Data!D$192+Table3[[#This Row],[SB Scale]]*Data!E$192+Table3[[#This Row],[OBP Scale]]*Data!F$192</f>
        <v>1.4659504455787422</v>
      </c>
      <c r="J164" s="1">
        <f>Table3[[#This Row],[R Scale]]*Data!B$192+Table3[[#This Row],[HR Scale]]*Data!C$192+Table3[[#This Row],[RBI Scale]]*Data!D$192+Table3[[#This Row],[SB Scale]]*Data!E$192+Table3[[#This Row],[OB Scale]]*Data!F$192</f>
        <v>1.572426573583082</v>
      </c>
      <c r="K16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-2.2767752788599864</v>
      </c>
      <c r="L16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-2.2848248129024036</v>
      </c>
      <c r="M164" s="1">
        <f ca="1">Table3[[#This Row],[Tot Scale]]*M$185+M$186</f>
        <v>-15.737156733454071</v>
      </c>
      <c r="N164" s="1">
        <f ca="1">Table3[[#This Row],[OB Tot Scale]]*N$185+N$186</f>
        <v>-14.192966246344433</v>
      </c>
      <c r="O164" s="1">
        <f ca="1">Table3[[#This Row],[Weighted Scale]]*O$185+O$186</f>
        <v>-15.774517896538363</v>
      </c>
      <c r="P164" s="1">
        <f ca="1">Table3[[#This Row],[OB Weighted Scale]]*P$185+P$186</f>
        <v>-14.208176206573789</v>
      </c>
      <c r="Q164" s="1">
        <f ca="1">Table3[[#This Row],[Z-score]]*Q$185+Q$186</f>
        <v>-15.322976357088134</v>
      </c>
      <c r="R164" s="1">
        <f ca="1">Table3[[#This Row],[OBMod Z-Score]]*R$185+R$186</f>
        <v>-14.982797601676904</v>
      </c>
      <c r="S164" s="1">
        <f ca="1">AVERAGE(Table3[[#This Row],[Tot Value]:[OB Z Value]])</f>
        <v>-15.036431840279283</v>
      </c>
      <c r="T164" s="1" t="str">
        <f>IF(Table1[[#This Row],[Included?]], (Table1[[#This Row],[I R]]-Data!S$188)/(Data!S$187-Data!S$188), "")</f>
        <v/>
      </c>
      <c r="U164" s="1" t="str">
        <f>IF(Table1[[#This Row],[Included?]], (Table1[[#This Row],[I HR]]-Data!T$188)/(Data!T$187-Data!T$188), "")</f>
        <v/>
      </c>
      <c r="V164" s="1" t="str">
        <f>IF(Table1[[#This Row],[Included?]], (Table1[[#This Row],[I RBI]]-Data!U$188)/(Data!U$187-Data!U$188), "")</f>
        <v/>
      </c>
      <c r="W164" s="1" t="str">
        <f>IF(Table1[[#This Row],[Included?]], (Table1[[#This Row],[I SB]]-Data!V$188)/(Data!V$187-Data!V$188), "")</f>
        <v/>
      </c>
      <c r="X164" s="1" t="str">
        <f>IF(Table1[[#This Row],[Included?]], (Table1[[#This Row],[I OBP]]-Data!W$188)/(Data!W$187-Data!W$188), "")</f>
        <v/>
      </c>
      <c r="Y164" s="1" t="str">
        <f>IF(Table1[[#This Row],[Included?]], (Table1[[#This Row],[I OB]]-Data!AA$188)/(Data!AA$187-Data!AA$188), "")</f>
        <v/>
      </c>
      <c r="Z164" s="1" t="str">
        <f>IF(Table1[[#This Row],[Included?]], SUM(Table35[[#This Row],[I R Scale]:[I OBP Scale]]), "")</f>
        <v/>
      </c>
      <c r="AA164" s="1" t="str">
        <f>IF(Table1[[#This Row],[Included?]], SUM(Table35[[#This Row],[I R Scale]:[I SB Scale]],Table35[[#This Row],[I OB Scale]]), "")</f>
        <v/>
      </c>
      <c r="AB16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4" s="1" t="str">
        <f>IF(Table1[[#This Row],[Included?]], Table35[[#This Row],[I Tot Scale]]*AF$185+AF$186, "")</f>
        <v/>
      </c>
      <c r="AG164" s="1" t="str">
        <f>IF(Table1[[#This Row],[Included?]], Table35[[#This Row],[I OB Tot Scale]]*AG$185+AG$186, "")</f>
        <v/>
      </c>
      <c r="AH164" s="1" t="str">
        <f>IF(Table1[[#This Row],[Included?]], Table35[[#This Row],[I Weighted Scale]]*AH$185+AH$186, "")</f>
        <v/>
      </c>
      <c r="AI164" s="1" t="str">
        <f>IF(Table1[[#This Row],[Included?]], Table35[[#This Row],[I OB Weighted Scale]]*AI$185+AI$186, "")</f>
        <v/>
      </c>
      <c r="AJ164" s="1" t="str">
        <f>IF(Table1[[#This Row],[Included?]], Table35[[#This Row],[I Z-score]]*AJ$185+AJ$186, "")</f>
        <v/>
      </c>
      <c r="AK164" s="1" t="str">
        <f>IF(Table1[[#This Row],[Included?]], Table35[[#This Row],[I OBMod Z-Score]]*AK$185+AK$186, "")</f>
        <v/>
      </c>
      <c r="AL164" s="1" t="str">
        <f>IF(Table1[[#This Row],[Included?]], AVERAGE(Table35[[#This Row],[I Tot Value]:[I OB Z Value]]), "")</f>
        <v/>
      </c>
    </row>
    <row r="165" spans="1:38" x14ac:dyDescent="0.25">
      <c r="A165" s="1">
        <f>(Table1[[#This Row],[R]]-Data!H$188)/(Data!H$187-Data!H$188)</f>
        <v>0.44090909090909097</v>
      </c>
      <c r="B165" s="1">
        <f>(Table1[[#This Row],[HR]]-Data!I$188)/(Data!I$187-Data!I$188)</f>
        <v>0.2314499659632403</v>
      </c>
      <c r="C165" s="1">
        <f>(Table1[[#This Row],[RBI]]-Data!J$188)/(Data!J$187-Data!J$188)</f>
        <v>0.30839782172542274</v>
      </c>
      <c r="D165" s="1">
        <f>(Table1[[#This Row],[SB]]-Data!K$188)/(Data!K$187-Data!K$188)</f>
        <v>0.20514429109159343</v>
      </c>
      <c r="E165" s="1">
        <f>(Table1[[#This Row],[OBP]]-Data!L$188)/(Data!L$187-Data!L$188)</f>
        <v>0.17672453821323392</v>
      </c>
      <c r="F165" s="1">
        <f>(Table1[[#This Row],[OB]]-Data!P$188)/(Data!P$187-Data!P$188)</f>
        <v>0.32775838181800582</v>
      </c>
      <c r="G165" s="1">
        <f>SUM(Table3[[#This Row],[R Scale]:[OBP Scale]])</f>
        <v>1.3626257079025812</v>
      </c>
      <c r="H165" s="1">
        <f>SUM(Table3[[#This Row],[R Scale]:[SB Scale]],Table3[[#This Row],[OB Scale]])</f>
        <v>1.5136595515073532</v>
      </c>
      <c r="I165" s="1">
        <f>Table3[[#This Row],[R Scale]]*Data!B$192+Table3[[#This Row],[HR Scale]]*Data!C$192+Table3[[#This Row],[RBI Scale]]*Data!D$192+Table3[[#This Row],[SB Scale]]*Data!E$192+Table3[[#This Row],[OBP Scale]]*Data!F$192</f>
        <v>1.4155592707994038</v>
      </c>
      <c r="J165" s="1">
        <f>Table3[[#This Row],[R Scale]]*Data!B$192+Table3[[#This Row],[HR Scale]]*Data!C$192+Table3[[#This Row],[RBI Scale]]*Data!D$192+Table3[[#This Row],[SB Scale]]*Data!E$192+Table3[[#This Row],[OB Scale]]*Data!F$192</f>
        <v>1.59679988312513</v>
      </c>
      <c r="K16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-2.2942068752609184</v>
      </c>
      <c r="L16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-2.2297623682631649</v>
      </c>
      <c r="M165" s="1">
        <f ca="1">Table3[[#This Row],[Tot Scale]]*M$185+M$186</f>
        <v>-16.136360045874021</v>
      </c>
      <c r="N165" s="1">
        <f ca="1">Table3[[#This Row],[OB Tot Scale]]*N$185+N$186</f>
        <v>-12.315063846036495</v>
      </c>
      <c r="O165" s="1">
        <f ca="1">Table3[[#This Row],[Weighted Scale]]*O$185+O$186</f>
        <v>-17.50768513479192</v>
      </c>
      <c r="P165" s="1">
        <f ca="1">Table3[[#This Row],[OB Weighted Scale]]*P$185+P$186</f>
        <v>-13.376056135026722</v>
      </c>
      <c r="Q165" s="1">
        <f ca="1">Table3[[#This Row],[Z-score]]*Q$185+Q$186</f>
        <v>-15.451059578176583</v>
      </c>
      <c r="R165" s="1">
        <f ca="1">Table3[[#This Row],[OBMod Z-Score]]*R$185+R$186</f>
        <v>-14.581914855114494</v>
      </c>
      <c r="S165" s="1">
        <f ca="1">AVERAGE(Table3[[#This Row],[Tot Value]:[OB Z Value]])</f>
        <v>-14.894689932503374</v>
      </c>
      <c r="T165" s="1" t="str">
        <f>IF(Table1[[#This Row],[Included?]], (Table1[[#This Row],[I R]]-Data!S$188)/(Data!S$187-Data!S$188), "")</f>
        <v/>
      </c>
      <c r="U165" s="1" t="str">
        <f>IF(Table1[[#This Row],[Included?]], (Table1[[#This Row],[I HR]]-Data!T$188)/(Data!T$187-Data!T$188), "")</f>
        <v/>
      </c>
      <c r="V165" s="1" t="str">
        <f>IF(Table1[[#This Row],[Included?]], (Table1[[#This Row],[I RBI]]-Data!U$188)/(Data!U$187-Data!U$188), "")</f>
        <v/>
      </c>
      <c r="W165" s="1" t="str">
        <f>IF(Table1[[#This Row],[Included?]], (Table1[[#This Row],[I SB]]-Data!V$188)/(Data!V$187-Data!V$188), "")</f>
        <v/>
      </c>
      <c r="X165" s="1" t="str">
        <f>IF(Table1[[#This Row],[Included?]], (Table1[[#This Row],[I OBP]]-Data!W$188)/(Data!W$187-Data!W$188), "")</f>
        <v/>
      </c>
      <c r="Y165" s="1" t="str">
        <f>IF(Table1[[#This Row],[Included?]], (Table1[[#This Row],[I OB]]-Data!AA$188)/(Data!AA$187-Data!AA$188), "")</f>
        <v/>
      </c>
      <c r="Z165" s="1" t="str">
        <f>IF(Table1[[#This Row],[Included?]], SUM(Table35[[#This Row],[I R Scale]:[I OBP Scale]]), "")</f>
        <v/>
      </c>
      <c r="AA165" s="1" t="str">
        <f>IF(Table1[[#This Row],[Included?]], SUM(Table35[[#This Row],[I R Scale]:[I SB Scale]],Table35[[#This Row],[I OB Scale]]), "")</f>
        <v/>
      </c>
      <c r="AB16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5" s="1" t="str">
        <f>IF(Table1[[#This Row],[Included?]], Table35[[#This Row],[I Tot Scale]]*AF$185+AF$186, "")</f>
        <v/>
      </c>
      <c r="AG165" s="1" t="str">
        <f>IF(Table1[[#This Row],[Included?]], Table35[[#This Row],[I OB Tot Scale]]*AG$185+AG$186, "")</f>
        <v/>
      </c>
      <c r="AH165" s="1" t="str">
        <f>IF(Table1[[#This Row],[Included?]], Table35[[#This Row],[I Weighted Scale]]*AH$185+AH$186, "")</f>
        <v/>
      </c>
      <c r="AI165" s="1" t="str">
        <f>IF(Table1[[#This Row],[Included?]], Table35[[#This Row],[I OB Weighted Scale]]*AI$185+AI$186, "")</f>
        <v/>
      </c>
      <c r="AJ165" s="1" t="str">
        <f>IF(Table1[[#This Row],[Included?]], Table35[[#This Row],[I Z-score]]*AJ$185+AJ$186, "")</f>
        <v/>
      </c>
      <c r="AK165" s="1" t="str">
        <f>IF(Table1[[#This Row],[Included?]], Table35[[#This Row],[I OBMod Z-Score]]*AK$185+AK$186, "")</f>
        <v/>
      </c>
      <c r="AL165" s="1" t="str">
        <f>IF(Table1[[#This Row],[Included?]], AVERAGE(Table35[[#This Row],[I Tot Value]:[I OB Z Value]]), "")</f>
        <v/>
      </c>
    </row>
    <row r="166" spans="1:38" x14ac:dyDescent="0.25">
      <c r="A166" s="1">
        <f>(Table1[[#This Row],[R]]-Data!H$188)/(Data!H$187-Data!H$188)</f>
        <v>0.26534090909090918</v>
      </c>
      <c r="B166" s="1">
        <f>(Table1[[#This Row],[HR]]-Data!I$188)/(Data!I$187-Data!I$188)</f>
        <v>7.2838665759019747E-2</v>
      </c>
      <c r="C166" s="1">
        <f>(Table1[[#This Row],[RBI]]-Data!J$188)/(Data!J$187-Data!J$188)</f>
        <v>0.28575523072513609</v>
      </c>
      <c r="D166" s="1">
        <f>(Table1[[#This Row],[SB]]-Data!K$188)/(Data!K$187-Data!K$188)</f>
        <v>0.1938519447929736</v>
      </c>
      <c r="E166" s="1">
        <f>(Table1[[#This Row],[OBP]]-Data!L$188)/(Data!L$187-Data!L$188)</f>
        <v>0.36959462765689755</v>
      </c>
      <c r="F166" s="1">
        <f>(Table1[[#This Row],[OB]]-Data!P$188)/(Data!P$187-Data!P$188)</f>
        <v>0.45944502729033476</v>
      </c>
      <c r="G166" s="1">
        <f>SUM(Table3[[#This Row],[R Scale]:[OBP Scale]])</f>
        <v>1.1873813780249363</v>
      </c>
      <c r="H166" s="1">
        <f>SUM(Table3[[#This Row],[R Scale]:[SB Scale]],Table3[[#This Row],[OB Scale]])</f>
        <v>1.2772317776583735</v>
      </c>
      <c r="I166" s="1">
        <f>Table3[[#This Row],[R Scale]]*Data!B$192+Table3[[#This Row],[HR Scale]]*Data!C$192+Table3[[#This Row],[RBI Scale]]*Data!D$192+Table3[[#This Row],[SB Scale]]*Data!E$192+Table3[[#This Row],[OBP Scale]]*Data!F$192</f>
        <v>1.2919172587922521</v>
      </c>
      <c r="J166" s="1">
        <f>Table3[[#This Row],[R Scale]]*Data!B$192+Table3[[#This Row],[HR Scale]]*Data!C$192+Table3[[#This Row],[RBI Scale]]*Data!D$192+Table3[[#This Row],[SB Scale]]*Data!E$192+Table3[[#This Row],[OB Scale]]*Data!F$192</f>
        <v>1.3997377383523766</v>
      </c>
      <c r="K16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-3.019061119299395</v>
      </c>
      <c r="L16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-3.0498765507594179</v>
      </c>
      <c r="M166" s="1">
        <f ca="1">Table3[[#This Row],[Tot Scale]]*M$185+M$186</f>
        <v>-22.608456073908393</v>
      </c>
      <c r="N166" s="1">
        <f ca="1">Table3[[#This Row],[OB Tot Scale]]*N$185+N$186</f>
        <v>-20.937108551341105</v>
      </c>
      <c r="O166" s="1">
        <f ca="1">Table3[[#This Row],[Weighted Scale]]*O$185+O$186</f>
        <v>-21.760260817357945</v>
      </c>
      <c r="P166" s="1">
        <f ca="1">Table3[[#This Row],[OB Weighted Scale]]*P$185+P$186</f>
        <v>-20.103881329411166</v>
      </c>
      <c r="Q166" s="1">
        <f ca="1">Table3[[#This Row],[Z-score]]*Q$185+Q$186</f>
        <v>-20.777116025371438</v>
      </c>
      <c r="R166" s="1">
        <f ca="1">Table3[[#This Row],[OBMod Z-Score]]*R$185+R$186</f>
        <v>-20.552765370886767</v>
      </c>
      <c r="S166" s="1">
        <f ca="1">AVERAGE(Table3[[#This Row],[Tot Value]:[OB Z Value]])</f>
        <v>-21.123264694712802</v>
      </c>
      <c r="T166" s="1" t="str">
        <f>IF(Table1[[#This Row],[Included?]], (Table1[[#This Row],[I R]]-Data!S$188)/(Data!S$187-Data!S$188), "")</f>
        <v/>
      </c>
      <c r="U166" s="1" t="str">
        <f>IF(Table1[[#This Row],[Included?]], (Table1[[#This Row],[I HR]]-Data!T$188)/(Data!T$187-Data!T$188), "")</f>
        <v/>
      </c>
      <c r="V166" s="1" t="str">
        <f>IF(Table1[[#This Row],[Included?]], (Table1[[#This Row],[I RBI]]-Data!U$188)/(Data!U$187-Data!U$188), "")</f>
        <v/>
      </c>
      <c r="W166" s="1" t="str">
        <f>IF(Table1[[#This Row],[Included?]], (Table1[[#This Row],[I SB]]-Data!V$188)/(Data!V$187-Data!V$188), "")</f>
        <v/>
      </c>
      <c r="X166" s="1" t="str">
        <f>IF(Table1[[#This Row],[Included?]], (Table1[[#This Row],[I OBP]]-Data!W$188)/(Data!W$187-Data!W$188), "")</f>
        <v/>
      </c>
      <c r="Y166" s="1" t="str">
        <f>IF(Table1[[#This Row],[Included?]], (Table1[[#This Row],[I OB]]-Data!AA$188)/(Data!AA$187-Data!AA$188), "")</f>
        <v/>
      </c>
      <c r="Z166" s="1" t="str">
        <f>IF(Table1[[#This Row],[Included?]], SUM(Table35[[#This Row],[I R Scale]:[I OBP Scale]]), "")</f>
        <v/>
      </c>
      <c r="AA166" s="1" t="str">
        <f>IF(Table1[[#This Row],[Included?]], SUM(Table35[[#This Row],[I R Scale]:[I SB Scale]],Table35[[#This Row],[I OB Scale]]), "")</f>
        <v/>
      </c>
      <c r="AB16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6" s="1" t="str">
        <f>IF(Table1[[#This Row],[Included?]], Table35[[#This Row],[I Tot Scale]]*AF$185+AF$186, "")</f>
        <v/>
      </c>
      <c r="AG166" s="1" t="str">
        <f>IF(Table1[[#This Row],[Included?]], Table35[[#This Row],[I OB Tot Scale]]*AG$185+AG$186, "")</f>
        <v/>
      </c>
      <c r="AH166" s="1" t="str">
        <f>IF(Table1[[#This Row],[Included?]], Table35[[#This Row],[I Weighted Scale]]*AH$185+AH$186, "")</f>
        <v/>
      </c>
      <c r="AI166" s="1" t="str">
        <f>IF(Table1[[#This Row],[Included?]], Table35[[#This Row],[I OB Weighted Scale]]*AI$185+AI$186, "")</f>
        <v/>
      </c>
      <c r="AJ166" s="1" t="str">
        <f>IF(Table1[[#This Row],[Included?]], Table35[[#This Row],[I Z-score]]*AJ$185+AJ$186, "")</f>
        <v/>
      </c>
      <c r="AK166" s="1" t="str">
        <f>IF(Table1[[#This Row],[Included?]], Table35[[#This Row],[I OBMod Z-Score]]*AK$185+AK$186, "")</f>
        <v/>
      </c>
      <c r="AL166" s="1" t="str">
        <f>IF(Table1[[#This Row],[Included?]], AVERAGE(Table35[[#This Row],[I Tot Value]:[I OB Z Value]]), "")</f>
        <v/>
      </c>
    </row>
    <row r="167" spans="1:38" x14ac:dyDescent="0.25">
      <c r="A167" s="1">
        <f>(Table1[[#This Row],[R]]-Data!H$188)/(Data!H$187-Data!H$188)</f>
        <v>0.23778409090909092</v>
      </c>
      <c r="B167" s="1">
        <f>(Table1[[#This Row],[HR]]-Data!I$188)/(Data!I$187-Data!I$188)</f>
        <v>0.38597685500340356</v>
      </c>
      <c r="C167" s="1">
        <f>(Table1[[#This Row],[RBI]]-Data!J$188)/(Data!J$187-Data!J$188)</f>
        <v>0.23989681857265693</v>
      </c>
      <c r="D167" s="1">
        <f>(Table1[[#This Row],[SB]]-Data!K$188)/(Data!K$187-Data!K$188)</f>
        <v>0.15966122961104134</v>
      </c>
      <c r="E167" s="1">
        <f>(Table1[[#This Row],[OBP]]-Data!L$188)/(Data!L$187-Data!L$188)</f>
        <v>0.33374814632890626</v>
      </c>
      <c r="F167" s="1">
        <f>(Table1[[#This Row],[OB]]-Data!P$188)/(Data!P$187-Data!P$188)</f>
        <v>0.3839207223410469</v>
      </c>
      <c r="G167" s="1">
        <f>SUM(Table3[[#This Row],[R Scale]:[OBP Scale]])</f>
        <v>1.3570671404250989</v>
      </c>
      <c r="H167" s="1">
        <f>SUM(Table3[[#This Row],[R Scale]:[SB Scale]],Table3[[#This Row],[OB Scale]])</f>
        <v>1.4072397164372394</v>
      </c>
      <c r="I167" s="1">
        <f>Table3[[#This Row],[R Scale]]*Data!B$192+Table3[[#This Row],[HR Scale]]*Data!C$192+Table3[[#This Row],[RBI Scale]]*Data!D$192+Table3[[#This Row],[SB Scale]]*Data!E$192+Table3[[#This Row],[OBP Scale]]*Data!F$192</f>
        <v>1.4480177243145025</v>
      </c>
      <c r="J167" s="1">
        <f>Table3[[#This Row],[R Scale]]*Data!B$192+Table3[[#This Row],[HR Scale]]*Data!C$192+Table3[[#This Row],[RBI Scale]]*Data!D$192+Table3[[#This Row],[SB Scale]]*Data!E$192+Table3[[#This Row],[OB Scale]]*Data!F$192</f>
        <v>1.5082248155290712</v>
      </c>
      <c r="K16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-2.4181933352243981</v>
      </c>
      <c r="L16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-2.4079887605367052</v>
      </c>
      <c r="M167" s="1">
        <f ca="1">Table3[[#This Row],[Tot Scale]]*M$185+M$186</f>
        <v>-16.341648185682551</v>
      </c>
      <c r="N167" s="1">
        <f ca="1">Table3[[#This Row],[OB Tot Scale]]*N$185+N$186</f>
        <v>-16.195980882846904</v>
      </c>
      <c r="O167" s="1">
        <f ca="1">Table3[[#This Row],[Weighted Scale]]*O$185+O$186</f>
        <v>-16.391300599541687</v>
      </c>
      <c r="P167" s="1">
        <f ca="1">Table3[[#This Row],[OB Weighted Scale]]*P$185+P$186</f>
        <v>-16.400064485561352</v>
      </c>
      <c r="Q167" s="1">
        <f ca="1">Table3[[#This Row],[Z-score]]*Q$185+Q$186</f>
        <v>-16.362082573329669</v>
      </c>
      <c r="R167" s="1">
        <f ca="1">Table3[[#This Row],[OBMod Z-Score]]*R$185+R$186</f>
        <v>-15.879494105593512</v>
      </c>
      <c r="S167" s="1">
        <f ca="1">AVERAGE(Table3[[#This Row],[Tot Value]:[OB Z Value]])</f>
        <v>-16.261761805425945</v>
      </c>
      <c r="T167" s="1" t="str">
        <f>IF(Table1[[#This Row],[Included?]], (Table1[[#This Row],[I R]]-Data!S$188)/(Data!S$187-Data!S$188), "")</f>
        <v/>
      </c>
      <c r="U167" s="1" t="str">
        <f>IF(Table1[[#This Row],[Included?]], (Table1[[#This Row],[I HR]]-Data!T$188)/(Data!T$187-Data!T$188), "")</f>
        <v/>
      </c>
      <c r="V167" s="1" t="str">
        <f>IF(Table1[[#This Row],[Included?]], (Table1[[#This Row],[I RBI]]-Data!U$188)/(Data!U$187-Data!U$188), "")</f>
        <v/>
      </c>
      <c r="W167" s="1" t="str">
        <f>IF(Table1[[#This Row],[Included?]], (Table1[[#This Row],[I SB]]-Data!V$188)/(Data!V$187-Data!V$188), "")</f>
        <v/>
      </c>
      <c r="X167" s="1" t="str">
        <f>IF(Table1[[#This Row],[Included?]], (Table1[[#This Row],[I OBP]]-Data!W$188)/(Data!W$187-Data!W$188), "")</f>
        <v/>
      </c>
      <c r="Y167" s="1" t="str">
        <f>IF(Table1[[#This Row],[Included?]], (Table1[[#This Row],[I OB]]-Data!AA$188)/(Data!AA$187-Data!AA$188), "")</f>
        <v/>
      </c>
      <c r="Z167" s="1" t="str">
        <f>IF(Table1[[#This Row],[Included?]], SUM(Table35[[#This Row],[I R Scale]:[I OBP Scale]]), "")</f>
        <v/>
      </c>
      <c r="AA167" s="1" t="str">
        <f>IF(Table1[[#This Row],[Included?]], SUM(Table35[[#This Row],[I R Scale]:[I SB Scale]],Table35[[#This Row],[I OB Scale]]), "")</f>
        <v/>
      </c>
      <c r="AB16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7" s="1" t="str">
        <f>IF(Table1[[#This Row],[Included?]], Table35[[#This Row],[I Tot Scale]]*AF$185+AF$186, "")</f>
        <v/>
      </c>
      <c r="AG167" s="1" t="str">
        <f>IF(Table1[[#This Row],[Included?]], Table35[[#This Row],[I OB Tot Scale]]*AG$185+AG$186, "")</f>
        <v/>
      </c>
      <c r="AH167" s="1" t="str">
        <f>IF(Table1[[#This Row],[Included?]], Table35[[#This Row],[I Weighted Scale]]*AH$185+AH$186, "")</f>
        <v/>
      </c>
      <c r="AI167" s="1" t="str">
        <f>IF(Table1[[#This Row],[Included?]], Table35[[#This Row],[I OB Weighted Scale]]*AI$185+AI$186, "")</f>
        <v/>
      </c>
      <c r="AJ167" s="1" t="str">
        <f>IF(Table1[[#This Row],[Included?]], Table35[[#This Row],[I Z-score]]*AJ$185+AJ$186, "")</f>
        <v/>
      </c>
      <c r="AK167" s="1" t="str">
        <f>IF(Table1[[#This Row],[Included?]], Table35[[#This Row],[I OBMod Z-Score]]*AK$185+AK$186, "")</f>
        <v/>
      </c>
      <c r="AL167" s="1" t="str">
        <f>IF(Table1[[#This Row],[Included?]], AVERAGE(Table35[[#This Row],[I Tot Value]:[I OB Z Value]]), "")</f>
        <v/>
      </c>
    </row>
    <row r="168" spans="1:38" x14ac:dyDescent="0.25">
      <c r="A168" s="1">
        <f>(Table1[[#This Row],[R]]-Data!H$188)/(Data!H$187-Data!H$188)</f>
        <v>0.24034090909090913</v>
      </c>
      <c r="B168" s="1">
        <f>(Table1[[#This Row],[HR]]-Data!I$188)/(Data!I$187-Data!I$188)</f>
        <v>0.36419332879509869</v>
      </c>
      <c r="C168" s="1">
        <f>(Table1[[#This Row],[RBI]]-Data!J$188)/(Data!J$187-Data!J$188)</f>
        <v>0.31527658354829463</v>
      </c>
      <c r="D168" s="1">
        <f>(Table1[[#This Row],[SB]]-Data!K$188)/(Data!K$187-Data!K$188)</f>
        <v>0.18883312421580925</v>
      </c>
      <c r="E168" s="1">
        <f>(Table1[[#This Row],[OBP]]-Data!L$188)/(Data!L$187-Data!L$188)</f>
        <v>0.18680906208652023</v>
      </c>
      <c r="F168" s="1">
        <f>(Table1[[#This Row],[OB]]-Data!P$188)/(Data!P$187-Data!P$188)</f>
        <v>0.32712423109916017</v>
      </c>
      <c r="G168" s="1">
        <f>SUM(Table3[[#This Row],[R Scale]:[OBP Scale]])</f>
        <v>1.2954530077366317</v>
      </c>
      <c r="H168" s="1">
        <f>SUM(Table3[[#This Row],[R Scale]:[SB Scale]],Table3[[#This Row],[OB Scale]])</f>
        <v>1.4357681767492718</v>
      </c>
      <c r="I168" s="1">
        <f>Table3[[#This Row],[R Scale]]*Data!B$192+Table3[[#This Row],[HR Scale]]*Data!C$192+Table3[[#This Row],[RBI Scale]]*Data!D$192+Table3[[#This Row],[SB Scale]]*Data!E$192+Table3[[#This Row],[OBP Scale]]*Data!F$192</f>
        <v>1.3718360459545038</v>
      </c>
      <c r="J168" s="1">
        <f>Table3[[#This Row],[R Scale]]*Data!B$192+Table3[[#This Row],[HR Scale]]*Data!C$192+Table3[[#This Row],[RBI Scale]]*Data!D$192+Table3[[#This Row],[SB Scale]]*Data!E$192+Table3[[#This Row],[OB Scale]]*Data!F$192</f>
        <v>1.5402142487696717</v>
      </c>
      <c r="K16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-2.7515962017919593</v>
      </c>
      <c r="L16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-2.6830176664248029</v>
      </c>
      <c r="M168" s="1">
        <f ca="1">Table3[[#This Row],[Tot Scale]]*M$185+M$186</f>
        <v>-18.6171716432588</v>
      </c>
      <c r="N168" s="1">
        <f ca="1">Table3[[#This Row],[OB Tot Scale]]*N$185+N$186</f>
        <v>-15.155605396585422</v>
      </c>
      <c r="O168" s="1">
        <f ca="1">Table3[[#This Row],[Weighted Scale]]*O$185+O$186</f>
        <v>-19.011513159913619</v>
      </c>
      <c r="P168" s="1">
        <f ca="1">Table3[[#This Row],[OB Weighted Scale]]*P$185+P$186</f>
        <v>-15.30792517509979</v>
      </c>
      <c r="Q168" s="1">
        <f ca="1">Table3[[#This Row],[Z-score]]*Q$185+Q$186</f>
        <v>-18.811847476549502</v>
      </c>
      <c r="R168" s="1">
        <f ca="1">Table3[[#This Row],[OBMod Z-Score]]*R$185+R$186</f>
        <v>-17.88184514356222</v>
      </c>
      <c r="S168" s="1">
        <f ca="1">AVERAGE(Table3[[#This Row],[Tot Value]:[OB Z Value]])</f>
        <v>-17.464317999161558</v>
      </c>
      <c r="T168" s="1" t="str">
        <f>IF(Table1[[#This Row],[Included?]], (Table1[[#This Row],[I R]]-Data!S$188)/(Data!S$187-Data!S$188), "")</f>
        <v/>
      </c>
      <c r="U168" s="1" t="str">
        <f>IF(Table1[[#This Row],[Included?]], (Table1[[#This Row],[I HR]]-Data!T$188)/(Data!T$187-Data!T$188), "")</f>
        <v/>
      </c>
      <c r="V168" s="1" t="str">
        <f>IF(Table1[[#This Row],[Included?]], (Table1[[#This Row],[I RBI]]-Data!U$188)/(Data!U$187-Data!U$188), "")</f>
        <v/>
      </c>
      <c r="W168" s="1" t="str">
        <f>IF(Table1[[#This Row],[Included?]], (Table1[[#This Row],[I SB]]-Data!V$188)/(Data!V$187-Data!V$188), "")</f>
        <v/>
      </c>
      <c r="X168" s="1" t="str">
        <f>IF(Table1[[#This Row],[Included?]], (Table1[[#This Row],[I OBP]]-Data!W$188)/(Data!W$187-Data!W$188), "")</f>
        <v/>
      </c>
      <c r="Y168" s="1" t="str">
        <f>IF(Table1[[#This Row],[Included?]], (Table1[[#This Row],[I OB]]-Data!AA$188)/(Data!AA$187-Data!AA$188), "")</f>
        <v/>
      </c>
      <c r="Z168" s="1" t="str">
        <f>IF(Table1[[#This Row],[Included?]], SUM(Table35[[#This Row],[I R Scale]:[I OBP Scale]]), "")</f>
        <v/>
      </c>
      <c r="AA168" s="1" t="str">
        <f>IF(Table1[[#This Row],[Included?]], SUM(Table35[[#This Row],[I R Scale]:[I SB Scale]],Table35[[#This Row],[I OB Scale]]), "")</f>
        <v/>
      </c>
      <c r="AB16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8" s="1" t="str">
        <f>IF(Table1[[#This Row],[Included?]], Table35[[#This Row],[I Tot Scale]]*AF$185+AF$186, "")</f>
        <v/>
      </c>
      <c r="AG168" s="1" t="str">
        <f>IF(Table1[[#This Row],[Included?]], Table35[[#This Row],[I OB Tot Scale]]*AG$185+AG$186, "")</f>
        <v/>
      </c>
      <c r="AH168" s="1" t="str">
        <f>IF(Table1[[#This Row],[Included?]], Table35[[#This Row],[I Weighted Scale]]*AH$185+AH$186, "")</f>
        <v/>
      </c>
      <c r="AI168" s="1" t="str">
        <f>IF(Table1[[#This Row],[Included?]], Table35[[#This Row],[I OB Weighted Scale]]*AI$185+AI$186, "")</f>
        <v/>
      </c>
      <c r="AJ168" s="1" t="str">
        <f>IF(Table1[[#This Row],[Included?]], Table35[[#This Row],[I Z-score]]*AJ$185+AJ$186, "")</f>
        <v/>
      </c>
      <c r="AK168" s="1" t="str">
        <f>IF(Table1[[#This Row],[Included?]], Table35[[#This Row],[I OBMod Z-Score]]*AK$185+AK$186, "")</f>
        <v/>
      </c>
      <c r="AL168" s="1" t="str">
        <f>IF(Table1[[#This Row],[Included?]], AVERAGE(Table35[[#This Row],[I Tot Value]:[I OB Z Value]]), "")</f>
        <v/>
      </c>
    </row>
    <row r="169" spans="1:38" x14ac:dyDescent="0.25">
      <c r="A169" s="1">
        <f>(Table1[[#This Row],[R]]-Data!H$188)/(Data!H$187-Data!H$188)</f>
        <v>0.44460227272727287</v>
      </c>
      <c r="B169" s="1">
        <f>(Table1[[#This Row],[HR]]-Data!I$188)/(Data!I$187-Data!I$188)</f>
        <v>3.2675289312457459E-2</v>
      </c>
      <c r="C169" s="1">
        <f>(Table1[[#This Row],[RBI]]-Data!J$188)/(Data!J$187-Data!J$188)</f>
        <v>0.2163943823445113</v>
      </c>
      <c r="D169" s="1">
        <f>(Table1[[#This Row],[SB]]-Data!K$188)/(Data!K$187-Data!K$188)</f>
        <v>3.5759096612296107E-2</v>
      </c>
      <c r="E169" s="1">
        <f>(Table1[[#This Row],[OBP]]-Data!L$188)/(Data!L$187-Data!L$188)</f>
        <v>0.33782356042260392</v>
      </c>
      <c r="F169" s="1">
        <f>(Table1[[#This Row],[OB]]-Data!P$188)/(Data!P$187-Data!P$188)</f>
        <v>0.4060430810574765</v>
      </c>
      <c r="G169" s="1">
        <f>SUM(Table3[[#This Row],[R Scale]:[OBP Scale]])</f>
        <v>1.0672546014191417</v>
      </c>
      <c r="H169" s="1">
        <f>SUM(Table3[[#This Row],[R Scale]:[SB Scale]],Table3[[#This Row],[OB Scale]])</f>
        <v>1.1354741220540143</v>
      </c>
      <c r="I169" s="1">
        <f>Table3[[#This Row],[R Scale]]*Data!B$192+Table3[[#This Row],[HR Scale]]*Data!C$192+Table3[[#This Row],[RBI Scale]]*Data!D$192+Table3[[#This Row],[SB Scale]]*Data!E$192+Table3[[#This Row],[OBP Scale]]*Data!F$192</f>
        <v>1.1336379626998374</v>
      </c>
      <c r="J169" s="1">
        <f>Table3[[#This Row],[R Scale]]*Data!B$192+Table3[[#This Row],[HR Scale]]*Data!C$192+Table3[[#This Row],[RBI Scale]]*Data!D$192+Table3[[#This Row],[SB Scale]]*Data!E$192+Table3[[#This Row],[OB Scale]]*Data!F$192</f>
        <v>1.2155013874616847</v>
      </c>
      <c r="K16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-3.9044979871657066</v>
      </c>
      <c r="L16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-3.9090546379736315</v>
      </c>
      <c r="M169" s="1">
        <f ca="1">Table3[[#This Row],[Tot Scale]]*M$185+M$186</f>
        <v>-27.044959293577541</v>
      </c>
      <c r="N169" s="1">
        <f ca="1">Table3[[#This Row],[OB Tot Scale]]*N$185+N$186</f>
        <v>-26.106724726472358</v>
      </c>
      <c r="O169" s="1">
        <f ca="1">Table3[[#This Row],[Weighted Scale]]*O$185+O$186</f>
        <v>-27.204160303378409</v>
      </c>
      <c r="P169" s="1">
        <f ca="1">Table3[[#This Row],[OB Weighted Scale]]*P$185+P$186</f>
        <v>-26.393825877986018</v>
      </c>
      <c r="Q169" s="1">
        <f ca="1">Table3[[#This Row],[Z-score]]*Q$185+Q$186</f>
        <v>-27.283095368762101</v>
      </c>
      <c r="R169" s="1">
        <f ca="1">Table3[[#This Row],[OBMod Z-Score]]*R$185+R$186</f>
        <v>-26.808021083656566</v>
      </c>
      <c r="S169" s="1">
        <f ca="1">AVERAGE(Table3[[#This Row],[Tot Value]:[OB Z Value]])</f>
        <v>-26.806797775638831</v>
      </c>
      <c r="T169" s="1" t="str">
        <f>IF(Table1[[#This Row],[Included?]], (Table1[[#This Row],[I R]]-Data!S$188)/(Data!S$187-Data!S$188), "")</f>
        <v/>
      </c>
      <c r="U169" s="1" t="str">
        <f>IF(Table1[[#This Row],[Included?]], (Table1[[#This Row],[I HR]]-Data!T$188)/(Data!T$187-Data!T$188), "")</f>
        <v/>
      </c>
      <c r="V169" s="1" t="str">
        <f>IF(Table1[[#This Row],[Included?]], (Table1[[#This Row],[I RBI]]-Data!U$188)/(Data!U$187-Data!U$188), "")</f>
        <v/>
      </c>
      <c r="W169" s="1" t="str">
        <f>IF(Table1[[#This Row],[Included?]], (Table1[[#This Row],[I SB]]-Data!V$188)/(Data!V$187-Data!V$188), "")</f>
        <v/>
      </c>
      <c r="X169" s="1" t="str">
        <f>IF(Table1[[#This Row],[Included?]], (Table1[[#This Row],[I OBP]]-Data!W$188)/(Data!W$187-Data!W$188), "")</f>
        <v/>
      </c>
      <c r="Y169" s="1" t="str">
        <f>IF(Table1[[#This Row],[Included?]], (Table1[[#This Row],[I OB]]-Data!AA$188)/(Data!AA$187-Data!AA$188), "")</f>
        <v/>
      </c>
      <c r="Z169" s="1" t="str">
        <f>IF(Table1[[#This Row],[Included?]], SUM(Table35[[#This Row],[I R Scale]:[I OBP Scale]]), "")</f>
        <v/>
      </c>
      <c r="AA169" s="1" t="str">
        <f>IF(Table1[[#This Row],[Included?]], SUM(Table35[[#This Row],[I R Scale]:[I SB Scale]],Table35[[#This Row],[I OB Scale]]), "")</f>
        <v/>
      </c>
      <c r="AB16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6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6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69" s="1" t="str">
        <f>IF(Table1[[#This Row],[Included?]], Table35[[#This Row],[I Tot Scale]]*AF$185+AF$186, "")</f>
        <v/>
      </c>
      <c r="AG169" s="1" t="str">
        <f>IF(Table1[[#This Row],[Included?]], Table35[[#This Row],[I OB Tot Scale]]*AG$185+AG$186, "")</f>
        <v/>
      </c>
      <c r="AH169" s="1" t="str">
        <f>IF(Table1[[#This Row],[Included?]], Table35[[#This Row],[I Weighted Scale]]*AH$185+AH$186, "")</f>
        <v/>
      </c>
      <c r="AI169" s="1" t="str">
        <f>IF(Table1[[#This Row],[Included?]], Table35[[#This Row],[I OB Weighted Scale]]*AI$185+AI$186, "")</f>
        <v/>
      </c>
      <c r="AJ169" s="1" t="str">
        <f>IF(Table1[[#This Row],[Included?]], Table35[[#This Row],[I Z-score]]*AJ$185+AJ$186, "")</f>
        <v/>
      </c>
      <c r="AK169" s="1" t="str">
        <f>IF(Table1[[#This Row],[Included?]], Table35[[#This Row],[I OBMod Z-Score]]*AK$185+AK$186, "")</f>
        <v/>
      </c>
      <c r="AL169" s="1" t="str">
        <f>IF(Table1[[#This Row],[Included?]], AVERAGE(Table35[[#This Row],[I Tot Value]:[I OB Z Value]]), "")</f>
        <v/>
      </c>
    </row>
    <row r="170" spans="1:38" x14ac:dyDescent="0.25">
      <c r="A170" s="1">
        <f>(Table1[[#This Row],[R]]-Data!H$188)/(Data!H$187-Data!H$188)</f>
        <v>0.26818181818181819</v>
      </c>
      <c r="B170" s="1">
        <f>(Table1[[#This Row],[HR]]-Data!I$188)/(Data!I$187-Data!I$188)</f>
        <v>0.18856364874063988</v>
      </c>
      <c r="C170" s="1">
        <f>(Table1[[#This Row],[RBI]]-Data!J$188)/(Data!J$187-Data!J$188)</f>
        <v>0.28804815133276007</v>
      </c>
      <c r="D170" s="1">
        <f>(Table1[[#This Row],[SB]]-Data!K$188)/(Data!K$187-Data!K$188)</f>
        <v>6.1166875784190708E-2</v>
      </c>
      <c r="E170" s="1">
        <f>(Table1[[#This Row],[OBP]]-Data!L$188)/(Data!L$187-Data!L$188)</f>
        <v>0.1289923719094562</v>
      </c>
      <c r="F170" s="1">
        <f>(Table1[[#This Row],[OB]]-Data!P$188)/(Data!P$187-Data!P$188)</f>
        <v>0.41854762639939075</v>
      </c>
      <c r="G170" s="1">
        <f>SUM(Table3[[#This Row],[R Scale]:[OBP Scale]])</f>
        <v>0.93495286594886506</v>
      </c>
      <c r="H170" s="1">
        <f>SUM(Table3[[#This Row],[R Scale]:[SB Scale]],Table3[[#This Row],[OB Scale]])</f>
        <v>1.2245081204387995</v>
      </c>
      <c r="I170" s="1">
        <f>Table3[[#This Row],[R Scale]]*Data!B$192+Table3[[#This Row],[HR Scale]]*Data!C$192+Table3[[#This Row],[RBI Scale]]*Data!D$192+Table3[[#This Row],[SB Scale]]*Data!E$192+Table3[[#This Row],[OBP Scale]]*Data!F$192</f>
        <v>0.99154278877912649</v>
      </c>
      <c r="J170" s="1">
        <f>Table3[[#This Row],[R Scale]]*Data!B$192+Table3[[#This Row],[HR Scale]]*Data!C$192+Table3[[#This Row],[RBI Scale]]*Data!D$192+Table3[[#This Row],[SB Scale]]*Data!E$192+Table3[[#This Row],[OB Scale]]*Data!F$192</f>
        <v>1.3390090941670478</v>
      </c>
      <c r="K17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-4.7495542734750957</v>
      </c>
      <c r="L17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-4.9012265903361456</v>
      </c>
      <c r="M170" s="1">
        <f ca="1">Table3[[#This Row],[Tot Scale]]*M$185+M$186</f>
        <v>-31.931106179112014</v>
      </c>
      <c r="N170" s="1">
        <f ca="1">Table3[[#This Row],[OB Tot Scale]]*N$185+N$186</f>
        <v>-22.859834135454136</v>
      </c>
      <c r="O170" s="1">
        <f ca="1">Table3[[#This Row],[Weighted Scale]]*O$185+O$186</f>
        <v>-32.09141886069024</v>
      </c>
      <c r="P170" s="1">
        <f ca="1">Table3[[#This Row],[OB Weighted Scale]]*P$185+P$186</f>
        <v>-22.177195323034937</v>
      </c>
      <c r="Q170" s="1">
        <f ca="1">Table3[[#This Row],[Z-score]]*Q$185+Q$186</f>
        <v>-33.492367810714931</v>
      </c>
      <c r="R170" s="1">
        <f ca="1">Table3[[#This Row],[OBMod Z-Score]]*R$185+R$186</f>
        <v>-34.031540125196329</v>
      </c>
      <c r="S170" s="1">
        <f ca="1">AVERAGE(Table3[[#This Row],[Tot Value]:[OB Z Value]])</f>
        <v>-29.4305770723671</v>
      </c>
      <c r="T170" s="1" t="str">
        <f>IF(Table1[[#This Row],[Included?]], (Table1[[#This Row],[I R]]-Data!S$188)/(Data!S$187-Data!S$188), "")</f>
        <v/>
      </c>
      <c r="U170" s="1" t="str">
        <f>IF(Table1[[#This Row],[Included?]], (Table1[[#This Row],[I HR]]-Data!T$188)/(Data!T$187-Data!T$188), "")</f>
        <v/>
      </c>
      <c r="V170" s="1" t="str">
        <f>IF(Table1[[#This Row],[Included?]], (Table1[[#This Row],[I RBI]]-Data!U$188)/(Data!U$187-Data!U$188), "")</f>
        <v/>
      </c>
      <c r="W170" s="1" t="str">
        <f>IF(Table1[[#This Row],[Included?]], (Table1[[#This Row],[I SB]]-Data!V$188)/(Data!V$187-Data!V$188), "")</f>
        <v/>
      </c>
      <c r="X170" s="1" t="str">
        <f>IF(Table1[[#This Row],[Included?]], (Table1[[#This Row],[I OBP]]-Data!W$188)/(Data!W$187-Data!W$188), "")</f>
        <v/>
      </c>
      <c r="Y170" s="1" t="str">
        <f>IF(Table1[[#This Row],[Included?]], (Table1[[#This Row],[I OB]]-Data!AA$188)/(Data!AA$187-Data!AA$188), "")</f>
        <v/>
      </c>
      <c r="Z170" s="1" t="str">
        <f>IF(Table1[[#This Row],[Included?]], SUM(Table35[[#This Row],[I R Scale]:[I OBP Scale]]), "")</f>
        <v/>
      </c>
      <c r="AA170" s="1" t="str">
        <f>IF(Table1[[#This Row],[Included?]], SUM(Table35[[#This Row],[I R Scale]:[I SB Scale]],Table35[[#This Row],[I OB Scale]]), "")</f>
        <v/>
      </c>
      <c r="AB17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0" s="1" t="str">
        <f>IF(Table1[[#This Row],[Included?]], Table35[[#This Row],[I Tot Scale]]*AF$185+AF$186, "")</f>
        <v/>
      </c>
      <c r="AG170" s="1" t="str">
        <f>IF(Table1[[#This Row],[Included?]], Table35[[#This Row],[I OB Tot Scale]]*AG$185+AG$186, "")</f>
        <v/>
      </c>
      <c r="AH170" s="1" t="str">
        <f>IF(Table1[[#This Row],[Included?]], Table35[[#This Row],[I Weighted Scale]]*AH$185+AH$186, "")</f>
        <v/>
      </c>
      <c r="AI170" s="1" t="str">
        <f>IF(Table1[[#This Row],[Included?]], Table35[[#This Row],[I OB Weighted Scale]]*AI$185+AI$186, "")</f>
        <v/>
      </c>
      <c r="AJ170" s="1" t="str">
        <f>IF(Table1[[#This Row],[Included?]], Table35[[#This Row],[I Z-score]]*AJ$185+AJ$186, "")</f>
        <v/>
      </c>
      <c r="AK170" s="1" t="str">
        <f>IF(Table1[[#This Row],[Included?]], Table35[[#This Row],[I OBMod Z-Score]]*AK$185+AK$186, "")</f>
        <v/>
      </c>
      <c r="AL170" s="1" t="str">
        <f>IF(Table1[[#This Row],[Included?]], AVERAGE(Table35[[#This Row],[I Tot Value]:[I OB Z Value]]), "")</f>
        <v/>
      </c>
    </row>
    <row r="171" spans="1:38" x14ac:dyDescent="0.25">
      <c r="A171" s="1">
        <f>(Table1[[#This Row],[R]]-Data!H$188)/(Data!H$187-Data!H$188)</f>
        <v>0.19573863636363639</v>
      </c>
      <c r="B171" s="1">
        <f>(Table1[[#This Row],[HR]]-Data!I$188)/(Data!I$187-Data!I$188)</f>
        <v>8.9857045609258002E-2</v>
      </c>
      <c r="C171" s="1">
        <f>(Table1[[#This Row],[RBI]]-Data!J$188)/(Data!J$187-Data!J$188)</f>
        <v>0.28690169102894808</v>
      </c>
      <c r="D171" s="1">
        <f>(Table1[[#This Row],[SB]]-Data!K$188)/(Data!K$187-Data!K$188)</f>
        <v>0.14240903387703888</v>
      </c>
      <c r="E171" s="1">
        <f>(Table1[[#This Row],[OBP]]-Data!L$188)/(Data!L$187-Data!L$188)</f>
        <v>0.35540536102813342</v>
      </c>
      <c r="F171" s="1">
        <f>(Table1[[#This Row],[OB]]-Data!P$188)/(Data!P$187-Data!P$188)</f>
        <v>0.39917886210619125</v>
      </c>
      <c r="G171" s="1">
        <f>SUM(Table3[[#This Row],[R Scale]:[OBP Scale]])</f>
        <v>1.0703117679070149</v>
      </c>
      <c r="H171" s="1">
        <f>SUM(Table3[[#This Row],[R Scale]:[SB Scale]],Table3[[#This Row],[OB Scale]])</f>
        <v>1.1140852689850727</v>
      </c>
      <c r="I171" s="1">
        <f>Table3[[#This Row],[R Scale]]*Data!B$192+Table3[[#This Row],[HR Scale]]*Data!C$192+Table3[[#This Row],[RBI Scale]]*Data!D$192+Table3[[#This Row],[SB Scale]]*Data!E$192+Table3[[#This Row],[OBP Scale]]*Data!F$192</f>
        <v>1.1791993146820674</v>
      </c>
      <c r="J171" s="1">
        <f>Table3[[#This Row],[R Scale]]*Data!B$192+Table3[[#This Row],[HR Scale]]*Data!C$192+Table3[[#This Row],[RBI Scale]]*Data!D$192+Table3[[#This Row],[SB Scale]]*Data!E$192+Table3[[#This Row],[OB Scale]]*Data!F$192</f>
        <v>1.2317275159757368</v>
      </c>
      <c r="K17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-3.7341665872456673</v>
      </c>
      <c r="L17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-3.7362443326407524</v>
      </c>
      <c r="M171" s="1">
        <f ca="1">Table3[[#This Row],[Tot Scale]]*M$185+M$186</f>
        <v>-26.932052501688645</v>
      </c>
      <c r="N171" s="1">
        <f ca="1">Table3[[#This Row],[OB Tot Scale]]*N$185+N$186</f>
        <v>-26.886733116998435</v>
      </c>
      <c r="O171" s="1">
        <f ca="1">Table3[[#This Row],[Weighted Scale]]*O$185+O$186</f>
        <v>-25.637111252985605</v>
      </c>
      <c r="P171" s="1">
        <f ca="1">Table3[[#This Row],[OB Weighted Scale]]*P$185+P$186</f>
        <v>-25.839855675590996</v>
      </c>
      <c r="Q171" s="1">
        <f ca="1">Table3[[#This Row],[Z-score]]*Q$185+Q$186</f>
        <v>-26.031540786354643</v>
      </c>
      <c r="R171" s="1">
        <f ca="1">Table3[[#This Row],[OBMod Z-Score]]*R$185+R$186</f>
        <v>-25.549873714973181</v>
      </c>
      <c r="S171" s="1">
        <f ca="1">AVERAGE(Table3[[#This Row],[Tot Value]:[OB Z Value]])</f>
        <v>-26.146194508098585</v>
      </c>
      <c r="T171" s="1" t="str">
        <f>IF(Table1[[#This Row],[Included?]], (Table1[[#This Row],[I R]]-Data!S$188)/(Data!S$187-Data!S$188), "")</f>
        <v/>
      </c>
      <c r="U171" s="1" t="str">
        <f>IF(Table1[[#This Row],[Included?]], (Table1[[#This Row],[I HR]]-Data!T$188)/(Data!T$187-Data!T$188), "")</f>
        <v/>
      </c>
      <c r="V171" s="1" t="str">
        <f>IF(Table1[[#This Row],[Included?]], (Table1[[#This Row],[I RBI]]-Data!U$188)/(Data!U$187-Data!U$188), "")</f>
        <v/>
      </c>
      <c r="W171" s="1" t="str">
        <f>IF(Table1[[#This Row],[Included?]], (Table1[[#This Row],[I SB]]-Data!V$188)/(Data!V$187-Data!V$188), "")</f>
        <v/>
      </c>
      <c r="X171" s="1" t="str">
        <f>IF(Table1[[#This Row],[Included?]], (Table1[[#This Row],[I OBP]]-Data!W$188)/(Data!W$187-Data!W$188), "")</f>
        <v/>
      </c>
      <c r="Y171" s="1" t="str">
        <f>IF(Table1[[#This Row],[Included?]], (Table1[[#This Row],[I OB]]-Data!AA$188)/(Data!AA$187-Data!AA$188), "")</f>
        <v/>
      </c>
      <c r="Z171" s="1" t="str">
        <f>IF(Table1[[#This Row],[Included?]], SUM(Table35[[#This Row],[I R Scale]:[I OBP Scale]]), "")</f>
        <v/>
      </c>
      <c r="AA171" s="1" t="str">
        <f>IF(Table1[[#This Row],[Included?]], SUM(Table35[[#This Row],[I R Scale]:[I SB Scale]],Table35[[#This Row],[I OB Scale]]), "")</f>
        <v/>
      </c>
      <c r="AB17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1" s="1" t="str">
        <f>IF(Table1[[#This Row],[Included?]], Table35[[#This Row],[I Tot Scale]]*AF$185+AF$186, "")</f>
        <v/>
      </c>
      <c r="AG171" s="1" t="str">
        <f>IF(Table1[[#This Row],[Included?]], Table35[[#This Row],[I OB Tot Scale]]*AG$185+AG$186, "")</f>
        <v/>
      </c>
      <c r="AH171" s="1" t="str">
        <f>IF(Table1[[#This Row],[Included?]], Table35[[#This Row],[I Weighted Scale]]*AH$185+AH$186, "")</f>
        <v/>
      </c>
      <c r="AI171" s="1" t="str">
        <f>IF(Table1[[#This Row],[Included?]], Table35[[#This Row],[I OB Weighted Scale]]*AI$185+AI$186, "")</f>
        <v/>
      </c>
      <c r="AJ171" s="1" t="str">
        <f>IF(Table1[[#This Row],[Included?]], Table35[[#This Row],[I Z-score]]*AJ$185+AJ$186, "")</f>
        <v/>
      </c>
      <c r="AK171" s="1" t="str">
        <f>IF(Table1[[#This Row],[Included?]], Table35[[#This Row],[I OBMod Z-Score]]*AK$185+AK$186, "")</f>
        <v/>
      </c>
      <c r="AL171" s="1" t="str">
        <f>IF(Table1[[#This Row],[Included?]], AVERAGE(Table35[[#This Row],[I Tot Value]:[I OB Z Value]]), "")</f>
        <v/>
      </c>
    </row>
    <row r="172" spans="1:38" x14ac:dyDescent="0.25">
      <c r="A172" s="1">
        <f>(Table1[[#This Row],[R]]-Data!H$188)/(Data!H$187-Data!H$188)</f>
        <v>0.19034090909090909</v>
      </c>
      <c r="B172" s="1">
        <f>(Table1[[#This Row],[HR]]-Data!I$188)/(Data!I$187-Data!I$188)</f>
        <v>8.5772634445200807E-2</v>
      </c>
      <c r="C172" s="1">
        <f>(Table1[[#This Row],[RBI]]-Data!J$188)/(Data!J$187-Data!J$188)</f>
        <v>0.17856119231871603</v>
      </c>
      <c r="D172" s="1">
        <f>(Table1[[#This Row],[SB]]-Data!K$188)/(Data!K$187-Data!K$188)</f>
        <v>0.34943538268506896</v>
      </c>
      <c r="E172" s="1">
        <f>(Table1[[#This Row],[OBP]]-Data!L$188)/(Data!L$187-Data!L$188)</f>
        <v>0.22230662696938511</v>
      </c>
      <c r="F172" s="1">
        <f>(Table1[[#This Row],[OB]]-Data!P$188)/(Data!P$187-Data!P$188)</f>
        <v>0.34717472871577815</v>
      </c>
      <c r="G172" s="1">
        <f>SUM(Table3[[#This Row],[R Scale]:[OBP Scale]])</f>
        <v>1.0264167455092801</v>
      </c>
      <c r="H172" s="1">
        <f>SUM(Table3[[#This Row],[R Scale]:[SB Scale]],Table3[[#This Row],[OB Scale]])</f>
        <v>1.1512848472556731</v>
      </c>
      <c r="I172" s="1">
        <f>Table3[[#This Row],[R Scale]]*Data!B$192+Table3[[#This Row],[HR Scale]]*Data!C$192+Table3[[#This Row],[RBI Scale]]*Data!D$192+Table3[[#This Row],[SB Scale]]*Data!E$192+Table3[[#This Row],[OBP Scale]]*Data!F$192</f>
        <v>1.0875562184578094</v>
      </c>
      <c r="J172" s="1">
        <f>Table3[[#This Row],[R Scale]]*Data!B$192+Table3[[#This Row],[HR Scale]]*Data!C$192+Table3[[#This Row],[RBI Scale]]*Data!D$192+Table3[[#This Row],[SB Scale]]*Data!E$192+Table3[[#This Row],[OB Scale]]*Data!F$192</f>
        <v>1.237397940553481</v>
      </c>
      <c r="K17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-3.6065077782122099</v>
      </c>
      <c r="L17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-3.5611099390345413</v>
      </c>
      <c r="M172" s="1">
        <f ca="1">Table3[[#This Row],[Tot Scale]]*M$185+M$186</f>
        <v>-28.553176564927739</v>
      </c>
      <c r="N172" s="1">
        <f ca="1">Table3[[#This Row],[OB Tot Scale]]*N$185+N$186</f>
        <v>-25.530139423939055</v>
      </c>
      <c r="O172" s="1">
        <f ca="1">Table3[[#This Row],[Weighted Scale]]*O$185+O$186</f>
        <v>-28.789107861191852</v>
      </c>
      <c r="P172" s="1">
        <f ca="1">Table3[[#This Row],[OB Weighted Scale]]*P$185+P$186</f>
        <v>-25.646263824751266</v>
      </c>
      <c r="Q172" s="1">
        <f ca="1">Table3[[#This Row],[Z-score]]*Q$185+Q$186</f>
        <v>-25.093534244369394</v>
      </c>
      <c r="R172" s="1">
        <f ca="1">Table3[[#This Row],[OBMod Z-Score]]*R$185+R$186</f>
        <v>-24.274805795515654</v>
      </c>
      <c r="S172" s="1">
        <f ca="1">AVERAGE(Table3[[#This Row],[Tot Value]:[OB Z Value]])</f>
        <v>-26.314504619115827</v>
      </c>
      <c r="T172" s="1" t="str">
        <f>IF(Table1[[#This Row],[Included?]], (Table1[[#This Row],[I R]]-Data!S$188)/(Data!S$187-Data!S$188), "")</f>
        <v/>
      </c>
      <c r="U172" s="1" t="str">
        <f>IF(Table1[[#This Row],[Included?]], (Table1[[#This Row],[I HR]]-Data!T$188)/(Data!T$187-Data!T$188), "")</f>
        <v/>
      </c>
      <c r="V172" s="1" t="str">
        <f>IF(Table1[[#This Row],[Included?]], (Table1[[#This Row],[I RBI]]-Data!U$188)/(Data!U$187-Data!U$188), "")</f>
        <v/>
      </c>
      <c r="W172" s="1" t="str">
        <f>IF(Table1[[#This Row],[Included?]], (Table1[[#This Row],[I SB]]-Data!V$188)/(Data!V$187-Data!V$188), "")</f>
        <v/>
      </c>
      <c r="X172" s="1" t="str">
        <f>IF(Table1[[#This Row],[Included?]], (Table1[[#This Row],[I OBP]]-Data!W$188)/(Data!W$187-Data!W$188), "")</f>
        <v/>
      </c>
      <c r="Y172" s="1" t="str">
        <f>IF(Table1[[#This Row],[Included?]], (Table1[[#This Row],[I OB]]-Data!AA$188)/(Data!AA$187-Data!AA$188), "")</f>
        <v/>
      </c>
      <c r="Z172" s="1" t="str">
        <f>IF(Table1[[#This Row],[Included?]], SUM(Table35[[#This Row],[I R Scale]:[I OBP Scale]]), "")</f>
        <v/>
      </c>
      <c r="AA172" s="1" t="str">
        <f>IF(Table1[[#This Row],[Included?]], SUM(Table35[[#This Row],[I R Scale]:[I SB Scale]],Table35[[#This Row],[I OB Scale]]), "")</f>
        <v/>
      </c>
      <c r="AB17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2" s="1" t="str">
        <f>IF(Table1[[#This Row],[Included?]], Table35[[#This Row],[I Tot Scale]]*AF$185+AF$186, "")</f>
        <v/>
      </c>
      <c r="AG172" s="1" t="str">
        <f>IF(Table1[[#This Row],[Included?]], Table35[[#This Row],[I OB Tot Scale]]*AG$185+AG$186, "")</f>
        <v/>
      </c>
      <c r="AH172" s="1" t="str">
        <f>IF(Table1[[#This Row],[Included?]], Table35[[#This Row],[I Weighted Scale]]*AH$185+AH$186, "")</f>
        <v/>
      </c>
      <c r="AI172" s="1" t="str">
        <f>IF(Table1[[#This Row],[Included?]], Table35[[#This Row],[I OB Weighted Scale]]*AI$185+AI$186, "")</f>
        <v/>
      </c>
      <c r="AJ172" s="1" t="str">
        <f>IF(Table1[[#This Row],[Included?]], Table35[[#This Row],[I Z-score]]*AJ$185+AJ$186, "")</f>
        <v/>
      </c>
      <c r="AK172" s="1" t="str">
        <f>IF(Table1[[#This Row],[Included?]], Table35[[#This Row],[I OBMod Z-Score]]*AK$185+AK$186, "")</f>
        <v/>
      </c>
      <c r="AL172" s="1" t="str">
        <f>IF(Table1[[#This Row],[Included?]], AVERAGE(Table35[[#This Row],[I Tot Value]:[I OB Z Value]]), "")</f>
        <v/>
      </c>
    </row>
    <row r="173" spans="1:38" x14ac:dyDescent="0.25">
      <c r="A173" s="1">
        <f>(Table1[[#This Row],[R]]-Data!H$188)/(Data!H$187-Data!H$188)</f>
        <v>0.20056818181818184</v>
      </c>
      <c r="B173" s="1">
        <f>(Table1[[#This Row],[HR]]-Data!I$188)/(Data!I$187-Data!I$188)</f>
        <v>0.2539142273655548</v>
      </c>
      <c r="C173" s="1">
        <f>(Table1[[#This Row],[RBI]]-Data!J$188)/(Data!J$187-Data!J$188)</f>
        <v>0.2175408426483233</v>
      </c>
      <c r="D173" s="1">
        <f>(Table1[[#This Row],[SB]]-Data!K$188)/(Data!K$187-Data!K$188)</f>
        <v>5.4265997490589704E-2</v>
      </c>
      <c r="E173" s="1">
        <f>(Table1[[#This Row],[OBP]]-Data!L$188)/(Data!L$187-Data!L$188)</f>
        <v>0.30209168715485607</v>
      </c>
      <c r="F173" s="1">
        <f>(Table1[[#This Row],[OB]]-Data!P$188)/(Data!P$187-Data!P$188)</f>
        <v>0.39578280918460368</v>
      </c>
      <c r="G173" s="1">
        <f>SUM(Table3[[#This Row],[R Scale]:[OBP Scale]])</f>
        <v>1.0283809364775056</v>
      </c>
      <c r="H173" s="1">
        <f>SUM(Table3[[#This Row],[R Scale]:[SB Scale]],Table3[[#This Row],[OB Scale]])</f>
        <v>1.1220720585072532</v>
      </c>
      <c r="I173" s="1">
        <f>Table3[[#This Row],[R Scale]]*Data!B$192+Table3[[#This Row],[HR Scale]]*Data!C$192+Table3[[#This Row],[RBI Scale]]*Data!D$192+Table3[[#This Row],[SB Scale]]*Data!E$192+Table3[[#This Row],[OBP Scale]]*Data!F$192</f>
        <v>1.1122506242563235</v>
      </c>
      <c r="J173" s="1">
        <f>Table3[[#This Row],[R Scale]]*Data!B$192+Table3[[#This Row],[HR Scale]]*Data!C$192+Table3[[#This Row],[RBI Scale]]*Data!D$192+Table3[[#This Row],[SB Scale]]*Data!E$192+Table3[[#This Row],[OB Scale]]*Data!F$192</f>
        <v>1.2246799706920206</v>
      </c>
      <c r="K17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-4.2280500959590688</v>
      </c>
      <c r="L17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-4.2263334267783979</v>
      </c>
      <c r="M173" s="1">
        <f ca="1">Table3[[#This Row],[Tot Scale]]*M$185+M$186</f>
        <v>-28.480635373023674</v>
      </c>
      <c r="N173" s="1">
        <f ca="1">Table3[[#This Row],[OB Tot Scale]]*N$185+N$186</f>
        <v>-26.595470989918198</v>
      </c>
      <c r="O173" s="1">
        <f ca="1">Table3[[#This Row],[Weighted Scale]]*O$185+O$186</f>
        <v>-27.93976201272649</v>
      </c>
      <c r="P173" s="1">
        <f ca="1">Table3[[#This Row],[OB Weighted Scale]]*P$185+P$186</f>
        <v>-26.080463290884275</v>
      </c>
      <c r="Q173" s="1">
        <f ca="1">Table3[[#This Row],[Z-score]]*Q$185+Q$186</f>
        <v>-29.660479248645828</v>
      </c>
      <c r="R173" s="1">
        <f ca="1">Table3[[#This Row],[OBMod Z-Score]]*R$185+R$186</f>
        <v>-29.11797286867791</v>
      </c>
      <c r="S173" s="1">
        <f ca="1">AVERAGE(Table3[[#This Row],[Tot Value]:[OB Z Value]])</f>
        <v>-27.979130630646058</v>
      </c>
      <c r="T173" s="1" t="str">
        <f>IF(Table1[[#This Row],[Included?]], (Table1[[#This Row],[I R]]-Data!S$188)/(Data!S$187-Data!S$188), "")</f>
        <v/>
      </c>
      <c r="U173" s="1" t="str">
        <f>IF(Table1[[#This Row],[Included?]], (Table1[[#This Row],[I HR]]-Data!T$188)/(Data!T$187-Data!T$188), "")</f>
        <v/>
      </c>
      <c r="V173" s="1" t="str">
        <f>IF(Table1[[#This Row],[Included?]], (Table1[[#This Row],[I RBI]]-Data!U$188)/(Data!U$187-Data!U$188), "")</f>
        <v/>
      </c>
      <c r="W173" s="1" t="str">
        <f>IF(Table1[[#This Row],[Included?]], (Table1[[#This Row],[I SB]]-Data!V$188)/(Data!V$187-Data!V$188), "")</f>
        <v/>
      </c>
      <c r="X173" s="1" t="str">
        <f>IF(Table1[[#This Row],[Included?]], (Table1[[#This Row],[I OBP]]-Data!W$188)/(Data!W$187-Data!W$188), "")</f>
        <v/>
      </c>
      <c r="Y173" s="1" t="str">
        <f>IF(Table1[[#This Row],[Included?]], (Table1[[#This Row],[I OB]]-Data!AA$188)/(Data!AA$187-Data!AA$188), "")</f>
        <v/>
      </c>
      <c r="Z173" s="1" t="str">
        <f>IF(Table1[[#This Row],[Included?]], SUM(Table35[[#This Row],[I R Scale]:[I OBP Scale]]), "")</f>
        <v/>
      </c>
      <c r="AA173" s="1" t="str">
        <f>IF(Table1[[#This Row],[Included?]], SUM(Table35[[#This Row],[I R Scale]:[I SB Scale]],Table35[[#This Row],[I OB Scale]]), "")</f>
        <v/>
      </c>
      <c r="AB17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3" s="1" t="str">
        <f>IF(Table1[[#This Row],[Included?]], Table35[[#This Row],[I Tot Scale]]*AF$185+AF$186, "")</f>
        <v/>
      </c>
      <c r="AG173" s="1" t="str">
        <f>IF(Table1[[#This Row],[Included?]], Table35[[#This Row],[I OB Tot Scale]]*AG$185+AG$186, "")</f>
        <v/>
      </c>
      <c r="AH173" s="1" t="str">
        <f>IF(Table1[[#This Row],[Included?]], Table35[[#This Row],[I Weighted Scale]]*AH$185+AH$186, "")</f>
        <v/>
      </c>
      <c r="AI173" s="1" t="str">
        <f>IF(Table1[[#This Row],[Included?]], Table35[[#This Row],[I OB Weighted Scale]]*AI$185+AI$186, "")</f>
        <v/>
      </c>
      <c r="AJ173" s="1" t="str">
        <f>IF(Table1[[#This Row],[Included?]], Table35[[#This Row],[I Z-score]]*AJ$185+AJ$186, "")</f>
        <v/>
      </c>
      <c r="AK173" s="1" t="str">
        <f>IF(Table1[[#This Row],[Included?]], Table35[[#This Row],[I OBMod Z-Score]]*AK$185+AK$186, "")</f>
        <v/>
      </c>
      <c r="AL173" s="1" t="str">
        <f>IF(Table1[[#This Row],[Included?]], AVERAGE(Table35[[#This Row],[I Tot Value]:[I OB Z Value]]), "")</f>
        <v/>
      </c>
    </row>
    <row r="174" spans="1:38" x14ac:dyDescent="0.25">
      <c r="A174" s="1">
        <f>(Table1[[#This Row],[R]]-Data!H$188)/(Data!H$187-Data!H$188)</f>
        <v>0.2019886363636364</v>
      </c>
      <c r="B174" s="1">
        <f>(Table1[[#This Row],[HR]]-Data!I$188)/(Data!I$187-Data!I$188)</f>
        <v>0.31926480599046969</v>
      </c>
      <c r="C174" s="1">
        <f>(Table1[[#This Row],[RBI]]-Data!J$188)/(Data!J$187-Data!J$188)</f>
        <v>0.19031241043278882</v>
      </c>
      <c r="D174" s="1">
        <f>(Table1[[#This Row],[SB]]-Data!K$188)/(Data!K$187-Data!K$188)</f>
        <v>0.12264742785445418</v>
      </c>
      <c r="E174" s="1">
        <f>(Table1[[#This Row],[OBP]]-Data!L$188)/(Data!L$187-Data!L$188)</f>
        <v>0.27188440224803484</v>
      </c>
      <c r="F174" s="1">
        <f>(Table1[[#This Row],[OB]]-Data!P$188)/(Data!P$187-Data!P$188)</f>
        <v>0.34230173350716675</v>
      </c>
      <c r="G174" s="1">
        <f>SUM(Table3[[#This Row],[R Scale]:[OBP Scale]])</f>
        <v>1.1060976828893838</v>
      </c>
      <c r="H174" s="1">
        <f>SUM(Table3[[#This Row],[R Scale]:[SB Scale]],Table3[[#This Row],[OB Scale]])</f>
        <v>1.1765150141485159</v>
      </c>
      <c r="I174" s="1">
        <f>Table3[[#This Row],[R Scale]]*Data!B$192+Table3[[#This Row],[HR Scale]]*Data!C$192+Table3[[#This Row],[RBI Scale]]*Data!D$192+Table3[[#This Row],[SB Scale]]*Data!E$192+Table3[[#This Row],[OBP Scale]]*Data!F$192</f>
        <v>1.1783381817891849</v>
      </c>
      <c r="J174" s="1">
        <f>Table3[[#This Row],[R Scale]]*Data!B$192+Table3[[#This Row],[HR Scale]]*Data!C$192+Table3[[#This Row],[RBI Scale]]*Data!D$192+Table3[[#This Row],[SB Scale]]*Data!E$192+Table3[[#This Row],[OB Scale]]*Data!F$192</f>
        <v>1.2628389793001433</v>
      </c>
      <c r="K174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-3.7506621659237123</v>
      </c>
      <c r="L174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-3.6964874404118362</v>
      </c>
      <c r="M174" s="1">
        <f ca="1">Table3[[#This Row],[Tot Scale]]*M$185+M$186</f>
        <v>-25.610412718086664</v>
      </c>
      <c r="N174" s="1">
        <f ca="1">Table3[[#This Row],[OB Tot Scale]]*N$185+N$186</f>
        <v>-24.610046055334486</v>
      </c>
      <c r="O174" s="1">
        <f ca="1">Table3[[#This Row],[Weighted Scale]]*O$185+O$186</f>
        <v>-25.66672928281448</v>
      </c>
      <c r="P174" s="1">
        <f ca="1">Table3[[#This Row],[OB Weighted Scale]]*P$185+P$186</f>
        <v>-24.777690808617265</v>
      </c>
      <c r="Q174" s="1">
        <f ca="1">Table3[[#This Row],[Z-score]]*Q$185+Q$186</f>
        <v>-26.152746372016839</v>
      </c>
      <c r="R174" s="1">
        <f ca="1">Table3[[#This Row],[OBMod Z-Score]]*R$185+R$186</f>
        <v>-25.260423214619699</v>
      </c>
      <c r="S174" s="1">
        <f ca="1">AVERAGE(Table3[[#This Row],[Tot Value]:[OB Z Value]])</f>
        <v>-25.346341408581569</v>
      </c>
      <c r="T174" s="1" t="str">
        <f>IF(Table1[[#This Row],[Included?]], (Table1[[#This Row],[I R]]-Data!S$188)/(Data!S$187-Data!S$188), "")</f>
        <v/>
      </c>
      <c r="U174" s="1" t="str">
        <f>IF(Table1[[#This Row],[Included?]], (Table1[[#This Row],[I HR]]-Data!T$188)/(Data!T$187-Data!T$188), "")</f>
        <v/>
      </c>
      <c r="V174" s="1" t="str">
        <f>IF(Table1[[#This Row],[Included?]], (Table1[[#This Row],[I RBI]]-Data!U$188)/(Data!U$187-Data!U$188), "")</f>
        <v/>
      </c>
      <c r="W174" s="1" t="str">
        <f>IF(Table1[[#This Row],[Included?]], (Table1[[#This Row],[I SB]]-Data!V$188)/(Data!V$187-Data!V$188), "")</f>
        <v/>
      </c>
      <c r="X174" s="1" t="str">
        <f>IF(Table1[[#This Row],[Included?]], (Table1[[#This Row],[I OBP]]-Data!W$188)/(Data!W$187-Data!W$188), "")</f>
        <v/>
      </c>
      <c r="Y174" s="1" t="str">
        <f>IF(Table1[[#This Row],[Included?]], (Table1[[#This Row],[I OB]]-Data!AA$188)/(Data!AA$187-Data!AA$188), "")</f>
        <v/>
      </c>
      <c r="Z174" s="1" t="str">
        <f>IF(Table1[[#This Row],[Included?]], SUM(Table35[[#This Row],[I R Scale]:[I OBP Scale]]), "")</f>
        <v/>
      </c>
      <c r="AA174" s="1" t="str">
        <f>IF(Table1[[#This Row],[Included?]], SUM(Table35[[#This Row],[I R Scale]:[I SB Scale]],Table35[[#This Row],[I OB Scale]]), "")</f>
        <v/>
      </c>
      <c r="AB174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4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4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4" s="1" t="str">
        <f>IF(Table1[[#This Row],[Included?]], Table35[[#This Row],[I Tot Scale]]*AF$185+AF$186, "")</f>
        <v/>
      </c>
      <c r="AG174" s="1" t="str">
        <f>IF(Table1[[#This Row],[Included?]], Table35[[#This Row],[I OB Tot Scale]]*AG$185+AG$186, "")</f>
        <v/>
      </c>
      <c r="AH174" s="1" t="str">
        <f>IF(Table1[[#This Row],[Included?]], Table35[[#This Row],[I Weighted Scale]]*AH$185+AH$186, "")</f>
        <v/>
      </c>
      <c r="AI174" s="1" t="str">
        <f>IF(Table1[[#This Row],[Included?]], Table35[[#This Row],[I OB Weighted Scale]]*AI$185+AI$186, "")</f>
        <v/>
      </c>
      <c r="AJ174" s="1" t="str">
        <f>IF(Table1[[#This Row],[Included?]], Table35[[#This Row],[I Z-score]]*AJ$185+AJ$186, "")</f>
        <v/>
      </c>
      <c r="AK174" s="1" t="str">
        <f>IF(Table1[[#This Row],[Included?]], Table35[[#This Row],[I OBMod Z-Score]]*AK$185+AK$186, "")</f>
        <v/>
      </c>
      <c r="AL174" s="1" t="str">
        <f>IF(Table1[[#This Row],[Included?]], AVERAGE(Table35[[#This Row],[I Tot Value]:[I OB Z Value]]), "")</f>
        <v/>
      </c>
    </row>
    <row r="175" spans="1:38" x14ac:dyDescent="0.25">
      <c r="A175" s="1">
        <f>(Table1[[#This Row],[R]]-Data!H$188)/(Data!H$187-Data!H$188)</f>
        <v>0.22528409090909091</v>
      </c>
      <c r="B175" s="1">
        <f>(Table1[[#This Row],[HR]]-Data!I$188)/(Data!I$187-Data!I$188)</f>
        <v>0.12729748127978216</v>
      </c>
      <c r="C175" s="1">
        <f>(Table1[[#This Row],[RBI]]-Data!J$188)/(Data!J$187-Data!J$188)</f>
        <v>0.30295213528231579</v>
      </c>
      <c r="D175" s="1">
        <f>(Table1[[#This Row],[SB]]-Data!K$188)/(Data!K$187-Data!K$188)</f>
        <v>0.25188205771643662</v>
      </c>
      <c r="E175" s="1">
        <f>(Table1[[#This Row],[OBP]]-Data!L$188)/(Data!L$187-Data!L$188)</f>
        <v>0.10028822484456627</v>
      </c>
      <c r="F175" s="1">
        <f>(Table1[[#This Row],[OB]]-Data!P$188)/(Data!P$187-Data!P$188)</f>
        <v>0.29975005840232821</v>
      </c>
      <c r="G175" s="1">
        <f>SUM(Table3[[#This Row],[R Scale]:[OBP Scale]])</f>
        <v>1.0077039900321918</v>
      </c>
      <c r="H175" s="1">
        <f>SUM(Table3[[#This Row],[R Scale]:[SB Scale]],Table3[[#This Row],[OB Scale]])</f>
        <v>1.2071658235899538</v>
      </c>
      <c r="I175" s="1">
        <f>Table3[[#This Row],[R Scale]]*Data!B$192+Table3[[#This Row],[HR Scale]]*Data!C$192+Table3[[#This Row],[RBI Scale]]*Data!D$192+Table3[[#This Row],[SB Scale]]*Data!E$192+Table3[[#This Row],[OBP Scale]]*Data!F$192</f>
        <v>1.0658236529666592</v>
      </c>
      <c r="J175" s="1">
        <f>Table3[[#This Row],[R Scale]]*Data!B$192+Table3[[#This Row],[HR Scale]]*Data!C$192+Table3[[#This Row],[RBI Scale]]*Data!D$192+Table3[[#This Row],[SB Scale]]*Data!E$192+Table3[[#This Row],[OB Scale]]*Data!F$192</f>
        <v>1.3051778532359735</v>
      </c>
      <c r="K175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-3.9968736914033358</v>
      </c>
      <c r="L175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-3.9088996640903835</v>
      </c>
      <c r="M175" s="1">
        <f ca="1">Table3[[#This Row],[Tot Scale]]*M$185+M$186</f>
        <v>-29.244273107003593</v>
      </c>
      <c r="N175" s="1">
        <f ca="1">Table3[[#This Row],[OB Tot Scale]]*N$185+N$186</f>
        <v>-23.492272771106649</v>
      </c>
      <c r="O175" s="1">
        <f ca="1">Table3[[#This Row],[Weighted Scale]]*O$185+O$186</f>
        <v>-29.536583399863069</v>
      </c>
      <c r="P175" s="1">
        <f ca="1">Table3[[#This Row],[OB Weighted Scale]]*P$185+P$186</f>
        <v>-23.3322151029924</v>
      </c>
      <c r="Q175" s="1">
        <f ca="1">Table3[[#This Row],[Z-score]]*Q$185+Q$186</f>
        <v>-27.961850055190997</v>
      </c>
      <c r="R175" s="1">
        <f ca="1">Table3[[#This Row],[OBMod Z-Score]]*R$185+R$186</f>
        <v>-26.806892794559179</v>
      </c>
      <c r="S175" s="1">
        <f ca="1">AVERAGE(Table3[[#This Row],[Tot Value]:[OB Z Value]])</f>
        <v>-26.729014538452649</v>
      </c>
      <c r="T175" s="1" t="str">
        <f>IF(Table1[[#This Row],[Included?]], (Table1[[#This Row],[I R]]-Data!S$188)/(Data!S$187-Data!S$188), "")</f>
        <v/>
      </c>
      <c r="U175" s="1" t="str">
        <f>IF(Table1[[#This Row],[Included?]], (Table1[[#This Row],[I HR]]-Data!T$188)/(Data!T$187-Data!T$188), "")</f>
        <v/>
      </c>
      <c r="V175" s="1" t="str">
        <f>IF(Table1[[#This Row],[Included?]], (Table1[[#This Row],[I RBI]]-Data!U$188)/(Data!U$187-Data!U$188), "")</f>
        <v/>
      </c>
      <c r="W175" s="1" t="str">
        <f>IF(Table1[[#This Row],[Included?]], (Table1[[#This Row],[I SB]]-Data!V$188)/(Data!V$187-Data!V$188), "")</f>
        <v/>
      </c>
      <c r="X175" s="1" t="str">
        <f>IF(Table1[[#This Row],[Included?]], (Table1[[#This Row],[I OBP]]-Data!W$188)/(Data!W$187-Data!W$188), "")</f>
        <v/>
      </c>
      <c r="Y175" s="1" t="str">
        <f>IF(Table1[[#This Row],[Included?]], (Table1[[#This Row],[I OB]]-Data!AA$188)/(Data!AA$187-Data!AA$188), "")</f>
        <v/>
      </c>
      <c r="Z175" s="1" t="str">
        <f>IF(Table1[[#This Row],[Included?]], SUM(Table35[[#This Row],[I R Scale]:[I OBP Scale]]), "")</f>
        <v/>
      </c>
      <c r="AA175" s="1" t="str">
        <f>IF(Table1[[#This Row],[Included?]], SUM(Table35[[#This Row],[I R Scale]:[I SB Scale]],Table35[[#This Row],[I OB Scale]]), "")</f>
        <v/>
      </c>
      <c r="AB175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5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5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5" s="1" t="str">
        <f>IF(Table1[[#This Row],[Included?]], Table35[[#This Row],[I Tot Scale]]*AF$185+AF$186, "")</f>
        <v/>
      </c>
      <c r="AG175" s="1" t="str">
        <f>IF(Table1[[#This Row],[Included?]], Table35[[#This Row],[I OB Tot Scale]]*AG$185+AG$186, "")</f>
        <v/>
      </c>
      <c r="AH175" s="1" t="str">
        <f>IF(Table1[[#This Row],[Included?]], Table35[[#This Row],[I Weighted Scale]]*AH$185+AH$186, "")</f>
        <v/>
      </c>
      <c r="AI175" s="1" t="str">
        <f>IF(Table1[[#This Row],[Included?]], Table35[[#This Row],[I OB Weighted Scale]]*AI$185+AI$186, "")</f>
        <v/>
      </c>
      <c r="AJ175" s="1" t="str">
        <f>IF(Table1[[#This Row],[Included?]], Table35[[#This Row],[I Z-score]]*AJ$185+AJ$186, "")</f>
        <v/>
      </c>
      <c r="AK175" s="1" t="str">
        <f>IF(Table1[[#This Row],[Included?]], Table35[[#This Row],[I OBMod Z-Score]]*AK$185+AK$186, "")</f>
        <v/>
      </c>
      <c r="AL175" s="1" t="str">
        <f>IF(Table1[[#This Row],[Included?]], AVERAGE(Table35[[#This Row],[I Tot Value]:[I OB Z Value]]), "")</f>
        <v/>
      </c>
    </row>
    <row r="176" spans="1:38" x14ac:dyDescent="0.25">
      <c r="A176" s="1">
        <f>(Table1[[#This Row],[R]]-Data!H$188)/(Data!H$187-Data!H$188)</f>
        <v>0.21732954545454553</v>
      </c>
      <c r="B176" s="1">
        <f>(Table1[[#This Row],[HR]]-Data!I$188)/(Data!I$187-Data!I$188)</f>
        <v>0.45813478556841392</v>
      </c>
      <c r="C176" s="1">
        <f>(Table1[[#This Row],[RBI]]-Data!J$188)/(Data!J$187-Data!J$188)</f>
        <v>0.23559759243336195</v>
      </c>
      <c r="D176" s="1">
        <f>(Table1[[#This Row],[SB]]-Data!K$188)/(Data!K$187-Data!K$188)</f>
        <v>1.1606022584692595E-2</v>
      </c>
      <c r="E176" s="1">
        <f>(Table1[[#This Row],[OBP]]-Data!L$188)/(Data!L$187-Data!L$188)</f>
        <v>0.39139148166678955</v>
      </c>
      <c r="F176" s="1">
        <f>(Table1[[#This Row],[OB]]-Data!P$188)/(Data!P$187-Data!P$188)</f>
        <v>0.28294506435292149</v>
      </c>
      <c r="G176" s="1">
        <f>SUM(Table3[[#This Row],[R Scale]:[OBP Scale]])</f>
        <v>1.3140594277078035</v>
      </c>
      <c r="H176" s="1">
        <f>SUM(Table3[[#This Row],[R Scale]:[SB Scale]],Table3[[#This Row],[OB Scale]])</f>
        <v>1.2056130103939355</v>
      </c>
      <c r="I176" s="1">
        <f>Table3[[#This Row],[R Scale]]*Data!B$192+Table3[[#This Row],[HR Scale]]*Data!C$192+Table3[[#This Row],[RBI Scale]]*Data!D$192+Table3[[#This Row],[SB Scale]]*Data!E$192+Table3[[#This Row],[OBP Scale]]*Data!F$192</f>
        <v>1.417724287982379</v>
      </c>
      <c r="J176" s="1">
        <f>Table3[[#This Row],[R Scale]]*Data!B$192+Table3[[#This Row],[HR Scale]]*Data!C$192+Table3[[#This Row],[RBI Scale]]*Data!D$192+Table3[[#This Row],[SB Scale]]*Data!E$192+Table3[[#This Row],[OB Scale]]*Data!F$192</f>
        <v>1.2875885872057375</v>
      </c>
      <c r="K176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-2.9343912585745477</v>
      </c>
      <c r="L176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-2.9096757534732691</v>
      </c>
      <c r="M176" s="1">
        <f ca="1">Table3[[#This Row],[Tot Scale]]*M$185+M$186</f>
        <v>-17.930002267362653</v>
      </c>
      <c r="N176" s="1">
        <f ca="1">Table3[[#This Row],[OB Tot Scale]]*N$185+N$186</f>
        <v>-23.548900740727547</v>
      </c>
      <c r="O176" s="1">
        <f ca="1">Table3[[#This Row],[Weighted Scale]]*O$185+O$186</f>
        <v>-17.433220967837684</v>
      </c>
      <c r="P176" s="1">
        <f ca="1">Table3[[#This Row],[OB Weighted Scale]]*P$185+P$186</f>
        <v>-23.932723674973161</v>
      </c>
      <c r="Q176" s="1">
        <f ca="1">Table3[[#This Row],[Z-score]]*Q$185+Q$186</f>
        <v>-20.154982042842494</v>
      </c>
      <c r="R176" s="1">
        <f ca="1">Table3[[#This Row],[OBMod Z-Score]]*R$185+R$186</f>
        <v>-19.532031891751366</v>
      </c>
      <c r="S176" s="1">
        <f ca="1">AVERAGE(Table3[[#This Row],[Tot Value]:[OB Z Value]])</f>
        <v>-20.421976930915818</v>
      </c>
      <c r="T176" s="1" t="str">
        <f>IF(Table1[[#This Row],[Included?]], (Table1[[#This Row],[I R]]-Data!S$188)/(Data!S$187-Data!S$188), "")</f>
        <v/>
      </c>
      <c r="U176" s="1" t="str">
        <f>IF(Table1[[#This Row],[Included?]], (Table1[[#This Row],[I HR]]-Data!T$188)/(Data!T$187-Data!T$188), "")</f>
        <v/>
      </c>
      <c r="V176" s="1" t="str">
        <f>IF(Table1[[#This Row],[Included?]], (Table1[[#This Row],[I RBI]]-Data!U$188)/(Data!U$187-Data!U$188), "")</f>
        <v/>
      </c>
      <c r="W176" s="1" t="str">
        <f>IF(Table1[[#This Row],[Included?]], (Table1[[#This Row],[I SB]]-Data!V$188)/(Data!V$187-Data!V$188), "")</f>
        <v/>
      </c>
      <c r="X176" s="1" t="str">
        <f>IF(Table1[[#This Row],[Included?]], (Table1[[#This Row],[I OBP]]-Data!W$188)/(Data!W$187-Data!W$188), "")</f>
        <v/>
      </c>
      <c r="Y176" s="1" t="str">
        <f>IF(Table1[[#This Row],[Included?]], (Table1[[#This Row],[I OB]]-Data!AA$188)/(Data!AA$187-Data!AA$188), "")</f>
        <v/>
      </c>
      <c r="Z176" s="1" t="str">
        <f>IF(Table1[[#This Row],[Included?]], SUM(Table35[[#This Row],[I R Scale]:[I OBP Scale]]), "")</f>
        <v/>
      </c>
      <c r="AA176" s="1" t="str">
        <f>IF(Table1[[#This Row],[Included?]], SUM(Table35[[#This Row],[I R Scale]:[I SB Scale]],Table35[[#This Row],[I OB Scale]]), "")</f>
        <v/>
      </c>
      <c r="AB176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6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6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6" s="1" t="str">
        <f>IF(Table1[[#This Row],[Included?]], Table35[[#This Row],[I Tot Scale]]*AF$185+AF$186, "")</f>
        <v/>
      </c>
      <c r="AG176" s="1" t="str">
        <f>IF(Table1[[#This Row],[Included?]], Table35[[#This Row],[I OB Tot Scale]]*AG$185+AG$186, "")</f>
        <v/>
      </c>
      <c r="AH176" s="1" t="str">
        <f>IF(Table1[[#This Row],[Included?]], Table35[[#This Row],[I Weighted Scale]]*AH$185+AH$186, "")</f>
        <v/>
      </c>
      <c r="AI176" s="1" t="str">
        <f>IF(Table1[[#This Row],[Included?]], Table35[[#This Row],[I OB Weighted Scale]]*AI$185+AI$186, "")</f>
        <v/>
      </c>
      <c r="AJ176" s="1" t="str">
        <f>IF(Table1[[#This Row],[Included?]], Table35[[#This Row],[I Z-score]]*AJ$185+AJ$186, "")</f>
        <v/>
      </c>
      <c r="AK176" s="1" t="str">
        <f>IF(Table1[[#This Row],[Included?]], Table35[[#This Row],[I OBMod Z-Score]]*AK$185+AK$186, "")</f>
        <v/>
      </c>
      <c r="AL176" s="1" t="str">
        <f>IF(Table1[[#This Row],[Included?]], AVERAGE(Table35[[#This Row],[I Tot Value]:[I OB Z Value]]), "")</f>
        <v/>
      </c>
    </row>
    <row r="177" spans="1:38" x14ac:dyDescent="0.25">
      <c r="A177" s="1">
        <f>(Table1[[#This Row],[R]]-Data!H$188)/(Data!H$187-Data!H$188)</f>
        <v>0.13125000000000006</v>
      </c>
      <c r="B177" s="1">
        <f>(Table1[[#This Row],[HR]]-Data!I$188)/(Data!I$187-Data!I$188)</f>
        <v>5.5820285908781492E-2</v>
      </c>
      <c r="C177" s="1">
        <f>(Table1[[#This Row],[RBI]]-Data!J$188)/(Data!J$187-Data!J$188)</f>
        <v>0.10977357408999716</v>
      </c>
      <c r="D177" s="1">
        <f>(Table1[[#This Row],[SB]]-Data!K$188)/(Data!K$187-Data!K$188)</f>
        <v>0.18851944792973646</v>
      </c>
      <c r="E177" s="1">
        <f>(Table1[[#This Row],[OBP]]-Data!L$188)/(Data!L$187-Data!L$188)</f>
        <v>0.49156498158226769</v>
      </c>
      <c r="F177" s="1">
        <f>(Table1[[#This Row],[OB]]-Data!P$188)/(Data!P$187-Data!P$188)</f>
        <v>0.40537169312592708</v>
      </c>
      <c r="G177" s="1">
        <f>SUM(Table3[[#This Row],[R Scale]:[OBP Scale]])</f>
        <v>0.97692828951078292</v>
      </c>
      <c r="H177" s="1">
        <f>SUM(Table3[[#This Row],[R Scale]:[SB Scale]],Table3[[#This Row],[OB Scale]])</f>
        <v>0.89073500105444225</v>
      </c>
      <c r="I177" s="1">
        <f>Table3[[#This Row],[R Scale]]*Data!B$192+Table3[[#This Row],[HR Scale]]*Data!C$192+Table3[[#This Row],[RBI Scale]]*Data!D$192+Table3[[#This Row],[SB Scale]]*Data!E$192+Table3[[#This Row],[OBP Scale]]*Data!F$192</f>
        <v>1.0840710006452359</v>
      </c>
      <c r="J177" s="1">
        <f>Table3[[#This Row],[R Scale]]*Data!B$192+Table3[[#This Row],[HR Scale]]*Data!C$192+Table3[[#This Row],[RBI Scale]]*Data!D$192+Table3[[#This Row],[SB Scale]]*Data!E$192+Table3[[#This Row],[OB Scale]]*Data!F$192</f>
        <v>0.98063905449762712</v>
      </c>
      <c r="K177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-4.0016851195496015</v>
      </c>
      <c r="L177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-4.0664063551471079</v>
      </c>
      <c r="M177" s="1">
        <f ca="1">Table3[[#This Row],[Tot Scale]]*M$185+M$186</f>
        <v>-30.380876438156477</v>
      </c>
      <c r="N177" s="1">
        <f ca="1">Table3[[#This Row],[OB Tot Scale]]*N$185+N$186</f>
        <v>-35.031867521849442</v>
      </c>
      <c r="O177" s="1">
        <f ca="1">Table3[[#This Row],[Weighted Scale]]*O$185+O$186</f>
        <v>-28.908979353717697</v>
      </c>
      <c r="P177" s="1">
        <f ca="1">Table3[[#This Row],[OB Weighted Scale]]*P$185+P$186</f>
        <v>-34.412173200601615</v>
      </c>
      <c r="Q177" s="1">
        <f ca="1">Table3[[#This Row],[Z-score]]*Q$185+Q$186</f>
        <v>-27.99720328393925</v>
      </c>
      <c r="R177" s="1">
        <f ca="1">Table3[[#This Row],[OBMod Z-Score]]*R$185+R$186</f>
        <v>-27.95362202764121</v>
      </c>
      <c r="S177" s="1">
        <f ca="1">AVERAGE(Table3[[#This Row],[Tot Value]:[OB Z Value]])</f>
        <v>-30.780786970984284</v>
      </c>
      <c r="T177" s="1" t="str">
        <f>IF(Table1[[#This Row],[Included?]], (Table1[[#This Row],[I R]]-Data!S$188)/(Data!S$187-Data!S$188), "")</f>
        <v/>
      </c>
      <c r="U177" s="1" t="str">
        <f>IF(Table1[[#This Row],[Included?]], (Table1[[#This Row],[I HR]]-Data!T$188)/(Data!T$187-Data!T$188), "")</f>
        <v/>
      </c>
      <c r="V177" s="1" t="str">
        <f>IF(Table1[[#This Row],[Included?]], (Table1[[#This Row],[I RBI]]-Data!U$188)/(Data!U$187-Data!U$188), "")</f>
        <v/>
      </c>
      <c r="W177" s="1" t="str">
        <f>IF(Table1[[#This Row],[Included?]], (Table1[[#This Row],[I SB]]-Data!V$188)/(Data!V$187-Data!V$188), "")</f>
        <v/>
      </c>
      <c r="X177" s="1" t="str">
        <f>IF(Table1[[#This Row],[Included?]], (Table1[[#This Row],[I OBP]]-Data!W$188)/(Data!W$187-Data!W$188), "")</f>
        <v/>
      </c>
      <c r="Y177" s="1" t="str">
        <f>IF(Table1[[#This Row],[Included?]], (Table1[[#This Row],[I OB]]-Data!AA$188)/(Data!AA$187-Data!AA$188), "")</f>
        <v/>
      </c>
      <c r="Z177" s="1" t="str">
        <f>IF(Table1[[#This Row],[Included?]], SUM(Table35[[#This Row],[I R Scale]:[I OBP Scale]]), "")</f>
        <v/>
      </c>
      <c r="AA177" s="1" t="str">
        <f>IF(Table1[[#This Row],[Included?]], SUM(Table35[[#This Row],[I R Scale]:[I SB Scale]],Table35[[#This Row],[I OB Scale]]), "")</f>
        <v/>
      </c>
      <c r="AB177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7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7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7" s="1" t="str">
        <f>IF(Table1[[#This Row],[Included?]], Table35[[#This Row],[I Tot Scale]]*AF$185+AF$186, "")</f>
        <v/>
      </c>
      <c r="AG177" s="1" t="str">
        <f>IF(Table1[[#This Row],[Included?]], Table35[[#This Row],[I OB Tot Scale]]*AG$185+AG$186, "")</f>
        <v/>
      </c>
      <c r="AH177" s="1" t="str">
        <f>IF(Table1[[#This Row],[Included?]], Table35[[#This Row],[I Weighted Scale]]*AH$185+AH$186, "")</f>
        <v/>
      </c>
      <c r="AI177" s="1" t="str">
        <f>IF(Table1[[#This Row],[Included?]], Table35[[#This Row],[I OB Weighted Scale]]*AI$185+AI$186, "")</f>
        <v/>
      </c>
      <c r="AJ177" s="1" t="str">
        <f>IF(Table1[[#This Row],[Included?]], Table35[[#This Row],[I Z-score]]*AJ$185+AJ$186, "")</f>
        <v/>
      </c>
      <c r="AK177" s="1" t="str">
        <f>IF(Table1[[#This Row],[Included?]], Table35[[#This Row],[I OBMod Z-Score]]*AK$185+AK$186, "")</f>
        <v/>
      </c>
      <c r="AL177" s="1" t="str">
        <f>IF(Table1[[#This Row],[Included?]], AVERAGE(Table35[[#This Row],[I Tot Value]:[I OB Z Value]]), "")</f>
        <v/>
      </c>
    </row>
    <row r="178" spans="1:38" x14ac:dyDescent="0.25">
      <c r="A178" s="1">
        <f>(Table1[[#This Row],[R]]-Data!H$188)/(Data!H$187-Data!H$188)</f>
        <v>0.19176136363636362</v>
      </c>
      <c r="B178" s="1">
        <f>(Table1[[#This Row],[HR]]-Data!I$188)/(Data!I$187-Data!I$188)</f>
        <v>7.2157930565010214E-2</v>
      </c>
      <c r="C178" s="1">
        <f>(Table1[[#This Row],[RBI]]-Data!J$188)/(Data!J$187-Data!J$188)</f>
        <v>0.20664946976210946</v>
      </c>
      <c r="D178" s="1">
        <f>(Table1[[#This Row],[SB]]-Data!K$188)/(Data!K$187-Data!K$188)</f>
        <v>0.17001254705144286</v>
      </c>
      <c r="E178" s="1">
        <f>(Table1[[#This Row],[OBP]]-Data!L$188)/(Data!L$187-Data!L$188)</f>
        <v>0.15563422741958108</v>
      </c>
      <c r="F178" s="1">
        <f>(Table1[[#This Row],[OB]]-Data!P$188)/(Data!P$187-Data!P$188)</f>
        <v>0.32448193643730378</v>
      </c>
      <c r="G178" s="1">
        <f>SUM(Table3[[#This Row],[R Scale]:[OBP Scale]])</f>
        <v>0.79621553843450721</v>
      </c>
      <c r="H178" s="1">
        <f>SUM(Table3[[#This Row],[R Scale]:[SB Scale]],Table3[[#This Row],[OB Scale]])</f>
        <v>0.96506324745222982</v>
      </c>
      <c r="I178" s="1">
        <f>Table3[[#This Row],[R Scale]]*Data!B$192+Table3[[#This Row],[HR Scale]]*Data!C$192+Table3[[#This Row],[RBI Scale]]*Data!D$192+Table3[[#This Row],[SB Scale]]*Data!E$192+Table3[[#This Row],[OBP Scale]]*Data!F$192</f>
        <v>0.84949614150720898</v>
      </c>
      <c r="J178" s="1">
        <f>Table3[[#This Row],[R Scale]]*Data!B$192+Table3[[#This Row],[HR Scale]]*Data!C$192+Table3[[#This Row],[RBI Scale]]*Data!D$192+Table3[[#This Row],[SB Scale]]*Data!E$192+Table3[[#This Row],[OB Scale]]*Data!F$192</f>
        <v>1.0521133923284762</v>
      </c>
      <c r="K178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-5.152779507080913</v>
      </c>
      <c r="L178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-5.090301091096002</v>
      </c>
      <c r="M178" s="1">
        <f ca="1">Table3[[#This Row],[Tot Scale]]*M$185+M$186</f>
        <v>-37.054931337807332</v>
      </c>
      <c r="N178" s="1">
        <f ca="1">Table3[[#This Row],[OB Tot Scale]]*N$185+N$186</f>
        <v>-32.321266085835518</v>
      </c>
      <c r="O178" s="1">
        <f ca="1">Table3[[#This Row],[Weighted Scale]]*O$185+O$186</f>
        <v>-36.97700837975799</v>
      </c>
      <c r="P178" s="1">
        <f ca="1">Table3[[#This Row],[OB Weighted Scale]]*P$185+P$186</f>
        <v>-31.971994487613109</v>
      </c>
      <c r="Q178" s="1">
        <f ca="1">Table3[[#This Row],[Z-score]]*Q$185+Q$186</f>
        <v>-36.455170847022899</v>
      </c>
      <c r="R178" s="1">
        <f ca="1">Table3[[#This Row],[OBMod Z-Score]]*R$185+R$186</f>
        <v>-35.408099151337218</v>
      </c>
      <c r="S178" s="1">
        <f ca="1">AVERAGE(Table3[[#This Row],[Tot Value]:[OB Z Value]])</f>
        <v>-35.031411714895675</v>
      </c>
      <c r="T178" s="1" t="str">
        <f>IF(Table1[[#This Row],[Included?]], (Table1[[#This Row],[I R]]-Data!S$188)/(Data!S$187-Data!S$188), "")</f>
        <v/>
      </c>
      <c r="U178" s="1" t="str">
        <f>IF(Table1[[#This Row],[Included?]], (Table1[[#This Row],[I HR]]-Data!T$188)/(Data!T$187-Data!T$188), "")</f>
        <v/>
      </c>
      <c r="V178" s="1" t="str">
        <f>IF(Table1[[#This Row],[Included?]], (Table1[[#This Row],[I RBI]]-Data!U$188)/(Data!U$187-Data!U$188), "")</f>
        <v/>
      </c>
      <c r="W178" s="1" t="str">
        <f>IF(Table1[[#This Row],[Included?]], (Table1[[#This Row],[I SB]]-Data!V$188)/(Data!V$187-Data!V$188), "")</f>
        <v/>
      </c>
      <c r="X178" s="1" t="str">
        <f>IF(Table1[[#This Row],[Included?]], (Table1[[#This Row],[I OBP]]-Data!W$188)/(Data!W$187-Data!W$188), "")</f>
        <v/>
      </c>
      <c r="Y178" s="1" t="str">
        <f>IF(Table1[[#This Row],[Included?]], (Table1[[#This Row],[I OB]]-Data!AA$188)/(Data!AA$187-Data!AA$188), "")</f>
        <v/>
      </c>
      <c r="Z178" s="1" t="str">
        <f>IF(Table1[[#This Row],[Included?]], SUM(Table35[[#This Row],[I R Scale]:[I OBP Scale]]), "")</f>
        <v/>
      </c>
      <c r="AA178" s="1" t="str">
        <f>IF(Table1[[#This Row],[Included?]], SUM(Table35[[#This Row],[I R Scale]:[I SB Scale]],Table35[[#This Row],[I OB Scale]]), "")</f>
        <v/>
      </c>
      <c r="AB178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8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8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8" s="1" t="str">
        <f>IF(Table1[[#This Row],[Included?]], Table35[[#This Row],[I Tot Scale]]*AF$185+AF$186, "")</f>
        <v/>
      </c>
      <c r="AG178" s="1" t="str">
        <f>IF(Table1[[#This Row],[Included?]], Table35[[#This Row],[I OB Tot Scale]]*AG$185+AG$186, "")</f>
        <v/>
      </c>
      <c r="AH178" s="1" t="str">
        <f>IF(Table1[[#This Row],[Included?]], Table35[[#This Row],[I Weighted Scale]]*AH$185+AH$186, "")</f>
        <v/>
      </c>
      <c r="AI178" s="1" t="str">
        <f>IF(Table1[[#This Row],[Included?]], Table35[[#This Row],[I OB Weighted Scale]]*AI$185+AI$186, "")</f>
        <v/>
      </c>
      <c r="AJ178" s="1" t="str">
        <f>IF(Table1[[#This Row],[Included?]], Table35[[#This Row],[I Z-score]]*AJ$185+AJ$186, "")</f>
        <v/>
      </c>
      <c r="AK178" s="1" t="str">
        <f>IF(Table1[[#This Row],[Included?]], Table35[[#This Row],[I OBMod Z-Score]]*AK$185+AK$186, "")</f>
        <v/>
      </c>
      <c r="AL178" s="1" t="str">
        <f>IF(Table1[[#This Row],[Included?]], AVERAGE(Table35[[#This Row],[I Tot Value]:[I OB Z Value]]), "")</f>
        <v/>
      </c>
    </row>
    <row r="179" spans="1:38" x14ac:dyDescent="0.25">
      <c r="A179" s="1">
        <f>(Table1[[#This Row],[R]]-Data!H$188)/(Data!H$187-Data!H$188)</f>
        <v>0.16051136363636365</v>
      </c>
      <c r="B179" s="1">
        <f>(Table1[[#This Row],[HR]]-Data!I$188)/(Data!I$187-Data!I$188)</f>
        <v>0.2368958475153165</v>
      </c>
      <c r="C179" s="1">
        <f>(Table1[[#This Row],[RBI]]-Data!J$188)/(Data!J$187-Data!J$188)</f>
        <v>0.20664946976210946</v>
      </c>
      <c r="D179" s="1">
        <f>(Table1[[#This Row],[SB]]-Data!K$188)/(Data!K$187-Data!K$188)</f>
        <v>0.18444165621079042</v>
      </c>
      <c r="E179" s="1">
        <f>(Table1[[#This Row],[OBP]]-Data!L$188)/(Data!L$187-Data!L$188)</f>
        <v>0.14610673515808378</v>
      </c>
      <c r="F179" s="1">
        <f>(Table1[[#This Row],[OB]]-Data!P$188)/(Data!P$187-Data!P$188)</f>
        <v>0.23334597597612339</v>
      </c>
      <c r="G179" s="1">
        <f>SUM(Table3[[#This Row],[R Scale]:[OBP Scale]])</f>
        <v>0.93460507228266387</v>
      </c>
      <c r="H179" s="1">
        <f>SUM(Table3[[#This Row],[R Scale]:[SB Scale]],Table3[[#This Row],[OB Scale]])</f>
        <v>1.0218443131007033</v>
      </c>
      <c r="I179" s="1">
        <f>Table3[[#This Row],[R Scale]]*Data!B$192+Table3[[#This Row],[HR Scale]]*Data!C$192+Table3[[#This Row],[RBI Scale]]*Data!D$192+Table3[[#This Row],[SB Scale]]*Data!E$192+Table3[[#This Row],[OBP Scale]]*Data!F$192</f>
        <v>0.9891051769030661</v>
      </c>
      <c r="J179" s="1">
        <f>Table3[[#This Row],[R Scale]]*Data!B$192+Table3[[#This Row],[HR Scale]]*Data!C$192+Table3[[#This Row],[RBI Scale]]*Data!D$192+Table3[[#This Row],[SB Scale]]*Data!E$192+Table3[[#This Row],[OB Scale]]*Data!F$192</f>
        <v>1.0937922658847137</v>
      </c>
      <c r="K179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-4.5250692412202342</v>
      </c>
      <c r="L179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-4.2797097248960627</v>
      </c>
      <c r="M179" s="1">
        <f ca="1">Table3[[#This Row],[Tot Scale]]*M$185+M$186</f>
        <v>-31.943950840090025</v>
      </c>
      <c r="N179" s="1">
        <f ca="1">Table3[[#This Row],[OB Tot Scale]]*N$185+N$186</f>
        <v>-30.250574988652104</v>
      </c>
      <c r="O179" s="1">
        <f ca="1">Table3[[#This Row],[Weighted Scale]]*O$185+O$186</f>
        <v>-32.17525872077816</v>
      </c>
      <c r="P179" s="1">
        <f ca="1">Table3[[#This Row],[OB Weighted Scale]]*P$185+P$186</f>
        <v>-30.54905160881426</v>
      </c>
      <c r="Q179" s="1">
        <f ca="1">Table3[[#This Row],[Z-score]]*Q$185+Q$186</f>
        <v>-31.842905228170839</v>
      </c>
      <c r="R179" s="1">
        <f ca="1">Table3[[#This Row],[OBMod Z-Score]]*R$185+R$186</f>
        <v>-29.506579606554109</v>
      </c>
      <c r="S179" s="1">
        <f ca="1">AVERAGE(Table3[[#This Row],[Tot Value]:[OB Z Value]])</f>
        <v>-31.044720165509919</v>
      </c>
      <c r="T179" s="1" t="str">
        <f>IF(Table1[[#This Row],[Included?]], (Table1[[#This Row],[I R]]-Data!S$188)/(Data!S$187-Data!S$188), "")</f>
        <v/>
      </c>
      <c r="U179" s="1" t="str">
        <f>IF(Table1[[#This Row],[Included?]], (Table1[[#This Row],[I HR]]-Data!T$188)/(Data!T$187-Data!T$188), "")</f>
        <v/>
      </c>
      <c r="V179" s="1" t="str">
        <f>IF(Table1[[#This Row],[Included?]], (Table1[[#This Row],[I RBI]]-Data!U$188)/(Data!U$187-Data!U$188), "")</f>
        <v/>
      </c>
      <c r="W179" s="1" t="str">
        <f>IF(Table1[[#This Row],[Included?]], (Table1[[#This Row],[I SB]]-Data!V$188)/(Data!V$187-Data!V$188), "")</f>
        <v/>
      </c>
      <c r="X179" s="1" t="str">
        <f>IF(Table1[[#This Row],[Included?]], (Table1[[#This Row],[I OBP]]-Data!W$188)/(Data!W$187-Data!W$188), "")</f>
        <v/>
      </c>
      <c r="Y179" s="1" t="str">
        <f>IF(Table1[[#This Row],[Included?]], (Table1[[#This Row],[I OB]]-Data!AA$188)/(Data!AA$187-Data!AA$188), "")</f>
        <v/>
      </c>
      <c r="Z179" s="1" t="str">
        <f>IF(Table1[[#This Row],[Included?]], SUM(Table35[[#This Row],[I R Scale]:[I OBP Scale]]), "")</f>
        <v/>
      </c>
      <c r="AA179" s="1" t="str">
        <f>IF(Table1[[#This Row],[Included?]], SUM(Table35[[#This Row],[I R Scale]:[I SB Scale]],Table35[[#This Row],[I OB Scale]]), "")</f>
        <v/>
      </c>
      <c r="AB179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79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7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79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79" s="1" t="str">
        <f>IF(Table1[[#This Row],[Included?]], Table35[[#This Row],[I Tot Scale]]*AF$185+AF$186, "")</f>
        <v/>
      </c>
      <c r="AG179" s="1" t="str">
        <f>IF(Table1[[#This Row],[Included?]], Table35[[#This Row],[I OB Tot Scale]]*AG$185+AG$186, "")</f>
        <v/>
      </c>
      <c r="AH179" s="1" t="str">
        <f>IF(Table1[[#This Row],[Included?]], Table35[[#This Row],[I Weighted Scale]]*AH$185+AH$186, "")</f>
        <v/>
      </c>
      <c r="AI179" s="1" t="str">
        <f>IF(Table1[[#This Row],[Included?]], Table35[[#This Row],[I OB Weighted Scale]]*AI$185+AI$186, "")</f>
        <v/>
      </c>
      <c r="AJ179" s="1" t="str">
        <f>IF(Table1[[#This Row],[Included?]], Table35[[#This Row],[I Z-score]]*AJ$185+AJ$186, "")</f>
        <v/>
      </c>
      <c r="AK179" s="1" t="str">
        <f>IF(Table1[[#This Row],[Included?]], Table35[[#This Row],[I OBMod Z-Score]]*AK$185+AK$186, "")</f>
        <v/>
      </c>
      <c r="AL179" s="1" t="str">
        <f>IF(Table1[[#This Row],[Included?]], AVERAGE(Table35[[#This Row],[I Tot Value]:[I OB Z Value]]), "")</f>
        <v/>
      </c>
    </row>
    <row r="180" spans="1:38" x14ac:dyDescent="0.25">
      <c r="A180" s="1">
        <f>(Table1[[#This Row],[R]]-Data!H$188)/(Data!H$187-Data!H$188)</f>
        <v>0.14261363636363639</v>
      </c>
      <c r="B180" s="1">
        <f>(Table1[[#This Row],[HR]]-Data!I$188)/(Data!I$187-Data!I$188)</f>
        <v>0.18788291354663036</v>
      </c>
      <c r="C180" s="1">
        <f>(Table1[[#This Row],[RBI]]-Data!J$188)/(Data!J$187-Data!J$188)</f>
        <v>0.22012037833190026</v>
      </c>
      <c r="D180" s="1">
        <f>(Table1[[#This Row],[SB]]-Data!K$188)/(Data!K$187-Data!K$188)</f>
        <v>3.1994981179422829E-2</v>
      </c>
      <c r="E180" s="1">
        <f>(Table1[[#This Row],[OBP]]-Data!L$188)/(Data!L$187-Data!L$188)</f>
        <v>0.18433588111636517</v>
      </c>
      <c r="F180" s="1">
        <f>(Table1[[#This Row],[OB]]-Data!P$188)/(Data!P$187-Data!P$188)</f>
        <v>0.31510566081442298</v>
      </c>
      <c r="G180" s="1">
        <f>SUM(Table3[[#This Row],[R Scale]:[OBP Scale]])</f>
        <v>0.76694779053795492</v>
      </c>
      <c r="H180" s="1">
        <f>SUM(Table3[[#This Row],[R Scale]:[SB Scale]],Table3[[#This Row],[OB Scale]])</f>
        <v>0.89771757023601273</v>
      </c>
      <c r="I180" s="1">
        <f>Table3[[#This Row],[R Scale]]*Data!B$192+Table3[[#This Row],[HR Scale]]*Data!C$192+Table3[[#This Row],[RBI Scale]]*Data!D$192+Table3[[#This Row],[SB Scale]]*Data!E$192+Table3[[#This Row],[OBP Scale]]*Data!F$192</f>
        <v>0.83357767879124445</v>
      </c>
      <c r="J180" s="1">
        <f>Table3[[#This Row],[R Scale]]*Data!B$192+Table3[[#This Row],[HR Scale]]*Data!C$192+Table3[[#This Row],[RBI Scale]]*Data!D$192+Table3[[#This Row],[SB Scale]]*Data!E$192+Table3[[#This Row],[OB Scale]]*Data!F$192</f>
        <v>0.99050141442891382</v>
      </c>
      <c r="K180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-5.6250724569240385</v>
      </c>
      <c r="L180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-5.536316898048943</v>
      </c>
      <c r="M180" s="1">
        <f ca="1">Table3[[#This Row],[Tot Scale]]*M$185+M$186</f>
        <v>-38.135843199794778</v>
      </c>
      <c r="N180" s="1">
        <f ca="1">Table3[[#This Row],[OB Tot Scale]]*N$185+N$186</f>
        <v>-34.777227287915515</v>
      </c>
      <c r="O180" s="1">
        <f ca="1">Table3[[#This Row],[Weighted Scale]]*O$185+O$186</f>
        <v>-37.524512147699177</v>
      </c>
      <c r="P180" s="1">
        <f ca="1">Table3[[#This Row],[OB Weighted Scale]]*P$185+P$186</f>
        <v>-34.07546604815326</v>
      </c>
      <c r="Q180" s="1">
        <f ca="1">Table3[[#This Row],[Z-score]]*Q$185+Q$186</f>
        <v>-39.925467021964145</v>
      </c>
      <c r="R180" s="1">
        <f ca="1">Table3[[#This Row],[OBMod Z-Score]]*R$185+R$186</f>
        <v>-38.655322242738542</v>
      </c>
      <c r="S180" s="1">
        <f ca="1">AVERAGE(Table3[[#This Row],[Tot Value]:[OB Z Value]])</f>
        <v>-37.1823063247109</v>
      </c>
      <c r="T180" s="1" t="str">
        <f>IF(Table1[[#This Row],[Included?]], (Table1[[#This Row],[I R]]-Data!S$188)/(Data!S$187-Data!S$188), "")</f>
        <v/>
      </c>
      <c r="U180" s="1" t="str">
        <f>IF(Table1[[#This Row],[Included?]], (Table1[[#This Row],[I HR]]-Data!T$188)/(Data!T$187-Data!T$188), "")</f>
        <v/>
      </c>
      <c r="V180" s="1" t="str">
        <f>IF(Table1[[#This Row],[Included?]], (Table1[[#This Row],[I RBI]]-Data!U$188)/(Data!U$187-Data!U$188), "")</f>
        <v/>
      </c>
      <c r="W180" s="1" t="str">
        <f>IF(Table1[[#This Row],[Included?]], (Table1[[#This Row],[I SB]]-Data!V$188)/(Data!V$187-Data!V$188), "")</f>
        <v/>
      </c>
      <c r="X180" s="1" t="str">
        <f>IF(Table1[[#This Row],[Included?]], (Table1[[#This Row],[I OBP]]-Data!W$188)/(Data!W$187-Data!W$188), "")</f>
        <v/>
      </c>
      <c r="Y180" s="1" t="str">
        <f>IF(Table1[[#This Row],[Included?]], (Table1[[#This Row],[I OB]]-Data!AA$188)/(Data!AA$187-Data!AA$188), "")</f>
        <v/>
      </c>
      <c r="Z180" s="1" t="str">
        <f>IF(Table1[[#This Row],[Included?]], SUM(Table35[[#This Row],[I R Scale]:[I OBP Scale]]), "")</f>
        <v/>
      </c>
      <c r="AA180" s="1" t="str">
        <f>IF(Table1[[#This Row],[Included?]], SUM(Table35[[#This Row],[I R Scale]:[I SB Scale]],Table35[[#This Row],[I OB Scale]]), "")</f>
        <v/>
      </c>
      <c r="AB180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0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0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0" s="1" t="str">
        <f>IF(Table1[[#This Row],[Included?]], Table35[[#This Row],[I Tot Scale]]*AF$185+AF$186, "")</f>
        <v/>
      </c>
      <c r="AG180" s="1" t="str">
        <f>IF(Table1[[#This Row],[Included?]], Table35[[#This Row],[I OB Tot Scale]]*AG$185+AG$186, "")</f>
        <v/>
      </c>
      <c r="AH180" s="1" t="str">
        <f>IF(Table1[[#This Row],[Included?]], Table35[[#This Row],[I Weighted Scale]]*AH$185+AH$186, "")</f>
        <v/>
      </c>
      <c r="AI180" s="1" t="str">
        <f>IF(Table1[[#This Row],[Included?]], Table35[[#This Row],[I OB Weighted Scale]]*AI$185+AI$186, "")</f>
        <v/>
      </c>
      <c r="AJ180" s="1" t="str">
        <f>IF(Table1[[#This Row],[Included?]], Table35[[#This Row],[I Z-score]]*AJ$185+AJ$186, "")</f>
        <v/>
      </c>
      <c r="AK180" s="1" t="str">
        <f>IF(Table1[[#This Row],[Included?]], Table35[[#This Row],[I OBMod Z-Score]]*AK$185+AK$186, "")</f>
        <v/>
      </c>
      <c r="AL180" s="1" t="str">
        <f>IF(Table1[[#This Row],[Included?]], AVERAGE(Table35[[#This Row],[I Tot Value]:[I OB Z Value]]), "")</f>
        <v/>
      </c>
    </row>
    <row r="181" spans="1:38" x14ac:dyDescent="0.25">
      <c r="A181" s="1">
        <f>(Table1[[#This Row],[R]]-Data!H$188)/(Data!H$187-Data!H$188)</f>
        <v>0.15994318181818187</v>
      </c>
      <c r="B181" s="1">
        <f>(Table1[[#This Row],[HR]]-Data!I$188)/(Data!I$187-Data!I$188)</f>
        <v>0.29067392784206941</v>
      </c>
      <c r="C181" s="1">
        <f>(Table1[[#This Row],[RBI]]-Data!J$188)/(Data!J$187-Data!J$188)</f>
        <v>0.19862424763542558</v>
      </c>
      <c r="D181" s="1">
        <f>(Table1[[#This Row],[SB]]-Data!K$188)/(Data!K$187-Data!K$188)</f>
        <v>5.3324968632371385E-2</v>
      </c>
      <c r="E181" s="1">
        <f>(Table1[[#This Row],[OBP]]-Data!L$188)/(Data!L$187-Data!L$188)</f>
        <v>0.284014255453926</v>
      </c>
      <c r="F181" s="1">
        <f>(Table1[[#This Row],[OB]]-Data!P$188)/(Data!P$187-Data!P$188)</f>
        <v>0.25398551485897536</v>
      </c>
      <c r="G181" s="1">
        <f>SUM(Table3[[#This Row],[R Scale]:[OBP Scale]])</f>
        <v>0.98658058138197413</v>
      </c>
      <c r="H181" s="1">
        <f>SUM(Table3[[#This Row],[R Scale]:[SB Scale]],Table3[[#This Row],[OB Scale]])</f>
        <v>0.95655184078702349</v>
      </c>
      <c r="I181" s="1">
        <f>Table3[[#This Row],[R Scale]]*Data!B$192+Table3[[#This Row],[HR Scale]]*Data!C$192+Table3[[#This Row],[RBI Scale]]*Data!D$192+Table3[[#This Row],[SB Scale]]*Data!E$192+Table3[[#This Row],[OBP Scale]]*Data!F$192</f>
        <v>1.0671139638180263</v>
      </c>
      <c r="J181" s="1">
        <f>Table3[[#This Row],[R Scale]]*Data!B$192+Table3[[#This Row],[HR Scale]]*Data!C$192+Table3[[#This Row],[RBI Scale]]*Data!D$192+Table3[[#This Row],[SB Scale]]*Data!E$192+Table3[[#This Row],[OB Scale]]*Data!F$192</f>
        <v>1.0310794751040855</v>
      </c>
      <c r="K181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-4.4720143023660555</v>
      </c>
      <c r="L181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-4.329098276469491</v>
      </c>
      <c r="M181" s="1">
        <f ca="1">Table3[[#This Row],[Tot Scale]]*M$185+M$186</f>
        <v>-30.02439951291398</v>
      </c>
      <c r="N181" s="1">
        <f ca="1">Table3[[#This Row],[OB Tot Scale]]*N$185+N$186</f>
        <v>-32.631659943451041</v>
      </c>
      <c r="O181" s="1">
        <f ca="1">Table3[[#This Row],[Weighted Scale]]*O$185+O$186</f>
        <v>-29.492204111137504</v>
      </c>
      <c r="P181" s="1">
        <f ca="1">Table3[[#This Row],[OB Weighted Scale]]*P$185+P$186</f>
        <v>-32.690105611401194</v>
      </c>
      <c r="Q181" s="1">
        <f ca="1">Table3[[#This Row],[Z-score]]*Q$185+Q$186</f>
        <v>-31.453070166206533</v>
      </c>
      <c r="R181" s="1">
        <f ca="1">Table3[[#This Row],[OBMod Z-Score]]*R$185+R$186</f>
        <v>-29.866153510931497</v>
      </c>
      <c r="S181" s="1">
        <f ca="1">AVERAGE(Table3[[#This Row],[Tot Value]:[OB Z Value]])</f>
        <v>-31.026265476006959</v>
      </c>
      <c r="T181" s="1" t="str">
        <f>IF(Table1[[#This Row],[Included?]], (Table1[[#This Row],[I R]]-Data!S$188)/(Data!S$187-Data!S$188), "")</f>
        <v/>
      </c>
      <c r="U181" s="1" t="str">
        <f>IF(Table1[[#This Row],[Included?]], (Table1[[#This Row],[I HR]]-Data!T$188)/(Data!T$187-Data!T$188), "")</f>
        <v/>
      </c>
      <c r="V181" s="1" t="str">
        <f>IF(Table1[[#This Row],[Included?]], (Table1[[#This Row],[I RBI]]-Data!U$188)/(Data!U$187-Data!U$188), "")</f>
        <v/>
      </c>
      <c r="W181" s="1" t="str">
        <f>IF(Table1[[#This Row],[Included?]], (Table1[[#This Row],[I SB]]-Data!V$188)/(Data!V$187-Data!V$188), "")</f>
        <v/>
      </c>
      <c r="X181" s="1" t="str">
        <f>IF(Table1[[#This Row],[Included?]], (Table1[[#This Row],[I OBP]]-Data!W$188)/(Data!W$187-Data!W$188), "")</f>
        <v/>
      </c>
      <c r="Y181" s="1" t="str">
        <f>IF(Table1[[#This Row],[Included?]], (Table1[[#This Row],[I OB]]-Data!AA$188)/(Data!AA$187-Data!AA$188), "")</f>
        <v/>
      </c>
      <c r="Z181" s="1" t="str">
        <f>IF(Table1[[#This Row],[Included?]], SUM(Table35[[#This Row],[I R Scale]:[I OBP Scale]]), "")</f>
        <v/>
      </c>
      <c r="AA181" s="1" t="str">
        <f>IF(Table1[[#This Row],[Included?]], SUM(Table35[[#This Row],[I R Scale]:[I SB Scale]],Table35[[#This Row],[I OB Scale]]), "")</f>
        <v/>
      </c>
      <c r="AB181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1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1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1" s="1" t="str">
        <f>IF(Table1[[#This Row],[Included?]], Table35[[#This Row],[I Tot Scale]]*AF$185+AF$186, "")</f>
        <v/>
      </c>
      <c r="AG181" s="1" t="str">
        <f>IF(Table1[[#This Row],[Included?]], Table35[[#This Row],[I OB Tot Scale]]*AG$185+AG$186, "")</f>
        <v/>
      </c>
      <c r="AH181" s="1" t="str">
        <f>IF(Table1[[#This Row],[Included?]], Table35[[#This Row],[I Weighted Scale]]*AH$185+AH$186, "")</f>
        <v/>
      </c>
      <c r="AI181" s="1" t="str">
        <f>IF(Table1[[#This Row],[Included?]], Table35[[#This Row],[I OB Weighted Scale]]*AI$185+AI$186, "")</f>
        <v/>
      </c>
      <c r="AJ181" s="1" t="str">
        <f>IF(Table1[[#This Row],[Included?]], Table35[[#This Row],[I Z-score]]*AJ$185+AJ$186, "")</f>
        <v/>
      </c>
      <c r="AK181" s="1" t="str">
        <f>IF(Table1[[#This Row],[Included?]], Table35[[#This Row],[I OBMod Z-Score]]*AK$185+AK$186, "")</f>
        <v/>
      </c>
      <c r="AL181" s="1" t="str">
        <f>IF(Table1[[#This Row],[Included?]], AVERAGE(Table35[[#This Row],[I Tot Value]:[I OB Z Value]]), "")</f>
        <v/>
      </c>
    </row>
    <row r="182" spans="1:38" x14ac:dyDescent="0.25">
      <c r="A182" s="1">
        <f>(Table1[[#This Row],[R]]-Data!H$188)/(Data!H$187-Data!H$188)</f>
        <v>0.1852272727272728</v>
      </c>
      <c r="B182" s="1">
        <f>(Table1[[#This Row],[HR]]-Data!I$188)/(Data!I$187-Data!I$188)</f>
        <v>0.1170864533696392</v>
      </c>
      <c r="C182" s="1">
        <f>(Table1[[#This Row],[RBI]]-Data!J$188)/(Data!J$187-Data!J$188)</f>
        <v>0.17483519633132702</v>
      </c>
      <c r="D182" s="1">
        <f>(Table1[[#This Row],[SB]]-Data!K$188)/(Data!K$187-Data!K$188)</f>
        <v>0.19636135508155581</v>
      </c>
      <c r="E182" s="1">
        <f>(Table1[[#This Row],[OBP]]-Data!L$188)/(Data!L$187-Data!L$188)</f>
        <v>0.19522986746189172</v>
      </c>
      <c r="F182" s="1">
        <f>(Table1[[#This Row],[OB]]-Data!P$188)/(Data!P$187-Data!P$188)</f>
        <v>0.2343268425747641</v>
      </c>
      <c r="G182" s="1">
        <f>SUM(Table3[[#This Row],[R Scale]:[OBP Scale]])</f>
        <v>0.86874014497168661</v>
      </c>
      <c r="H182" s="1">
        <f>SUM(Table3[[#This Row],[R Scale]:[SB Scale]],Table3[[#This Row],[OB Scale]])</f>
        <v>0.90783712008455897</v>
      </c>
      <c r="I182" s="1">
        <f>Table3[[#This Row],[R Scale]]*Data!B$192+Table3[[#This Row],[HR Scale]]*Data!C$192+Table3[[#This Row],[RBI Scale]]*Data!D$192+Table3[[#This Row],[SB Scale]]*Data!E$192+Table3[[#This Row],[OBP Scale]]*Data!F$192</f>
        <v>0.924230430457603</v>
      </c>
      <c r="J182" s="1">
        <f>Table3[[#This Row],[R Scale]]*Data!B$192+Table3[[#This Row],[HR Scale]]*Data!C$192+Table3[[#This Row],[RBI Scale]]*Data!D$192+Table3[[#This Row],[SB Scale]]*Data!E$192+Table3[[#This Row],[OB Scale]]*Data!F$192</f>
        <v>0.97114680059304992</v>
      </c>
      <c r="K182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-4.7341640899915198</v>
      </c>
      <c r="L182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-4.5081928197943428</v>
      </c>
      <c r="M182" s="1">
        <f ca="1">Table3[[#This Row],[Tot Scale]]*M$185+M$186</f>
        <v>-34.376463976085795</v>
      </c>
      <c r="N182" s="1">
        <f ca="1">Table3[[#This Row],[OB Tot Scale]]*N$185+N$186</f>
        <v>-34.408187687485757</v>
      </c>
      <c r="O182" s="1">
        <f ca="1">Table3[[#This Row],[Weighted Scale]]*O$185+O$186</f>
        <v>-34.406577709105974</v>
      </c>
      <c r="P182" s="1">
        <f ca="1">Table3[[#This Row],[OB Weighted Scale]]*P$185+P$186</f>
        <v>-34.736244701215554</v>
      </c>
      <c r="Q182" s="1">
        <f ca="1">Table3[[#This Row],[Z-score]]*Q$185+Q$186</f>
        <v>-33.379284405823036</v>
      </c>
      <c r="R182" s="1">
        <f ca="1">Table3[[#This Row],[OBMod Z-Score]]*R$185+R$186</f>
        <v>-31.170053344889165</v>
      </c>
      <c r="S182" s="1">
        <f ca="1">AVERAGE(Table3[[#This Row],[Tot Value]:[OB Z Value]])</f>
        <v>-33.746135304100882</v>
      </c>
      <c r="T182" s="1" t="str">
        <f>IF(Table1[[#This Row],[Included?]], (Table1[[#This Row],[I R]]-Data!S$188)/(Data!S$187-Data!S$188), "")</f>
        <v/>
      </c>
      <c r="U182" s="1" t="str">
        <f>IF(Table1[[#This Row],[Included?]], (Table1[[#This Row],[I HR]]-Data!T$188)/(Data!T$187-Data!T$188), "")</f>
        <v/>
      </c>
      <c r="V182" s="1" t="str">
        <f>IF(Table1[[#This Row],[Included?]], (Table1[[#This Row],[I RBI]]-Data!U$188)/(Data!U$187-Data!U$188), "")</f>
        <v/>
      </c>
      <c r="W182" s="1" t="str">
        <f>IF(Table1[[#This Row],[Included?]], (Table1[[#This Row],[I SB]]-Data!V$188)/(Data!V$187-Data!V$188), "")</f>
        <v/>
      </c>
      <c r="X182" s="1" t="str">
        <f>IF(Table1[[#This Row],[Included?]], (Table1[[#This Row],[I OBP]]-Data!W$188)/(Data!W$187-Data!W$188), "")</f>
        <v/>
      </c>
      <c r="Y182" s="1" t="str">
        <f>IF(Table1[[#This Row],[Included?]], (Table1[[#This Row],[I OB]]-Data!AA$188)/(Data!AA$187-Data!AA$188), "")</f>
        <v/>
      </c>
      <c r="Z182" s="1" t="str">
        <f>IF(Table1[[#This Row],[Included?]], SUM(Table35[[#This Row],[I R Scale]:[I OBP Scale]]), "")</f>
        <v/>
      </c>
      <c r="AA182" s="1" t="str">
        <f>IF(Table1[[#This Row],[Included?]], SUM(Table35[[#This Row],[I R Scale]:[I SB Scale]],Table35[[#This Row],[I OB Scale]]), "")</f>
        <v/>
      </c>
      <c r="AB182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2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2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2" s="1" t="str">
        <f>IF(Table1[[#This Row],[Included?]], Table35[[#This Row],[I Tot Scale]]*AF$185+AF$186, "")</f>
        <v/>
      </c>
      <c r="AG182" s="1" t="str">
        <f>IF(Table1[[#This Row],[Included?]], Table35[[#This Row],[I OB Tot Scale]]*AG$185+AG$186, "")</f>
        <v/>
      </c>
      <c r="AH182" s="1" t="str">
        <f>IF(Table1[[#This Row],[Included?]], Table35[[#This Row],[I Weighted Scale]]*AH$185+AH$186, "")</f>
        <v/>
      </c>
      <c r="AI182" s="1" t="str">
        <f>IF(Table1[[#This Row],[Included?]], Table35[[#This Row],[I OB Weighted Scale]]*AI$185+AI$186, "")</f>
        <v/>
      </c>
      <c r="AJ182" s="1" t="str">
        <f>IF(Table1[[#This Row],[Included?]], Table35[[#This Row],[I Z-score]]*AJ$185+AJ$186, "")</f>
        <v/>
      </c>
      <c r="AK182" s="1" t="str">
        <f>IF(Table1[[#This Row],[Included?]], Table35[[#This Row],[I OBMod Z-Score]]*AK$185+AK$186, "")</f>
        <v/>
      </c>
      <c r="AL182" s="1" t="str">
        <f>IF(Table1[[#This Row],[Included?]], AVERAGE(Table35[[#This Row],[I Tot Value]:[I OB Z Value]]), "")</f>
        <v/>
      </c>
    </row>
    <row r="183" spans="1:38" x14ac:dyDescent="0.25">
      <c r="A183" s="1">
        <f>(Table1[[#This Row],[R]]-Data!H$188)/(Data!H$187-Data!H$188)</f>
        <v>0.11164772727272729</v>
      </c>
      <c r="B183" s="1">
        <f>(Table1[[#This Row],[HR]]-Data!I$188)/(Data!I$187-Data!I$188)</f>
        <v>0.28590878148400267</v>
      </c>
      <c r="C183" s="1">
        <f>(Table1[[#This Row],[RBI]]-Data!J$188)/(Data!J$187-Data!J$188)</f>
        <v>0.11607910576096311</v>
      </c>
      <c r="D183" s="1">
        <f>(Table1[[#This Row],[SB]]-Data!K$188)/(Data!K$187-Data!K$188)</f>
        <v>8.3437892095357583E-2</v>
      </c>
      <c r="E183" s="1">
        <f>(Table1[[#This Row],[OBP]]-Data!L$188)/(Data!L$187-Data!L$188)</f>
        <v>0.39014077071733766</v>
      </c>
      <c r="F183" s="1">
        <f>(Table1[[#This Row],[OB]]-Data!P$188)/(Data!P$187-Data!P$188)</f>
        <v>0.26610626232563667</v>
      </c>
      <c r="G183" s="1">
        <f>SUM(Table3[[#This Row],[R Scale]:[OBP Scale]])</f>
        <v>0.98721427733038836</v>
      </c>
      <c r="H183" s="1">
        <f>SUM(Table3[[#This Row],[R Scale]:[SB Scale]],Table3[[#This Row],[OB Scale]])</f>
        <v>0.86317976893868731</v>
      </c>
      <c r="I183" s="1">
        <f>Table3[[#This Row],[R Scale]]*Data!B$192+Table3[[#This Row],[HR Scale]]*Data!C$192+Table3[[#This Row],[RBI Scale]]*Data!D$192+Table3[[#This Row],[SB Scale]]*Data!E$192+Table3[[#This Row],[OBP Scale]]*Data!F$192</f>
        <v>1.0772934798987757</v>
      </c>
      <c r="J183" s="1">
        <f>Table3[[#This Row],[R Scale]]*Data!B$192+Table3[[#This Row],[HR Scale]]*Data!C$192+Table3[[#This Row],[RBI Scale]]*Data!D$192+Table3[[#This Row],[SB Scale]]*Data!E$192+Table3[[#This Row],[OB Scale]]*Data!F$192</f>
        <v>0.92845206982873441</v>
      </c>
      <c r="K183" s="1">
        <f>(Table1[[#This Row],[R]]-Data!H$185)/Data!H$189+(Table1[[#This Row],[HR]]-Data!I$185)/Data!I$189+(Table1[[#This Row],[RBI]]-Data!J$185)/Data!J$189+(Table1[[#This Row],[SB]]-Data!K$185)/Data!K$189+(Table1[[#This Row],[OBP]]-Data!L$185)/Data!L$189</f>
        <v>-4.3411621657524506</v>
      </c>
      <c r="L183" s="1">
        <f>(Table1[[#This Row],[R]]-Data!H$185)/Data!H$189+(Table1[[#This Row],[HR]]-Data!I$185)/Data!I$189+(Table1[[#This Row],[RBI]]-Data!J$185)/Data!J$189+(Table1[[#This Row],[SB]]-Data!K$185)/Data!K$189+(Table1[[#This Row],[Team OB]]-Data!Q$185)/Data!Q$189</f>
        <v>-4.3097580323142184</v>
      </c>
      <c r="M183" s="1">
        <f ca="1">Table3[[#This Row],[Tot Scale]]*M$185+M$186</f>
        <v>-30.000995953816933</v>
      </c>
      <c r="N183" s="1">
        <f ca="1">Table3[[#This Row],[OB Tot Scale]]*N$185+N$186</f>
        <v>-36.036751336044816</v>
      </c>
      <c r="O183" s="1">
        <f ca="1">Table3[[#This Row],[Weighted Scale]]*O$185+O$186</f>
        <v>-29.142087174001439</v>
      </c>
      <c r="P183" s="1">
        <f ca="1">Table3[[#This Row],[OB Weighted Scale]]*P$185+P$186</f>
        <v>-36.1938695821122</v>
      </c>
      <c r="Q183" s="1">
        <f ca="1">Table3[[#This Row],[Z-score]]*Q$185+Q$186</f>
        <v>-30.491599813274288</v>
      </c>
      <c r="R183" s="1">
        <f ca="1">Table3[[#This Row],[OBMod Z-Score]]*R$185+R$186</f>
        <v>-29.725346646162762</v>
      </c>
      <c r="S183" s="1">
        <f ca="1">AVERAGE(Table3[[#This Row],[Tot Value]:[OB Z Value]])</f>
        <v>-31.931775084235408</v>
      </c>
      <c r="T183" s="1" t="str">
        <f>IF(Table1[[#This Row],[Included?]], (Table1[[#This Row],[I R]]-Data!S$188)/(Data!S$187-Data!S$188), "")</f>
        <v/>
      </c>
      <c r="U183" s="1" t="str">
        <f>IF(Table1[[#This Row],[Included?]], (Table1[[#This Row],[I HR]]-Data!T$188)/(Data!T$187-Data!T$188), "")</f>
        <v/>
      </c>
      <c r="V183" s="1" t="str">
        <f>IF(Table1[[#This Row],[Included?]], (Table1[[#This Row],[I RBI]]-Data!U$188)/(Data!U$187-Data!U$188), "")</f>
        <v/>
      </c>
      <c r="W183" s="1" t="str">
        <f>IF(Table1[[#This Row],[Included?]], (Table1[[#This Row],[I SB]]-Data!V$188)/(Data!V$187-Data!V$188), "")</f>
        <v/>
      </c>
      <c r="X183" s="1" t="str">
        <f>IF(Table1[[#This Row],[Included?]], (Table1[[#This Row],[I OBP]]-Data!W$188)/(Data!W$187-Data!W$188), "")</f>
        <v/>
      </c>
      <c r="Y183" s="1" t="str">
        <f>IF(Table1[[#This Row],[Included?]], (Table1[[#This Row],[I OB]]-Data!AA$188)/(Data!AA$187-Data!AA$188), "")</f>
        <v/>
      </c>
      <c r="Z183" s="1" t="str">
        <f>IF(Table1[[#This Row],[Included?]], SUM(Table35[[#This Row],[I R Scale]:[I OBP Scale]]), "")</f>
        <v/>
      </c>
      <c r="AA183" s="1" t="str">
        <f>IF(Table1[[#This Row],[Included?]], SUM(Table35[[#This Row],[I R Scale]:[I SB Scale]],Table35[[#This Row],[I OB Scale]]), "")</f>
        <v/>
      </c>
      <c r="AB183" s="1" t="str">
        <f>IF(Table1[[#This Row],[Included?]], Table35[[#This Row],[I R Scale]]*Data!B$192+Table35[[#This Row],[I HR Scale]]*Data!C$192+Table35[[#This Row],[I RBI Scale]]*Data!D$192+Table35[[#This Row],[I SB Scale]]*Data!E$192+Table35[[#This Row],[I OBP Scale]]*Data!F$192, "")</f>
        <v/>
      </c>
      <c r="AC183" s="1" t="str">
        <f>IF(Table1[[#This Row],[Included?]], Table35[[#This Row],[I R Scale]]*Data!B$192+Table35[[#This Row],[I HR Scale]]*Data!C$192+Table35[[#This Row],[I RBI Scale]]*Data!D$192+Table35[[#This Row],[I SB Scale]]*Data!E$192+Table35[[#This Row],[I OB Scale]]*Data!F$192, "")</f>
        <v/>
      </c>
      <c r="AD1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OBP]]-Data!W$185)/Data!W$189, "")</f>
        <v/>
      </c>
      <c r="AE183" s="1" t="str">
        <f>IF(Table1[[#This Row],[Included?]], (Table1[[#This Row],[I R]]-Data!S$185)/Data!S$189+(Table1[[#This Row],[I HR]]-Data!T$185)/Data!T$189+(Table1[[#This Row],[I RBI]]-Data!U$185)/Data!U$189+(Table1[[#This Row],[I SB]]-Data!V$185)/Data!V$189+(Table1[[#This Row],[I Team OB]]-Data!AB$185)/Data!AB$189, "")</f>
        <v/>
      </c>
      <c r="AF183" s="1" t="str">
        <f>IF(Table1[[#This Row],[Included?]], Table35[[#This Row],[I Tot Scale]]*AF$185+AF$186, "")</f>
        <v/>
      </c>
      <c r="AG183" s="1" t="str">
        <f>IF(Table1[[#This Row],[Included?]], Table35[[#This Row],[I OB Tot Scale]]*AG$185+AG$186, "")</f>
        <v/>
      </c>
      <c r="AH183" s="1" t="str">
        <f>IF(Table1[[#This Row],[Included?]], Table35[[#This Row],[I Weighted Scale]]*AH$185+AH$186, "")</f>
        <v/>
      </c>
      <c r="AI183" s="1" t="str">
        <f>IF(Table1[[#This Row],[Included?]], Table35[[#This Row],[I OB Weighted Scale]]*AI$185+AI$186, "")</f>
        <v/>
      </c>
      <c r="AJ183" s="1" t="str">
        <f>IF(Table1[[#This Row],[Included?]], Table35[[#This Row],[I Z-score]]*AJ$185+AJ$186, "")</f>
        <v/>
      </c>
      <c r="AK183" s="1" t="str">
        <f>IF(Table1[[#This Row],[Included?]], Table35[[#This Row],[I OBMod Z-Score]]*AK$185+AK$186, "")</f>
        <v/>
      </c>
      <c r="AL183" s="1" t="str">
        <f>IF(Table1[[#This Row],[Included?]], AVERAGE(Table35[[#This Row],[I Tot Value]:[I OB Z Value]]), "")</f>
        <v/>
      </c>
    </row>
    <row r="184" spans="1:38" x14ac:dyDescent="0.25"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8" x14ac:dyDescent="0.25">
      <c r="M185">
        <f ca="1">(Data!$D$186-Data!$B$195)/(SUMPRODUCT(LARGE(Table3[Tot Scale], ROW(INDIRECT(Data!$C$195)))) - Data!$B$195*LARGE(Table3[Tot Scale], Data!$B$195))</f>
        <v>36.931842716698249</v>
      </c>
      <c r="N185">
        <f ca="1">(Data!$D$186-Data!$B$195)/(SUMPRODUCT(LARGE(Table3[OB Tot Scale], ROW(INDIRECT(Data!$C$195)))) - Data!$B$195*LARGE(Table3[OB Tot Scale], Data!$B$195))</f>
        <v>36.467985824761925</v>
      </c>
      <c r="O185">
        <f ca="1">(Data!$D$186-Data!$B$195)/(SUMPRODUCT(LARGE(Table3[Weighted Scale], ROW(INDIRECT(Data!$C$195)))) - Data!$B$195*LARGE(Table3[Weighted Scale], Data!$B$195))</f>
        <v>34.394261412698803</v>
      </c>
      <c r="P185">
        <f ca="1">(Data!$D$186-Data!$B$195)/(SUMPRODUCT(LARGE(Table3[OB Weighted Scale], ROW(INDIRECT(Data!$C$195)))) - Data!$B$195*LARGE(Table3[OB Weighted Scale], Data!$B$195))</f>
        <v>34.140627070423804</v>
      </c>
      <c r="Q185">
        <f ca="1">(Data!$D$186-Data!$B$195)/(SUMPRODUCT(LARGE(Table3[Z-score], ROW(INDIRECT(Data!$C$195)))) - Data!$B$195*LARGE(Table3[Z-score], Data!$B$195))</f>
        <v>7.3477619686974416</v>
      </c>
      <c r="R185">
        <f ca="1">(Data!$D$186-Data!$B$195)/(SUMPRODUCT(LARGE(Table3[OBMod Z-Score], ROW(INDIRECT(Data!$C$195)))) - Data!$B$195*LARGE(Table3[OBMod Z-Score], Data!$B$195))</f>
        <v>7.280511230275609</v>
      </c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>
        <f ca="1">(Data!$D$186-Data!$B$195)/(SUMPRODUCT(LARGE(Table35[I Tot Scale], ROW(INDIRECT(Data!$C$195)))) - Data!$B$195*LARGE(Table35[I Tot Scale], Data!$B$195))</f>
        <v>21.178724764216014</v>
      </c>
      <c r="AG185">
        <f ca="1">(Data!$D$186-Data!$B$195)/(SUMPRODUCT(LARGE(Table35[I OB Tot Scale], ROW(INDIRECT(Data!$C$195)))) - Data!$B$195*LARGE(Table35[I OB Tot Scale], Data!$B$195))</f>
        <v>15.725044928135874</v>
      </c>
      <c r="AH185">
        <f ca="1">(Data!$D$186-Data!$B$195)/(SUMPRODUCT(LARGE(Table35[I Weighted Scale], ROW(INDIRECT(Data!$C$195)))) - Data!$B$195*LARGE(Table35[I Weighted Scale], Data!$B$195))</f>
        <v>19.726879385832557</v>
      </c>
      <c r="AI185">
        <f ca="1">(Data!$D$186-Data!$B$195)/(SUMPRODUCT(LARGE(Table35[I OB Weighted Scale], ROW(INDIRECT(Data!$C$195)))) - Data!$B$195*LARGE(Table35[I OB Weighted Scale], Data!$B$195))</f>
        <v>14.645098398398385</v>
      </c>
      <c r="AJ185">
        <f ca="1">(Data!$D$186-Data!$B$195)/(SUMPRODUCT(LARGE(Table35[I Z-score], ROW(INDIRECT(Data!$C$195)))) - Data!$B$195*LARGE(Table35[I Z-score], Data!$B$195))</f>
        <v>4.5398984558921489</v>
      </c>
      <c r="AK185">
        <f ca="1">(Data!$D$186-Data!$B$195)/(SUMPRODUCT(LARGE(Table35[I OBMod Z-Score], ROW(INDIRECT(Data!$C$195)))) - Data!$B$195*LARGE(Table35[I OBMod Z-Score], Data!$B$195))</f>
        <v>4.5319303293835924</v>
      </c>
    </row>
    <row r="186" spans="1:38" x14ac:dyDescent="0.25">
      <c r="M186">
        <f ca="1">1-M$185*LARGE(Table3[Tot Scale], Data!$B$195)</f>
        <v>-66.460638371861762</v>
      </c>
      <c r="N186">
        <f ca="1">1-N$185*LARGE(Table3[OB Tot Scale], Data!$B$195)</f>
        <v>-67.515178913922142</v>
      </c>
      <c r="O186">
        <f ca="1">1-O$185*LARGE(Table3[Weighted Scale], Data!$B$195)</f>
        <v>-66.194800739835912</v>
      </c>
      <c r="P186">
        <f ca="1">1-P$185*LARGE(Table3[OB Weighted Scale], Data!$B$195)</f>
        <v>-67.891805450898104</v>
      </c>
      <c r="Q186">
        <f ca="1">1-Q$185*LARGE(Table3[Z-score], Data!$B$195)</f>
        <v>1.4062264481897868</v>
      </c>
      <c r="R186">
        <f ca="1">1-R$185*LARGE(Table3[OBMod Z-Score], Data!$B$195)</f>
        <v>1.6518951078714141</v>
      </c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>
        <f ca="1">1-AF$185*LARGE(Table35[I Tot Scale], Data!$B$195)</f>
        <v>-21.612937894671848</v>
      </c>
      <c r="AG186">
        <f ca="1">1-AG$185*LARGE(Table35[I OB Tot Scale], Data!$B$195)</f>
        <v>-9.1839876534146345</v>
      </c>
      <c r="AH186">
        <f ca="1">1-AH$185*LARGE(Table35[I Weighted Scale], Data!$B$195)</f>
        <v>-21.389817909277347</v>
      </c>
      <c r="AI186">
        <f ca="1">1-AI$185*LARGE(Table35[I OB Weighted Scale], Data!$B$195)</f>
        <v>-8.8127417199439328</v>
      </c>
      <c r="AJ186">
        <f ca="1">1-AJ$185*LARGE(Table35[I Z-score], Data!$B$195)</f>
        <v>19.999999999999961</v>
      </c>
      <c r="AK186">
        <f ca="1">1-AK$185*LARGE(Table35[I OBMod Z-Score], Data!$B$195)</f>
        <v>20.000000000000213</v>
      </c>
    </row>
    <row r="187" spans="1:38" x14ac:dyDescent="0.25"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8" x14ac:dyDescent="0.25"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8" x14ac:dyDescent="0.25"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8" x14ac:dyDescent="0.25"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8" x14ac:dyDescent="0.25"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8" x14ac:dyDescent="0.25"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0:37" x14ac:dyDescent="0.25"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0:37" x14ac:dyDescent="0.25"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0:37" x14ac:dyDescent="0.25"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0:37" x14ac:dyDescent="0.25"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0:37" x14ac:dyDescent="0.25"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0:37" x14ac:dyDescent="0.25"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0:37" x14ac:dyDescent="0.25"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0:37" x14ac:dyDescent="0.25"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0:37" x14ac:dyDescent="0.25"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0:37" x14ac:dyDescent="0.25"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0:37" x14ac:dyDescent="0.25"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0:37" x14ac:dyDescent="0.25"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0:37" x14ac:dyDescent="0.25"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0:37" x14ac:dyDescent="0.25"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0:37" x14ac:dyDescent="0.25"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0:37" x14ac:dyDescent="0.25"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0:37" x14ac:dyDescent="0.25"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0:37" x14ac:dyDescent="0.25"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0:37" x14ac:dyDescent="0.25"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0:37" x14ac:dyDescent="0.25"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0:37" x14ac:dyDescent="0.25"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0:37" x14ac:dyDescent="0.25"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0:37" x14ac:dyDescent="0.25"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0:37" x14ac:dyDescent="0.25"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0:37" x14ac:dyDescent="0.25"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0:37" x14ac:dyDescent="0.25"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0:37" x14ac:dyDescent="0.25"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0:37" x14ac:dyDescent="0.25"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0:37" x14ac:dyDescent="0.25"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0:37" x14ac:dyDescent="0.25"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0:37" x14ac:dyDescent="0.25"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0:37" x14ac:dyDescent="0.25"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0:37" x14ac:dyDescent="0.25"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zoomScale="80" zoomScaleNormal="80" workbookViewId="0">
      <selection activeCell="M198" sqref="M198"/>
    </sheetView>
  </sheetViews>
  <sheetFormatPr defaultRowHeight="15" x14ac:dyDescent="0.25"/>
  <sheetData>
    <row r="1" spans="1:6" x14ac:dyDescent="0.25">
      <c r="A1" t="s">
        <v>37</v>
      </c>
      <c r="B1" t="s">
        <v>14</v>
      </c>
      <c r="C1" t="s">
        <v>46</v>
      </c>
      <c r="D1" t="s">
        <v>30</v>
      </c>
      <c r="E1" t="s">
        <v>16</v>
      </c>
      <c r="F1" t="s">
        <v>21</v>
      </c>
    </row>
    <row r="2" spans="1:6" x14ac:dyDescent="0.25">
      <c r="A2" t="b">
        <f>ISNUMBER(SEARCH(Table6[[#Headers],[C]],Table1[[#This Row],[Actual Pos]]))</f>
        <v>0</v>
      </c>
      <c r="B2" t="b">
        <f>ISNUMBER(SEARCH(Table6[[#Headers],[1B]],Table1[[#This Row],[Actual Pos]]))</f>
        <v>1</v>
      </c>
      <c r="C2" t="b">
        <f>ISNUMBER(SEARCH(Table6[[#Headers],[2B]],Table1[[#This Row],[Actual Pos]]))</f>
        <v>0</v>
      </c>
      <c r="D2" t="b">
        <f>ISNUMBER(SEARCH(Table6[[#Headers],[SS]],Table1[[#This Row],[Actual Pos]]))</f>
        <v>0</v>
      </c>
      <c r="E2" t="b">
        <f>ISNUMBER(SEARCH(Table6[[#Headers],[3B]],Table1[[#This Row],[Actual Pos]]))</f>
        <v>0</v>
      </c>
      <c r="F2" t="b">
        <f>ISNUMBER(SEARCH(Table6[[#Headers],[OF]],Table1[[#This Row],[Actual Pos]]))</f>
        <v>0</v>
      </c>
    </row>
    <row r="3" spans="1:6" x14ac:dyDescent="0.25">
      <c r="A3" t="b">
        <f>ISNUMBER(SEARCH(Table6[[#Headers],[C]],Table1[[#This Row],[Actual Pos]]))</f>
        <v>0</v>
      </c>
      <c r="B3" t="b">
        <f>ISNUMBER(SEARCH(Table6[[#Headers],[1B]],Table1[[#This Row],[Actual Pos]]))</f>
        <v>0</v>
      </c>
      <c r="C3" t="b">
        <f>ISNUMBER(SEARCH(Table6[[#Headers],[2B]],Table1[[#This Row],[Actual Pos]]))</f>
        <v>0</v>
      </c>
      <c r="D3" t="b">
        <f>ISNUMBER(SEARCH(Table6[[#Headers],[SS]],Table1[[#This Row],[Actual Pos]]))</f>
        <v>0</v>
      </c>
      <c r="E3" t="b">
        <f>ISNUMBER(SEARCH(Table6[[#Headers],[3B]],Table1[[#This Row],[Actual Pos]]))</f>
        <v>1</v>
      </c>
      <c r="F3" t="b">
        <f>ISNUMBER(SEARCH(Table6[[#Headers],[OF]],Table1[[#This Row],[Actual Pos]]))</f>
        <v>0</v>
      </c>
    </row>
    <row r="4" spans="1:6" x14ac:dyDescent="0.25">
      <c r="A4" t="b">
        <f>ISNUMBER(SEARCH(Table6[[#Headers],[C]],Table1[[#This Row],[Actual Pos]]))</f>
        <v>0</v>
      </c>
      <c r="B4" t="b">
        <f>ISNUMBER(SEARCH(Table6[[#Headers],[1B]],Table1[[#This Row],[Actual Pos]]))</f>
        <v>0</v>
      </c>
      <c r="C4" t="b">
        <f>ISNUMBER(SEARCH(Table6[[#Headers],[2B]],Table1[[#This Row],[Actual Pos]]))</f>
        <v>0</v>
      </c>
      <c r="D4" t="b">
        <f>ISNUMBER(SEARCH(Table6[[#Headers],[SS]],Table1[[#This Row],[Actual Pos]]))</f>
        <v>0</v>
      </c>
      <c r="E4" t="b">
        <f>ISNUMBER(SEARCH(Table6[[#Headers],[3B]],Table1[[#This Row],[Actual Pos]]))</f>
        <v>1</v>
      </c>
      <c r="F4" t="b">
        <f>ISNUMBER(SEARCH(Table6[[#Headers],[OF]],Table1[[#This Row],[Actual Pos]]))</f>
        <v>0</v>
      </c>
    </row>
    <row r="5" spans="1:6" x14ac:dyDescent="0.25">
      <c r="A5" t="b">
        <f>ISNUMBER(SEARCH(Table6[[#Headers],[C]],Table1[[#This Row],[Actual Pos]]))</f>
        <v>0</v>
      </c>
      <c r="B5" t="b">
        <f>ISNUMBER(SEARCH(Table6[[#Headers],[1B]],Table1[[#This Row],[Actual Pos]]))</f>
        <v>1</v>
      </c>
      <c r="C5" t="b">
        <f>ISNUMBER(SEARCH(Table6[[#Headers],[2B]],Table1[[#This Row],[Actual Pos]]))</f>
        <v>0</v>
      </c>
      <c r="D5" t="b">
        <f>ISNUMBER(SEARCH(Table6[[#Headers],[SS]],Table1[[#This Row],[Actual Pos]]))</f>
        <v>0</v>
      </c>
      <c r="E5" t="b">
        <f>ISNUMBER(SEARCH(Table6[[#Headers],[3B]],Table1[[#This Row],[Actual Pos]]))</f>
        <v>0</v>
      </c>
      <c r="F5" t="b">
        <f>ISNUMBER(SEARCH(Table6[[#Headers],[OF]],Table1[[#This Row],[Actual Pos]]))</f>
        <v>0</v>
      </c>
    </row>
    <row r="6" spans="1:6" x14ac:dyDescent="0.25">
      <c r="A6" t="b">
        <f>ISNUMBER(SEARCH(Table6[[#Headers],[C]],Table1[[#This Row],[Actual Pos]]))</f>
        <v>0</v>
      </c>
      <c r="B6" t="b">
        <f>ISNUMBER(SEARCH(Table6[[#Headers],[1B]],Table1[[#This Row],[Actual Pos]]))</f>
        <v>0</v>
      </c>
      <c r="C6" t="b">
        <f>ISNUMBER(SEARCH(Table6[[#Headers],[2B]],Table1[[#This Row],[Actual Pos]]))</f>
        <v>0</v>
      </c>
      <c r="D6" t="b">
        <f>ISNUMBER(SEARCH(Table6[[#Headers],[SS]],Table1[[#This Row],[Actual Pos]]))</f>
        <v>0</v>
      </c>
      <c r="E6" t="b">
        <f>ISNUMBER(SEARCH(Table6[[#Headers],[3B]],Table1[[#This Row],[Actual Pos]]))</f>
        <v>0</v>
      </c>
      <c r="F6" t="b">
        <f>ISNUMBER(SEARCH(Table6[[#Headers],[OF]],Table1[[#This Row],[Actual Pos]]))</f>
        <v>1</v>
      </c>
    </row>
    <row r="7" spans="1:6" x14ac:dyDescent="0.25">
      <c r="A7" t="b">
        <f>ISNUMBER(SEARCH(Table6[[#Headers],[C]],Table1[[#This Row],[Actual Pos]]))</f>
        <v>0</v>
      </c>
      <c r="B7" t="b">
        <f>ISNUMBER(SEARCH(Table6[[#Headers],[1B]],Table1[[#This Row],[Actual Pos]]))</f>
        <v>0</v>
      </c>
      <c r="C7" t="b">
        <f>ISNUMBER(SEARCH(Table6[[#Headers],[2B]],Table1[[#This Row],[Actual Pos]]))</f>
        <v>0</v>
      </c>
      <c r="D7" t="b">
        <f>ISNUMBER(SEARCH(Table6[[#Headers],[SS]],Table1[[#This Row],[Actual Pos]]))</f>
        <v>0</v>
      </c>
      <c r="E7" t="b">
        <f>ISNUMBER(SEARCH(Table6[[#Headers],[3B]],Table1[[#This Row],[Actual Pos]]))</f>
        <v>0</v>
      </c>
      <c r="F7" t="b">
        <f>ISNUMBER(SEARCH(Table6[[#Headers],[OF]],Table1[[#This Row],[Actual Pos]]))</f>
        <v>1</v>
      </c>
    </row>
    <row r="8" spans="1:6" x14ac:dyDescent="0.25">
      <c r="A8" t="b">
        <f>ISNUMBER(SEARCH(Table6[[#Headers],[C]],Table1[[#This Row],[Actual Pos]]))</f>
        <v>0</v>
      </c>
      <c r="B8" t="b">
        <f>ISNUMBER(SEARCH(Table6[[#Headers],[1B]],Table1[[#This Row],[Actual Pos]]))</f>
        <v>1</v>
      </c>
      <c r="C8" t="b">
        <f>ISNUMBER(SEARCH(Table6[[#Headers],[2B]],Table1[[#This Row],[Actual Pos]]))</f>
        <v>0</v>
      </c>
      <c r="D8" t="b">
        <f>ISNUMBER(SEARCH(Table6[[#Headers],[SS]],Table1[[#This Row],[Actual Pos]]))</f>
        <v>0</v>
      </c>
      <c r="E8" t="b">
        <f>ISNUMBER(SEARCH(Table6[[#Headers],[3B]],Table1[[#This Row],[Actual Pos]]))</f>
        <v>0</v>
      </c>
      <c r="F8" t="b">
        <f>ISNUMBER(SEARCH(Table6[[#Headers],[OF]],Table1[[#This Row],[Actual Pos]]))</f>
        <v>0</v>
      </c>
    </row>
    <row r="9" spans="1:6" x14ac:dyDescent="0.25">
      <c r="A9" t="b">
        <f>ISNUMBER(SEARCH(Table6[[#Headers],[C]],Table1[[#This Row],[Actual Pos]]))</f>
        <v>0</v>
      </c>
      <c r="B9" t="b">
        <f>ISNUMBER(SEARCH(Table6[[#Headers],[1B]],Table1[[#This Row],[Actual Pos]]))</f>
        <v>0</v>
      </c>
      <c r="C9" t="b">
        <f>ISNUMBER(SEARCH(Table6[[#Headers],[2B]],Table1[[#This Row],[Actual Pos]]))</f>
        <v>0</v>
      </c>
      <c r="D9" t="b">
        <f>ISNUMBER(SEARCH(Table6[[#Headers],[SS]],Table1[[#This Row],[Actual Pos]]))</f>
        <v>0</v>
      </c>
      <c r="E9" t="b">
        <f>ISNUMBER(SEARCH(Table6[[#Headers],[3B]],Table1[[#This Row],[Actual Pos]]))</f>
        <v>0</v>
      </c>
      <c r="F9" t="b">
        <f>ISNUMBER(SEARCH(Table6[[#Headers],[OF]],Table1[[#This Row],[Actual Pos]]))</f>
        <v>1</v>
      </c>
    </row>
    <row r="10" spans="1:6" x14ac:dyDescent="0.25">
      <c r="A10" t="b">
        <f>ISNUMBER(SEARCH(Table6[[#Headers],[C]],Table1[[#This Row],[Actual Pos]]))</f>
        <v>0</v>
      </c>
      <c r="B10" t="b">
        <f>ISNUMBER(SEARCH(Table6[[#Headers],[1B]],Table1[[#This Row],[Actual Pos]]))</f>
        <v>0</v>
      </c>
      <c r="C10" t="b">
        <f>ISNUMBER(SEARCH(Table6[[#Headers],[2B]],Table1[[#This Row],[Actual Pos]]))</f>
        <v>0</v>
      </c>
      <c r="D10" t="b">
        <f>ISNUMBER(SEARCH(Table6[[#Headers],[SS]],Table1[[#This Row],[Actual Pos]]))</f>
        <v>0</v>
      </c>
      <c r="E10" t="b">
        <f>ISNUMBER(SEARCH(Table6[[#Headers],[3B]],Table1[[#This Row],[Actual Pos]]))</f>
        <v>0</v>
      </c>
      <c r="F10" t="b">
        <f>ISNUMBER(SEARCH(Table6[[#Headers],[OF]],Table1[[#This Row],[Actual Pos]]))</f>
        <v>1</v>
      </c>
    </row>
    <row r="11" spans="1:6" hidden="1" x14ac:dyDescent="0.25">
      <c r="A11" t="b">
        <f>ISNUMBER(SEARCH(Table6[[#Headers],[C]],Table1[[#This Row],[Actual Pos]]))</f>
        <v>0</v>
      </c>
      <c r="B11" t="b">
        <f>ISNUMBER(SEARCH(Table6[[#Headers],[1B]],Table1[[#This Row],[Actual Pos]]))</f>
        <v>0</v>
      </c>
      <c r="C11" t="b">
        <f>ISNUMBER(SEARCH(Table6[[#Headers],[2B]],Table1[[#This Row],[Actual Pos]]))</f>
        <v>0</v>
      </c>
      <c r="D11" t="b">
        <f>ISNUMBER(SEARCH(Table6[[#Headers],[SS]],Table1[[#This Row],[Actual Pos]]))</f>
        <v>0</v>
      </c>
      <c r="E11" t="b">
        <f>ISNUMBER(SEARCH(Table6[[#Headers],[3B]],Table1[[#This Row],[Actual Pos]]))</f>
        <v>0</v>
      </c>
      <c r="F11" t="b">
        <f>ISNUMBER(SEARCH(Table6[[#Headers],[OF]],Table1[[#This Row],[Actual Pos]]))</f>
        <v>1</v>
      </c>
    </row>
    <row r="12" spans="1:6" hidden="1" x14ac:dyDescent="0.25">
      <c r="A12" t="b">
        <f>ISNUMBER(SEARCH(Table6[[#Headers],[C]],Table1[[#This Row],[Actual Pos]]))</f>
        <v>0</v>
      </c>
      <c r="B12" t="b">
        <f>ISNUMBER(SEARCH(Table6[[#Headers],[1B]],Table1[[#This Row],[Actual Pos]]))</f>
        <v>0</v>
      </c>
      <c r="C12" t="b">
        <f>ISNUMBER(SEARCH(Table6[[#Headers],[2B]],Table1[[#This Row],[Actual Pos]]))</f>
        <v>0</v>
      </c>
      <c r="D12" t="b">
        <f>ISNUMBER(SEARCH(Table6[[#Headers],[SS]],Table1[[#This Row],[Actual Pos]]))</f>
        <v>0</v>
      </c>
      <c r="E12" t="b">
        <f>ISNUMBER(SEARCH(Table6[[#Headers],[3B]],Table1[[#This Row],[Actual Pos]]))</f>
        <v>0</v>
      </c>
      <c r="F12" t="b">
        <f>ISNUMBER(SEARCH(Table6[[#Headers],[OF]],Table1[[#This Row],[Actual Pos]]))</f>
        <v>1</v>
      </c>
    </row>
    <row r="13" spans="1:6" hidden="1" x14ac:dyDescent="0.25">
      <c r="A13" t="b">
        <f>ISNUMBER(SEARCH(Table6[[#Headers],[C]],Table1[[#This Row],[Actual Pos]]))</f>
        <v>1</v>
      </c>
      <c r="B13" t="b">
        <f>ISNUMBER(SEARCH(Table6[[#Headers],[1B]],Table1[[#This Row],[Actual Pos]]))</f>
        <v>0</v>
      </c>
      <c r="C13" t="b">
        <f>ISNUMBER(SEARCH(Table6[[#Headers],[2B]],Table1[[#This Row],[Actual Pos]]))</f>
        <v>0</v>
      </c>
      <c r="D13" t="b">
        <f>ISNUMBER(SEARCH(Table6[[#Headers],[SS]],Table1[[#This Row],[Actual Pos]]))</f>
        <v>0</v>
      </c>
      <c r="E13" t="b">
        <f>ISNUMBER(SEARCH(Table6[[#Headers],[3B]],Table1[[#This Row],[Actual Pos]]))</f>
        <v>0</v>
      </c>
      <c r="F13" t="b">
        <f>ISNUMBER(SEARCH(Table6[[#Headers],[OF]],Table1[[#This Row],[Actual Pos]]))</f>
        <v>0</v>
      </c>
    </row>
    <row r="14" spans="1:6" hidden="1" x14ac:dyDescent="0.25">
      <c r="A14" t="b">
        <f>ISNUMBER(SEARCH(Table6[[#Headers],[C]],Table1[[#This Row],[Actual Pos]]))</f>
        <v>0</v>
      </c>
      <c r="B14" t="b">
        <f>ISNUMBER(SEARCH(Table6[[#Headers],[1B]],Table1[[#This Row],[Actual Pos]]))</f>
        <v>0</v>
      </c>
      <c r="C14" t="b">
        <f>ISNUMBER(SEARCH(Table6[[#Headers],[2B]],Table1[[#This Row],[Actual Pos]]))</f>
        <v>0</v>
      </c>
      <c r="D14" t="b">
        <f>ISNUMBER(SEARCH(Table6[[#Headers],[SS]],Table1[[#This Row],[Actual Pos]]))</f>
        <v>0</v>
      </c>
      <c r="E14" t="b">
        <f>ISNUMBER(SEARCH(Table6[[#Headers],[3B]],Table1[[#This Row],[Actual Pos]]))</f>
        <v>0</v>
      </c>
      <c r="F14" t="b">
        <f>ISNUMBER(SEARCH(Table6[[#Headers],[OF]],Table1[[#This Row],[Actual Pos]]))</f>
        <v>1</v>
      </c>
    </row>
    <row r="15" spans="1:6" hidden="1" x14ac:dyDescent="0.25">
      <c r="A15" t="b">
        <f>ISNUMBER(SEARCH(Table6[[#Headers],[C]],Table1[[#This Row],[Actual Pos]]))</f>
        <v>0</v>
      </c>
      <c r="B15" t="b">
        <f>ISNUMBER(SEARCH(Table6[[#Headers],[1B]],Table1[[#This Row],[Actual Pos]]))</f>
        <v>0</v>
      </c>
      <c r="C15" t="b">
        <f>ISNUMBER(SEARCH(Table6[[#Headers],[2B]],Table1[[#This Row],[Actual Pos]]))</f>
        <v>0</v>
      </c>
      <c r="D15" t="b">
        <f>ISNUMBER(SEARCH(Table6[[#Headers],[SS]],Table1[[#This Row],[Actual Pos]]))</f>
        <v>1</v>
      </c>
      <c r="E15" t="b">
        <f>ISNUMBER(SEARCH(Table6[[#Headers],[3B]],Table1[[#This Row],[Actual Pos]]))</f>
        <v>0</v>
      </c>
      <c r="F15" t="b">
        <f>ISNUMBER(SEARCH(Table6[[#Headers],[OF]],Table1[[#This Row],[Actual Pos]]))</f>
        <v>0</v>
      </c>
    </row>
    <row r="16" spans="1:6" hidden="1" x14ac:dyDescent="0.25">
      <c r="A16" t="b">
        <f>ISNUMBER(SEARCH(Table6[[#Headers],[C]],Table1[[#This Row],[Actual Pos]]))</f>
        <v>0</v>
      </c>
      <c r="B16" t="b">
        <f>ISNUMBER(SEARCH(Table6[[#Headers],[1B]],Table1[[#This Row],[Actual Pos]]))</f>
        <v>1</v>
      </c>
      <c r="C16" t="b">
        <f>ISNUMBER(SEARCH(Table6[[#Headers],[2B]],Table1[[#This Row],[Actual Pos]]))</f>
        <v>0</v>
      </c>
      <c r="D16" t="b">
        <f>ISNUMBER(SEARCH(Table6[[#Headers],[SS]],Table1[[#This Row],[Actual Pos]]))</f>
        <v>0</v>
      </c>
      <c r="E16" t="b">
        <f>ISNUMBER(SEARCH(Table6[[#Headers],[3B]],Table1[[#This Row],[Actual Pos]]))</f>
        <v>0</v>
      </c>
      <c r="F16" t="b">
        <f>ISNUMBER(SEARCH(Table6[[#Headers],[OF]],Table1[[#This Row],[Actual Pos]]))</f>
        <v>0</v>
      </c>
    </row>
    <row r="17" spans="1:6" hidden="1" x14ac:dyDescent="0.25">
      <c r="A17" t="b">
        <f>ISNUMBER(SEARCH(Table6[[#Headers],[C]],Table1[[#This Row],[Actual Pos]]))</f>
        <v>0</v>
      </c>
      <c r="B17" t="b">
        <f>ISNUMBER(SEARCH(Table6[[#Headers],[1B]],Table1[[#This Row],[Actual Pos]]))</f>
        <v>1</v>
      </c>
      <c r="C17" t="b">
        <f>ISNUMBER(SEARCH(Table6[[#Headers],[2B]],Table1[[#This Row],[Actual Pos]]))</f>
        <v>0</v>
      </c>
      <c r="D17" t="b">
        <f>ISNUMBER(SEARCH(Table6[[#Headers],[SS]],Table1[[#This Row],[Actual Pos]]))</f>
        <v>0</v>
      </c>
      <c r="E17" t="b">
        <f>ISNUMBER(SEARCH(Table6[[#Headers],[3B]],Table1[[#This Row],[Actual Pos]]))</f>
        <v>0</v>
      </c>
      <c r="F17" t="b">
        <f>ISNUMBER(SEARCH(Table6[[#Headers],[OF]],Table1[[#This Row],[Actual Pos]]))</f>
        <v>0</v>
      </c>
    </row>
    <row r="18" spans="1:6" hidden="1" x14ac:dyDescent="0.25">
      <c r="A18" t="b">
        <f>ISNUMBER(SEARCH(Table6[[#Headers],[C]],Table1[[#This Row],[Actual Pos]]))</f>
        <v>0</v>
      </c>
      <c r="B18" t="b">
        <f>ISNUMBER(SEARCH(Table6[[#Headers],[1B]],Table1[[#This Row],[Actual Pos]]))</f>
        <v>0</v>
      </c>
      <c r="C18" t="b">
        <f>ISNUMBER(SEARCH(Table6[[#Headers],[2B]],Table1[[#This Row],[Actual Pos]]))</f>
        <v>0</v>
      </c>
      <c r="D18" t="b">
        <f>ISNUMBER(SEARCH(Table6[[#Headers],[SS]],Table1[[#This Row],[Actual Pos]]))</f>
        <v>0</v>
      </c>
      <c r="E18" t="b">
        <f>ISNUMBER(SEARCH(Table6[[#Headers],[3B]],Table1[[#This Row],[Actual Pos]]))</f>
        <v>0</v>
      </c>
      <c r="F18" t="b">
        <f>ISNUMBER(SEARCH(Table6[[#Headers],[OF]],Table1[[#This Row],[Actual Pos]]))</f>
        <v>1</v>
      </c>
    </row>
    <row r="19" spans="1:6" hidden="1" x14ac:dyDescent="0.25">
      <c r="A19" t="b">
        <f>ISNUMBER(SEARCH(Table6[[#Headers],[C]],Table1[[#This Row],[Actual Pos]]))</f>
        <v>0</v>
      </c>
      <c r="B19" t="b">
        <f>ISNUMBER(SEARCH(Table6[[#Headers],[1B]],Table1[[#This Row],[Actual Pos]]))</f>
        <v>0</v>
      </c>
      <c r="C19" t="b">
        <f>ISNUMBER(SEARCH(Table6[[#Headers],[2B]],Table1[[#This Row],[Actual Pos]]))</f>
        <v>0</v>
      </c>
      <c r="D19" t="b">
        <f>ISNUMBER(SEARCH(Table6[[#Headers],[SS]],Table1[[#This Row],[Actual Pos]]))</f>
        <v>0</v>
      </c>
      <c r="E19" t="b">
        <f>ISNUMBER(SEARCH(Table6[[#Headers],[3B]],Table1[[#This Row],[Actual Pos]]))</f>
        <v>0</v>
      </c>
      <c r="F19" t="b">
        <f>ISNUMBER(SEARCH(Table6[[#Headers],[OF]],Table1[[#This Row],[Actual Pos]]))</f>
        <v>1</v>
      </c>
    </row>
    <row r="20" spans="1:6" hidden="1" x14ac:dyDescent="0.25">
      <c r="A20" t="b">
        <f>ISNUMBER(SEARCH(Table6[[#Headers],[C]],Table1[[#This Row],[Actual Pos]]))</f>
        <v>0</v>
      </c>
      <c r="B20" t="b">
        <f>ISNUMBER(SEARCH(Table6[[#Headers],[1B]],Table1[[#This Row],[Actual Pos]]))</f>
        <v>0</v>
      </c>
      <c r="C20" t="b">
        <f>ISNUMBER(SEARCH(Table6[[#Headers],[2B]],Table1[[#This Row],[Actual Pos]]))</f>
        <v>0</v>
      </c>
      <c r="D20" t="b">
        <f>ISNUMBER(SEARCH(Table6[[#Headers],[SS]],Table1[[#This Row],[Actual Pos]]))</f>
        <v>0</v>
      </c>
      <c r="E20" t="b">
        <f>ISNUMBER(SEARCH(Table6[[#Headers],[3B]],Table1[[#This Row],[Actual Pos]]))</f>
        <v>0</v>
      </c>
      <c r="F20" t="b">
        <f>ISNUMBER(SEARCH(Table6[[#Headers],[OF]],Table1[[#This Row],[Actual Pos]]))</f>
        <v>1</v>
      </c>
    </row>
    <row r="21" spans="1:6" hidden="1" x14ac:dyDescent="0.25">
      <c r="A21" t="b">
        <f>ISNUMBER(SEARCH(Table6[[#Headers],[C]],Table1[[#This Row],[Actual Pos]]))</f>
        <v>0</v>
      </c>
      <c r="B21" t="b">
        <f>ISNUMBER(SEARCH(Table6[[#Headers],[1B]],Table1[[#This Row],[Actual Pos]]))</f>
        <v>0</v>
      </c>
      <c r="C21" t="b">
        <f>ISNUMBER(SEARCH(Table6[[#Headers],[2B]],Table1[[#This Row],[Actual Pos]]))</f>
        <v>1</v>
      </c>
      <c r="D21" t="b">
        <f>ISNUMBER(SEARCH(Table6[[#Headers],[SS]],Table1[[#This Row],[Actual Pos]]))</f>
        <v>0</v>
      </c>
      <c r="E21" t="b">
        <f>ISNUMBER(SEARCH(Table6[[#Headers],[3B]],Table1[[#This Row],[Actual Pos]]))</f>
        <v>0</v>
      </c>
      <c r="F21" t="b">
        <f>ISNUMBER(SEARCH(Table6[[#Headers],[OF]],Table1[[#This Row],[Actual Pos]]))</f>
        <v>0</v>
      </c>
    </row>
    <row r="22" spans="1:6" hidden="1" x14ac:dyDescent="0.25">
      <c r="A22" t="b">
        <f>ISNUMBER(SEARCH(Table6[[#Headers],[C]],Table1[[#This Row],[Actual Pos]]))</f>
        <v>0</v>
      </c>
      <c r="B22" t="b">
        <f>ISNUMBER(SEARCH(Table6[[#Headers],[1B]],Table1[[#This Row],[Actual Pos]]))</f>
        <v>0</v>
      </c>
      <c r="C22" t="b">
        <f>ISNUMBER(SEARCH(Table6[[#Headers],[2B]],Table1[[#This Row],[Actual Pos]]))</f>
        <v>0</v>
      </c>
      <c r="D22" t="b">
        <f>ISNUMBER(SEARCH(Table6[[#Headers],[SS]],Table1[[#This Row],[Actual Pos]]))</f>
        <v>1</v>
      </c>
      <c r="E22" t="b">
        <f>ISNUMBER(SEARCH(Table6[[#Headers],[3B]],Table1[[#This Row],[Actual Pos]]))</f>
        <v>0</v>
      </c>
      <c r="F22" t="b">
        <f>ISNUMBER(SEARCH(Table6[[#Headers],[OF]],Table1[[#This Row],[Actual Pos]]))</f>
        <v>0</v>
      </c>
    </row>
    <row r="23" spans="1:6" hidden="1" x14ac:dyDescent="0.25">
      <c r="A23" t="b">
        <f>ISNUMBER(SEARCH(Table6[[#Headers],[C]],Table1[[#This Row],[Actual Pos]]))</f>
        <v>0</v>
      </c>
      <c r="B23" t="b">
        <f>ISNUMBER(SEARCH(Table6[[#Headers],[1B]],Table1[[#This Row],[Actual Pos]]))</f>
        <v>0</v>
      </c>
      <c r="C23" t="b">
        <f>ISNUMBER(SEARCH(Table6[[#Headers],[2B]],Table1[[#This Row],[Actual Pos]]))</f>
        <v>0</v>
      </c>
      <c r="D23" t="b">
        <f>ISNUMBER(SEARCH(Table6[[#Headers],[SS]],Table1[[#This Row],[Actual Pos]]))</f>
        <v>1</v>
      </c>
      <c r="E23" t="b">
        <f>ISNUMBER(SEARCH(Table6[[#Headers],[3B]],Table1[[#This Row],[Actual Pos]]))</f>
        <v>0</v>
      </c>
      <c r="F23" t="b">
        <f>ISNUMBER(SEARCH(Table6[[#Headers],[OF]],Table1[[#This Row],[Actual Pos]]))</f>
        <v>0</v>
      </c>
    </row>
    <row r="24" spans="1:6" hidden="1" x14ac:dyDescent="0.25">
      <c r="A24" t="b">
        <f>ISNUMBER(SEARCH(Table6[[#Headers],[C]],Table1[[#This Row],[Actual Pos]]))</f>
        <v>0</v>
      </c>
      <c r="B24" t="b">
        <f>ISNUMBER(SEARCH(Table6[[#Headers],[1B]],Table1[[#This Row],[Actual Pos]]))</f>
        <v>0</v>
      </c>
      <c r="C24" t="b">
        <f>ISNUMBER(SEARCH(Table6[[#Headers],[2B]],Table1[[#This Row],[Actual Pos]]))</f>
        <v>0</v>
      </c>
      <c r="D24" t="b">
        <f>ISNUMBER(SEARCH(Table6[[#Headers],[SS]],Table1[[#This Row],[Actual Pos]]))</f>
        <v>0</v>
      </c>
      <c r="E24" t="b">
        <f>ISNUMBER(SEARCH(Table6[[#Headers],[3B]],Table1[[#This Row],[Actual Pos]]))</f>
        <v>0</v>
      </c>
      <c r="F24" t="b">
        <f>ISNUMBER(SEARCH(Table6[[#Headers],[OF]],Table1[[#This Row],[Actual Pos]]))</f>
        <v>1</v>
      </c>
    </row>
    <row r="25" spans="1:6" hidden="1" x14ac:dyDescent="0.25">
      <c r="A25" t="b">
        <f>ISNUMBER(SEARCH(Table6[[#Headers],[C]],Table1[[#This Row],[Actual Pos]]))</f>
        <v>0</v>
      </c>
      <c r="B25" t="b">
        <f>ISNUMBER(SEARCH(Table6[[#Headers],[1B]],Table1[[#This Row],[Actual Pos]]))</f>
        <v>0</v>
      </c>
      <c r="C25" t="b">
        <f>ISNUMBER(SEARCH(Table6[[#Headers],[2B]],Table1[[#This Row],[Actual Pos]]))</f>
        <v>0</v>
      </c>
      <c r="D25" t="b">
        <f>ISNUMBER(SEARCH(Table6[[#Headers],[SS]],Table1[[#This Row],[Actual Pos]]))</f>
        <v>0</v>
      </c>
      <c r="E25" t="b">
        <f>ISNUMBER(SEARCH(Table6[[#Headers],[3B]],Table1[[#This Row],[Actual Pos]]))</f>
        <v>1</v>
      </c>
      <c r="F25" t="b">
        <f>ISNUMBER(SEARCH(Table6[[#Headers],[OF]],Table1[[#This Row],[Actual Pos]]))</f>
        <v>0</v>
      </c>
    </row>
    <row r="26" spans="1:6" hidden="1" x14ac:dyDescent="0.25">
      <c r="A26" t="b">
        <f>ISNUMBER(SEARCH(Table6[[#Headers],[C]],Table1[[#This Row],[Actual Pos]]))</f>
        <v>0</v>
      </c>
      <c r="B26" t="b">
        <f>ISNUMBER(SEARCH(Table6[[#Headers],[1B]],Table1[[#This Row],[Actual Pos]]))</f>
        <v>1</v>
      </c>
      <c r="C26" t="b">
        <f>ISNUMBER(SEARCH(Table6[[#Headers],[2B]],Table1[[#This Row],[Actual Pos]]))</f>
        <v>0</v>
      </c>
      <c r="D26" t="b">
        <f>ISNUMBER(SEARCH(Table6[[#Headers],[SS]],Table1[[#This Row],[Actual Pos]]))</f>
        <v>0</v>
      </c>
      <c r="E26" t="b">
        <f>ISNUMBER(SEARCH(Table6[[#Headers],[3B]],Table1[[#This Row],[Actual Pos]]))</f>
        <v>0</v>
      </c>
      <c r="F26" t="b">
        <f>ISNUMBER(SEARCH(Table6[[#Headers],[OF]],Table1[[#This Row],[Actual Pos]]))</f>
        <v>0</v>
      </c>
    </row>
    <row r="27" spans="1:6" hidden="1" x14ac:dyDescent="0.25">
      <c r="A27" t="b">
        <f>ISNUMBER(SEARCH(Table6[[#Headers],[C]],Table1[[#This Row],[Actual Pos]]))</f>
        <v>0</v>
      </c>
      <c r="B27" t="b">
        <f>ISNUMBER(SEARCH(Table6[[#Headers],[1B]],Table1[[#This Row],[Actual Pos]]))</f>
        <v>0</v>
      </c>
      <c r="C27" t="b">
        <f>ISNUMBER(SEARCH(Table6[[#Headers],[2B]],Table1[[#This Row],[Actual Pos]]))</f>
        <v>1</v>
      </c>
      <c r="D27" t="b">
        <f>ISNUMBER(SEARCH(Table6[[#Headers],[SS]],Table1[[#This Row],[Actual Pos]]))</f>
        <v>0</v>
      </c>
      <c r="E27" t="b">
        <f>ISNUMBER(SEARCH(Table6[[#Headers],[3B]],Table1[[#This Row],[Actual Pos]]))</f>
        <v>0</v>
      </c>
      <c r="F27" t="b">
        <f>ISNUMBER(SEARCH(Table6[[#Headers],[OF]],Table1[[#This Row],[Actual Pos]]))</f>
        <v>0</v>
      </c>
    </row>
    <row r="28" spans="1:6" hidden="1" x14ac:dyDescent="0.25">
      <c r="A28" t="b">
        <f>ISNUMBER(SEARCH(Table6[[#Headers],[C]],Table1[[#This Row],[Actual Pos]]))</f>
        <v>0</v>
      </c>
      <c r="B28" t="b">
        <f>ISNUMBER(SEARCH(Table6[[#Headers],[1B]],Table1[[#This Row],[Actual Pos]]))</f>
        <v>0</v>
      </c>
      <c r="C28" t="b">
        <f>ISNUMBER(SEARCH(Table6[[#Headers],[2B]],Table1[[#This Row],[Actual Pos]]))</f>
        <v>0</v>
      </c>
      <c r="D28" t="b">
        <f>ISNUMBER(SEARCH(Table6[[#Headers],[SS]],Table1[[#This Row],[Actual Pos]]))</f>
        <v>0</v>
      </c>
      <c r="E28" t="b">
        <f>ISNUMBER(SEARCH(Table6[[#Headers],[3B]],Table1[[#This Row],[Actual Pos]]))</f>
        <v>0</v>
      </c>
      <c r="F28" t="b">
        <f>ISNUMBER(SEARCH(Table6[[#Headers],[OF]],Table1[[#This Row],[Actual Pos]]))</f>
        <v>1</v>
      </c>
    </row>
    <row r="29" spans="1:6" hidden="1" x14ac:dyDescent="0.25">
      <c r="A29" t="b">
        <f>ISNUMBER(SEARCH(Table6[[#Headers],[C]],Table1[[#This Row],[Actual Pos]]))</f>
        <v>0</v>
      </c>
      <c r="B29" t="b">
        <f>ISNUMBER(SEARCH(Table6[[#Headers],[1B]],Table1[[#This Row],[Actual Pos]]))</f>
        <v>0</v>
      </c>
      <c r="C29" t="b">
        <f>ISNUMBER(SEARCH(Table6[[#Headers],[2B]],Table1[[#This Row],[Actual Pos]]))</f>
        <v>1</v>
      </c>
      <c r="D29" t="b">
        <f>ISNUMBER(SEARCH(Table6[[#Headers],[SS]],Table1[[#This Row],[Actual Pos]]))</f>
        <v>0</v>
      </c>
      <c r="E29" t="b">
        <f>ISNUMBER(SEARCH(Table6[[#Headers],[3B]],Table1[[#This Row],[Actual Pos]]))</f>
        <v>0</v>
      </c>
      <c r="F29" t="b">
        <f>ISNUMBER(SEARCH(Table6[[#Headers],[OF]],Table1[[#This Row],[Actual Pos]]))</f>
        <v>0</v>
      </c>
    </row>
    <row r="30" spans="1:6" hidden="1" x14ac:dyDescent="0.25">
      <c r="A30" t="b">
        <f>ISNUMBER(SEARCH(Table6[[#Headers],[C]],Table1[[#This Row],[Actual Pos]]))</f>
        <v>0</v>
      </c>
      <c r="B30" t="b">
        <f>ISNUMBER(SEARCH(Table6[[#Headers],[1B]],Table1[[#This Row],[Actual Pos]]))</f>
        <v>0</v>
      </c>
      <c r="C30" t="b">
        <f>ISNUMBER(SEARCH(Table6[[#Headers],[2B]],Table1[[#This Row],[Actual Pos]]))</f>
        <v>1</v>
      </c>
      <c r="D30" t="b">
        <f>ISNUMBER(SEARCH(Table6[[#Headers],[SS]],Table1[[#This Row],[Actual Pos]]))</f>
        <v>0</v>
      </c>
      <c r="E30" t="b">
        <f>ISNUMBER(SEARCH(Table6[[#Headers],[3B]],Table1[[#This Row],[Actual Pos]]))</f>
        <v>0</v>
      </c>
      <c r="F30" t="b">
        <f>ISNUMBER(SEARCH(Table6[[#Headers],[OF]],Table1[[#This Row],[Actual Pos]]))</f>
        <v>0</v>
      </c>
    </row>
    <row r="31" spans="1:6" hidden="1" x14ac:dyDescent="0.25">
      <c r="A31" t="b">
        <f>ISNUMBER(SEARCH(Table6[[#Headers],[C]],Table1[[#This Row],[Actual Pos]]))</f>
        <v>0</v>
      </c>
      <c r="B31" t="b">
        <f>ISNUMBER(SEARCH(Table6[[#Headers],[1B]],Table1[[#This Row],[Actual Pos]]))</f>
        <v>0</v>
      </c>
      <c r="C31" t="b">
        <f>ISNUMBER(SEARCH(Table6[[#Headers],[2B]],Table1[[#This Row],[Actual Pos]]))</f>
        <v>0</v>
      </c>
      <c r="D31" t="b">
        <f>ISNUMBER(SEARCH(Table6[[#Headers],[SS]],Table1[[#This Row],[Actual Pos]]))</f>
        <v>0</v>
      </c>
      <c r="E31" t="b">
        <f>ISNUMBER(SEARCH(Table6[[#Headers],[3B]],Table1[[#This Row],[Actual Pos]]))</f>
        <v>0</v>
      </c>
      <c r="F31" t="b">
        <f>ISNUMBER(SEARCH(Table6[[#Headers],[OF]],Table1[[#This Row],[Actual Pos]]))</f>
        <v>1</v>
      </c>
    </row>
    <row r="32" spans="1:6" hidden="1" x14ac:dyDescent="0.25">
      <c r="A32" t="b">
        <f>ISNUMBER(SEARCH(Table6[[#Headers],[C]],Table1[[#This Row],[Actual Pos]]))</f>
        <v>0</v>
      </c>
      <c r="B32" t="b">
        <f>ISNUMBER(SEARCH(Table6[[#Headers],[1B]],Table1[[#This Row],[Actual Pos]]))</f>
        <v>0</v>
      </c>
      <c r="C32" t="b">
        <f>ISNUMBER(SEARCH(Table6[[#Headers],[2B]],Table1[[#This Row],[Actual Pos]]))</f>
        <v>0</v>
      </c>
      <c r="D32" t="b">
        <f>ISNUMBER(SEARCH(Table6[[#Headers],[SS]],Table1[[#This Row],[Actual Pos]]))</f>
        <v>0</v>
      </c>
      <c r="E32" t="b">
        <f>ISNUMBER(SEARCH(Table6[[#Headers],[3B]],Table1[[#This Row],[Actual Pos]]))</f>
        <v>0</v>
      </c>
      <c r="F32" t="b">
        <f>ISNUMBER(SEARCH(Table6[[#Headers],[OF]],Table1[[#This Row],[Actual Pos]]))</f>
        <v>1</v>
      </c>
    </row>
    <row r="33" spans="1:6" hidden="1" x14ac:dyDescent="0.25">
      <c r="A33" t="b">
        <f>ISNUMBER(SEARCH(Table6[[#Headers],[C]],Table1[[#This Row],[Actual Pos]]))</f>
        <v>0</v>
      </c>
      <c r="B33" t="b">
        <f>ISNUMBER(SEARCH(Table6[[#Headers],[1B]],Table1[[#This Row],[Actual Pos]]))</f>
        <v>1</v>
      </c>
      <c r="C33" t="b">
        <f>ISNUMBER(SEARCH(Table6[[#Headers],[2B]],Table1[[#This Row],[Actual Pos]]))</f>
        <v>0</v>
      </c>
      <c r="D33" t="b">
        <f>ISNUMBER(SEARCH(Table6[[#Headers],[SS]],Table1[[#This Row],[Actual Pos]]))</f>
        <v>0</v>
      </c>
      <c r="E33" t="b">
        <f>ISNUMBER(SEARCH(Table6[[#Headers],[3B]],Table1[[#This Row],[Actual Pos]]))</f>
        <v>0</v>
      </c>
      <c r="F33" t="b">
        <f>ISNUMBER(SEARCH(Table6[[#Headers],[OF]],Table1[[#This Row],[Actual Pos]]))</f>
        <v>0</v>
      </c>
    </row>
    <row r="34" spans="1:6" hidden="1" x14ac:dyDescent="0.25">
      <c r="A34" t="b">
        <f>ISNUMBER(SEARCH(Table6[[#Headers],[C]],Table1[[#This Row],[Actual Pos]]))</f>
        <v>0</v>
      </c>
      <c r="B34" t="b">
        <f>ISNUMBER(SEARCH(Table6[[#Headers],[1B]],Table1[[#This Row],[Actual Pos]]))</f>
        <v>1</v>
      </c>
      <c r="C34" t="b">
        <f>ISNUMBER(SEARCH(Table6[[#Headers],[2B]],Table1[[#This Row],[Actual Pos]]))</f>
        <v>0</v>
      </c>
      <c r="D34" t="b">
        <f>ISNUMBER(SEARCH(Table6[[#Headers],[SS]],Table1[[#This Row],[Actual Pos]]))</f>
        <v>0</v>
      </c>
      <c r="E34" t="b">
        <f>ISNUMBER(SEARCH(Table6[[#Headers],[3B]],Table1[[#This Row],[Actual Pos]]))</f>
        <v>0</v>
      </c>
      <c r="F34" t="b">
        <f>ISNUMBER(SEARCH(Table6[[#Headers],[OF]],Table1[[#This Row],[Actual Pos]]))</f>
        <v>0</v>
      </c>
    </row>
    <row r="35" spans="1:6" hidden="1" x14ac:dyDescent="0.25">
      <c r="A35" t="b">
        <f>ISNUMBER(SEARCH(Table6[[#Headers],[C]],Table1[[#This Row],[Actual Pos]]))</f>
        <v>0</v>
      </c>
      <c r="B35" t="b">
        <f>ISNUMBER(SEARCH(Table6[[#Headers],[1B]],Table1[[#This Row],[Actual Pos]]))</f>
        <v>0</v>
      </c>
      <c r="C35" t="b">
        <f>ISNUMBER(SEARCH(Table6[[#Headers],[2B]],Table1[[#This Row],[Actual Pos]]))</f>
        <v>0</v>
      </c>
      <c r="D35" t="b">
        <f>ISNUMBER(SEARCH(Table6[[#Headers],[SS]],Table1[[#This Row],[Actual Pos]]))</f>
        <v>0</v>
      </c>
      <c r="E35" t="b">
        <f>ISNUMBER(SEARCH(Table6[[#Headers],[3B]],Table1[[#This Row],[Actual Pos]]))</f>
        <v>1</v>
      </c>
      <c r="F35" t="b">
        <f>ISNUMBER(SEARCH(Table6[[#Headers],[OF]],Table1[[#This Row],[Actual Pos]]))</f>
        <v>0</v>
      </c>
    </row>
    <row r="36" spans="1:6" hidden="1" x14ac:dyDescent="0.25">
      <c r="A36" t="b">
        <f>ISNUMBER(SEARCH(Table6[[#Headers],[C]],Table1[[#This Row],[Actual Pos]]))</f>
        <v>0</v>
      </c>
      <c r="B36" t="b">
        <f>ISNUMBER(SEARCH(Table6[[#Headers],[1B]],Table1[[#This Row],[Actual Pos]]))</f>
        <v>0</v>
      </c>
      <c r="C36" t="b">
        <f>ISNUMBER(SEARCH(Table6[[#Headers],[2B]],Table1[[#This Row],[Actual Pos]]))</f>
        <v>1</v>
      </c>
      <c r="D36" t="b">
        <f>ISNUMBER(SEARCH(Table6[[#Headers],[SS]],Table1[[#This Row],[Actual Pos]]))</f>
        <v>0</v>
      </c>
      <c r="E36" t="b">
        <f>ISNUMBER(SEARCH(Table6[[#Headers],[3B]],Table1[[#This Row],[Actual Pos]]))</f>
        <v>0</v>
      </c>
      <c r="F36" t="b">
        <f>ISNUMBER(SEARCH(Table6[[#Headers],[OF]],Table1[[#This Row],[Actual Pos]]))</f>
        <v>0</v>
      </c>
    </row>
    <row r="37" spans="1:6" hidden="1" x14ac:dyDescent="0.25">
      <c r="A37" t="b">
        <f>ISNUMBER(SEARCH(Table6[[#Headers],[C]],Table1[[#This Row],[Actual Pos]]))</f>
        <v>0</v>
      </c>
      <c r="B37" t="b">
        <f>ISNUMBER(SEARCH(Table6[[#Headers],[1B]],Table1[[#This Row],[Actual Pos]]))</f>
        <v>0</v>
      </c>
      <c r="C37" t="b">
        <f>ISNUMBER(SEARCH(Table6[[#Headers],[2B]],Table1[[#This Row],[Actual Pos]]))</f>
        <v>0</v>
      </c>
      <c r="D37" t="b">
        <f>ISNUMBER(SEARCH(Table6[[#Headers],[SS]],Table1[[#This Row],[Actual Pos]]))</f>
        <v>1</v>
      </c>
      <c r="E37" t="b">
        <f>ISNUMBER(SEARCH(Table6[[#Headers],[3B]],Table1[[#This Row],[Actual Pos]]))</f>
        <v>0</v>
      </c>
      <c r="F37" t="b">
        <f>ISNUMBER(SEARCH(Table6[[#Headers],[OF]],Table1[[#This Row],[Actual Pos]]))</f>
        <v>0</v>
      </c>
    </row>
    <row r="38" spans="1:6" hidden="1" x14ac:dyDescent="0.25">
      <c r="A38" t="b">
        <f>ISNUMBER(SEARCH(Table6[[#Headers],[C]],Table1[[#This Row],[Actual Pos]]))</f>
        <v>0</v>
      </c>
      <c r="B38" t="b">
        <f>ISNUMBER(SEARCH(Table6[[#Headers],[1B]],Table1[[#This Row],[Actual Pos]]))</f>
        <v>1</v>
      </c>
      <c r="C38" t="b">
        <f>ISNUMBER(SEARCH(Table6[[#Headers],[2B]],Table1[[#This Row],[Actual Pos]]))</f>
        <v>0</v>
      </c>
      <c r="D38" t="b">
        <f>ISNUMBER(SEARCH(Table6[[#Headers],[SS]],Table1[[#This Row],[Actual Pos]]))</f>
        <v>0</v>
      </c>
      <c r="E38" t="b">
        <f>ISNUMBER(SEARCH(Table6[[#Headers],[3B]],Table1[[#This Row],[Actual Pos]]))</f>
        <v>0</v>
      </c>
      <c r="F38" t="b">
        <f>ISNUMBER(SEARCH(Table6[[#Headers],[OF]],Table1[[#This Row],[Actual Pos]]))</f>
        <v>0</v>
      </c>
    </row>
    <row r="39" spans="1:6" hidden="1" x14ac:dyDescent="0.25">
      <c r="A39" t="b">
        <f>ISNUMBER(SEARCH(Table6[[#Headers],[C]],Table1[[#This Row],[Actual Pos]]))</f>
        <v>0</v>
      </c>
      <c r="B39" t="b">
        <f>ISNUMBER(SEARCH(Table6[[#Headers],[1B]],Table1[[#This Row],[Actual Pos]]))</f>
        <v>0</v>
      </c>
      <c r="C39" t="b">
        <f>ISNUMBER(SEARCH(Table6[[#Headers],[2B]],Table1[[#This Row],[Actual Pos]]))</f>
        <v>0</v>
      </c>
      <c r="D39" t="b">
        <f>ISNUMBER(SEARCH(Table6[[#Headers],[SS]],Table1[[#This Row],[Actual Pos]]))</f>
        <v>0</v>
      </c>
      <c r="E39" t="b">
        <f>ISNUMBER(SEARCH(Table6[[#Headers],[3B]],Table1[[#This Row],[Actual Pos]]))</f>
        <v>0</v>
      </c>
      <c r="F39" t="b">
        <f>ISNUMBER(SEARCH(Table6[[#Headers],[OF]],Table1[[#This Row],[Actual Pos]]))</f>
        <v>1</v>
      </c>
    </row>
    <row r="40" spans="1:6" hidden="1" x14ac:dyDescent="0.25">
      <c r="A40" t="b">
        <f>ISNUMBER(SEARCH(Table6[[#Headers],[C]],Table1[[#This Row],[Actual Pos]]))</f>
        <v>0</v>
      </c>
      <c r="B40" t="b">
        <f>ISNUMBER(SEARCH(Table6[[#Headers],[1B]],Table1[[#This Row],[Actual Pos]]))</f>
        <v>1</v>
      </c>
      <c r="C40" t="b">
        <f>ISNUMBER(SEARCH(Table6[[#Headers],[2B]],Table1[[#This Row],[Actual Pos]]))</f>
        <v>0</v>
      </c>
      <c r="D40" t="b">
        <f>ISNUMBER(SEARCH(Table6[[#Headers],[SS]],Table1[[#This Row],[Actual Pos]]))</f>
        <v>0</v>
      </c>
      <c r="E40" t="b">
        <f>ISNUMBER(SEARCH(Table6[[#Headers],[3B]],Table1[[#This Row],[Actual Pos]]))</f>
        <v>0</v>
      </c>
      <c r="F40" t="b">
        <f>ISNUMBER(SEARCH(Table6[[#Headers],[OF]],Table1[[#This Row],[Actual Pos]]))</f>
        <v>0</v>
      </c>
    </row>
    <row r="41" spans="1:6" hidden="1" x14ac:dyDescent="0.25">
      <c r="A41" t="b">
        <f>ISNUMBER(SEARCH(Table6[[#Headers],[C]],Table1[[#This Row],[Actual Pos]]))</f>
        <v>0</v>
      </c>
      <c r="B41" t="b">
        <f>ISNUMBER(SEARCH(Table6[[#Headers],[1B]],Table1[[#This Row],[Actual Pos]]))</f>
        <v>1</v>
      </c>
      <c r="C41" t="b">
        <f>ISNUMBER(SEARCH(Table6[[#Headers],[2B]],Table1[[#This Row],[Actual Pos]]))</f>
        <v>0</v>
      </c>
      <c r="D41" t="b">
        <f>ISNUMBER(SEARCH(Table6[[#Headers],[SS]],Table1[[#This Row],[Actual Pos]]))</f>
        <v>0</v>
      </c>
      <c r="E41" t="b">
        <f>ISNUMBER(SEARCH(Table6[[#Headers],[3B]],Table1[[#This Row],[Actual Pos]]))</f>
        <v>0</v>
      </c>
      <c r="F41" t="b">
        <f>ISNUMBER(SEARCH(Table6[[#Headers],[OF]],Table1[[#This Row],[Actual Pos]]))</f>
        <v>0</v>
      </c>
    </row>
    <row r="42" spans="1:6" hidden="1" x14ac:dyDescent="0.25">
      <c r="A42" t="b">
        <f>ISNUMBER(SEARCH(Table6[[#Headers],[C]],Table1[[#This Row],[Actual Pos]]))</f>
        <v>0</v>
      </c>
      <c r="B42" t="b">
        <f>ISNUMBER(SEARCH(Table6[[#Headers],[1B]],Table1[[#This Row],[Actual Pos]]))</f>
        <v>0</v>
      </c>
      <c r="C42" t="b">
        <f>ISNUMBER(SEARCH(Table6[[#Headers],[2B]],Table1[[#This Row],[Actual Pos]]))</f>
        <v>0</v>
      </c>
      <c r="D42" t="b">
        <f>ISNUMBER(SEARCH(Table6[[#Headers],[SS]],Table1[[#This Row],[Actual Pos]]))</f>
        <v>0</v>
      </c>
      <c r="E42" t="b">
        <f>ISNUMBER(SEARCH(Table6[[#Headers],[3B]],Table1[[#This Row],[Actual Pos]]))</f>
        <v>1</v>
      </c>
      <c r="F42" t="b">
        <f>ISNUMBER(SEARCH(Table6[[#Headers],[OF]],Table1[[#This Row],[Actual Pos]]))</f>
        <v>0</v>
      </c>
    </row>
    <row r="43" spans="1:6" hidden="1" x14ac:dyDescent="0.25">
      <c r="A43" t="b">
        <f>ISNUMBER(SEARCH(Table6[[#Headers],[C]],Table1[[#This Row],[Actual Pos]]))</f>
        <v>0</v>
      </c>
      <c r="B43" t="b">
        <f>ISNUMBER(SEARCH(Table6[[#Headers],[1B]],Table1[[#This Row],[Actual Pos]]))</f>
        <v>0</v>
      </c>
      <c r="C43" t="b">
        <f>ISNUMBER(SEARCH(Table6[[#Headers],[2B]],Table1[[#This Row],[Actual Pos]]))</f>
        <v>0</v>
      </c>
      <c r="D43" t="b">
        <f>ISNUMBER(SEARCH(Table6[[#Headers],[SS]],Table1[[#This Row],[Actual Pos]]))</f>
        <v>0</v>
      </c>
      <c r="E43" t="b">
        <f>ISNUMBER(SEARCH(Table6[[#Headers],[3B]],Table1[[#This Row],[Actual Pos]]))</f>
        <v>0</v>
      </c>
      <c r="F43" t="b">
        <f>ISNUMBER(SEARCH(Table6[[#Headers],[OF]],Table1[[#This Row],[Actual Pos]]))</f>
        <v>1</v>
      </c>
    </row>
    <row r="44" spans="1:6" hidden="1" x14ac:dyDescent="0.25">
      <c r="A44" t="b">
        <f>ISNUMBER(SEARCH(Table6[[#Headers],[C]],Table1[[#This Row],[Actual Pos]]))</f>
        <v>0</v>
      </c>
      <c r="B44" t="b">
        <f>ISNUMBER(SEARCH(Table6[[#Headers],[1B]],Table1[[#This Row],[Actual Pos]]))</f>
        <v>0</v>
      </c>
      <c r="C44" t="b">
        <f>ISNUMBER(SEARCH(Table6[[#Headers],[2B]],Table1[[#This Row],[Actual Pos]]))</f>
        <v>0</v>
      </c>
      <c r="D44" t="b">
        <f>ISNUMBER(SEARCH(Table6[[#Headers],[SS]],Table1[[#This Row],[Actual Pos]]))</f>
        <v>1</v>
      </c>
      <c r="E44" t="b">
        <f>ISNUMBER(SEARCH(Table6[[#Headers],[3B]],Table1[[#This Row],[Actual Pos]]))</f>
        <v>0</v>
      </c>
      <c r="F44" t="b">
        <f>ISNUMBER(SEARCH(Table6[[#Headers],[OF]],Table1[[#This Row],[Actual Pos]]))</f>
        <v>0</v>
      </c>
    </row>
    <row r="45" spans="1:6" hidden="1" x14ac:dyDescent="0.25">
      <c r="A45" t="b">
        <f>ISNUMBER(SEARCH(Table6[[#Headers],[C]],Table1[[#This Row],[Actual Pos]]))</f>
        <v>0</v>
      </c>
      <c r="B45" t="b">
        <f>ISNUMBER(SEARCH(Table6[[#Headers],[1B]],Table1[[#This Row],[Actual Pos]]))</f>
        <v>0</v>
      </c>
      <c r="C45" t="b">
        <f>ISNUMBER(SEARCH(Table6[[#Headers],[2B]],Table1[[#This Row],[Actual Pos]]))</f>
        <v>0</v>
      </c>
      <c r="D45" t="b">
        <f>ISNUMBER(SEARCH(Table6[[#Headers],[SS]],Table1[[#This Row],[Actual Pos]]))</f>
        <v>0</v>
      </c>
      <c r="E45" t="b">
        <f>ISNUMBER(SEARCH(Table6[[#Headers],[3B]],Table1[[#This Row],[Actual Pos]]))</f>
        <v>0</v>
      </c>
      <c r="F45" t="b">
        <f>ISNUMBER(SEARCH(Table6[[#Headers],[OF]],Table1[[#This Row],[Actual Pos]]))</f>
        <v>1</v>
      </c>
    </row>
    <row r="46" spans="1:6" hidden="1" x14ac:dyDescent="0.25">
      <c r="A46" t="b">
        <f>ISNUMBER(SEARCH(Table6[[#Headers],[C]],Table1[[#This Row],[Actual Pos]]))</f>
        <v>0</v>
      </c>
      <c r="B46" t="b">
        <f>ISNUMBER(SEARCH(Table6[[#Headers],[1B]],Table1[[#This Row],[Actual Pos]]))</f>
        <v>0</v>
      </c>
      <c r="C46" t="b">
        <f>ISNUMBER(SEARCH(Table6[[#Headers],[2B]],Table1[[#This Row],[Actual Pos]]))</f>
        <v>1</v>
      </c>
      <c r="D46" t="b">
        <f>ISNUMBER(SEARCH(Table6[[#Headers],[SS]],Table1[[#This Row],[Actual Pos]]))</f>
        <v>0</v>
      </c>
      <c r="E46" t="b">
        <f>ISNUMBER(SEARCH(Table6[[#Headers],[3B]],Table1[[#This Row],[Actual Pos]]))</f>
        <v>0</v>
      </c>
      <c r="F46" t="b">
        <f>ISNUMBER(SEARCH(Table6[[#Headers],[OF]],Table1[[#This Row],[Actual Pos]]))</f>
        <v>0</v>
      </c>
    </row>
    <row r="47" spans="1:6" hidden="1" x14ac:dyDescent="0.25">
      <c r="A47" t="b">
        <f>ISNUMBER(SEARCH(Table6[[#Headers],[C]],Table1[[#This Row],[Actual Pos]]))</f>
        <v>0</v>
      </c>
      <c r="B47" t="b">
        <f>ISNUMBER(SEARCH(Table6[[#Headers],[1B]],Table1[[#This Row],[Actual Pos]]))</f>
        <v>0</v>
      </c>
      <c r="C47" t="b">
        <f>ISNUMBER(SEARCH(Table6[[#Headers],[2B]],Table1[[#This Row],[Actual Pos]]))</f>
        <v>0</v>
      </c>
      <c r="D47" t="b">
        <f>ISNUMBER(SEARCH(Table6[[#Headers],[SS]],Table1[[#This Row],[Actual Pos]]))</f>
        <v>0</v>
      </c>
      <c r="E47" t="b">
        <f>ISNUMBER(SEARCH(Table6[[#Headers],[3B]],Table1[[#This Row],[Actual Pos]]))</f>
        <v>0</v>
      </c>
      <c r="F47" t="b">
        <f>ISNUMBER(SEARCH(Table6[[#Headers],[OF]],Table1[[#This Row],[Actual Pos]]))</f>
        <v>1</v>
      </c>
    </row>
    <row r="48" spans="1:6" hidden="1" x14ac:dyDescent="0.25">
      <c r="A48" t="b">
        <f>ISNUMBER(SEARCH(Table6[[#Headers],[C]],Table1[[#This Row],[Actual Pos]]))</f>
        <v>0</v>
      </c>
      <c r="B48" t="b">
        <f>ISNUMBER(SEARCH(Table6[[#Headers],[1B]],Table1[[#This Row],[Actual Pos]]))</f>
        <v>0</v>
      </c>
      <c r="C48" t="b">
        <f>ISNUMBER(SEARCH(Table6[[#Headers],[2B]],Table1[[#This Row],[Actual Pos]]))</f>
        <v>0</v>
      </c>
      <c r="D48" t="b">
        <f>ISNUMBER(SEARCH(Table6[[#Headers],[SS]],Table1[[#This Row],[Actual Pos]]))</f>
        <v>0</v>
      </c>
      <c r="E48" t="b">
        <f>ISNUMBER(SEARCH(Table6[[#Headers],[3B]],Table1[[#This Row],[Actual Pos]]))</f>
        <v>0</v>
      </c>
      <c r="F48" t="b">
        <f>ISNUMBER(SEARCH(Table6[[#Headers],[OF]],Table1[[#This Row],[Actual Pos]]))</f>
        <v>1</v>
      </c>
    </row>
    <row r="49" spans="1:6" hidden="1" x14ac:dyDescent="0.25">
      <c r="A49" t="b">
        <f>ISNUMBER(SEARCH(Table6[[#Headers],[C]],Table1[[#This Row],[Actual Pos]]))</f>
        <v>0</v>
      </c>
      <c r="B49" t="b">
        <f>ISNUMBER(SEARCH(Table6[[#Headers],[1B]],Table1[[#This Row],[Actual Pos]]))</f>
        <v>0</v>
      </c>
      <c r="C49" t="b">
        <f>ISNUMBER(SEARCH(Table6[[#Headers],[2B]],Table1[[#This Row],[Actual Pos]]))</f>
        <v>0</v>
      </c>
      <c r="D49" t="b">
        <f>ISNUMBER(SEARCH(Table6[[#Headers],[SS]],Table1[[#This Row],[Actual Pos]]))</f>
        <v>0</v>
      </c>
      <c r="E49" t="b">
        <f>ISNUMBER(SEARCH(Table6[[#Headers],[3B]],Table1[[#This Row],[Actual Pos]]))</f>
        <v>0</v>
      </c>
      <c r="F49" t="b">
        <f>ISNUMBER(SEARCH(Table6[[#Headers],[OF]],Table1[[#This Row],[Actual Pos]]))</f>
        <v>1</v>
      </c>
    </row>
    <row r="50" spans="1:6" hidden="1" x14ac:dyDescent="0.25">
      <c r="A50" t="b">
        <f>ISNUMBER(SEARCH(Table6[[#Headers],[C]],Table1[[#This Row],[Actual Pos]]))</f>
        <v>0</v>
      </c>
      <c r="B50" t="b">
        <f>ISNUMBER(SEARCH(Table6[[#Headers],[1B]],Table1[[#This Row],[Actual Pos]]))</f>
        <v>0</v>
      </c>
      <c r="C50" t="b">
        <f>ISNUMBER(SEARCH(Table6[[#Headers],[2B]],Table1[[#This Row],[Actual Pos]]))</f>
        <v>0</v>
      </c>
      <c r="D50" t="b">
        <f>ISNUMBER(SEARCH(Table6[[#Headers],[SS]],Table1[[#This Row],[Actual Pos]]))</f>
        <v>0</v>
      </c>
      <c r="E50" t="b">
        <f>ISNUMBER(SEARCH(Table6[[#Headers],[3B]],Table1[[#This Row],[Actual Pos]]))</f>
        <v>0</v>
      </c>
      <c r="F50" t="b">
        <f>ISNUMBER(SEARCH(Table6[[#Headers],[OF]],Table1[[#This Row],[Actual Pos]]))</f>
        <v>1</v>
      </c>
    </row>
    <row r="51" spans="1:6" hidden="1" x14ac:dyDescent="0.25">
      <c r="A51" t="b">
        <f>ISNUMBER(SEARCH(Table6[[#Headers],[C]],Table1[[#This Row],[Actual Pos]]))</f>
        <v>0</v>
      </c>
      <c r="B51" t="b">
        <f>ISNUMBER(SEARCH(Table6[[#Headers],[1B]],Table1[[#This Row],[Actual Pos]]))</f>
        <v>0</v>
      </c>
      <c r="C51" t="b">
        <f>ISNUMBER(SEARCH(Table6[[#Headers],[2B]],Table1[[#This Row],[Actual Pos]]))</f>
        <v>0</v>
      </c>
      <c r="D51" t="b">
        <f>ISNUMBER(SEARCH(Table6[[#Headers],[SS]],Table1[[#This Row],[Actual Pos]]))</f>
        <v>0</v>
      </c>
      <c r="E51" t="b">
        <f>ISNUMBER(SEARCH(Table6[[#Headers],[3B]],Table1[[#This Row],[Actual Pos]]))</f>
        <v>1</v>
      </c>
      <c r="F51" t="b">
        <f>ISNUMBER(SEARCH(Table6[[#Headers],[OF]],Table1[[#This Row],[Actual Pos]]))</f>
        <v>0</v>
      </c>
    </row>
    <row r="52" spans="1:6" hidden="1" x14ac:dyDescent="0.25">
      <c r="A52" t="b">
        <f>ISNUMBER(SEARCH(Table6[[#Headers],[C]],Table1[[#This Row],[Actual Pos]]))</f>
        <v>0</v>
      </c>
      <c r="B52" t="b">
        <f>ISNUMBER(SEARCH(Table6[[#Headers],[1B]],Table1[[#This Row],[Actual Pos]]))</f>
        <v>1</v>
      </c>
      <c r="C52" t="b">
        <f>ISNUMBER(SEARCH(Table6[[#Headers],[2B]],Table1[[#This Row],[Actual Pos]]))</f>
        <v>0</v>
      </c>
      <c r="D52" t="b">
        <f>ISNUMBER(SEARCH(Table6[[#Headers],[SS]],Table1[[#This Row],[Actual Pos]]))</f>
        <v>0</v>
      </c>
      <c r="E52" t="b">
        <f>ISNUMBER(SEARCH(Table6[[#Headers],[3B]],Table1[[#This Row],[Actual Pos]]))</f>
        <v>0</v>
      </c>
      <c r="F52" t="b">
        <f>ISNUMBER(SEARCH(Table6[[#Headers],[OF]],Table1[[#This Row],[Actual Pos]]))</f>
        <v>0</v>
      </c>
    </row>
    <row r="53" spans="1:6" hidden="1" x14ac:dyDescent="0.25">
      <c r="A53" t="b">
        <f>ISNUMBER(SEARCH(Table6[[#Headers],[C]],Table1[[#This Row],[Actual Pos]]))</f>
        <v>0</v>
      </c>
      <c r="B53" t="b">
        <f>ISNUMBER(SEARCH(Table6[[#Headers],[1B]],Table1[[#This Row],[Actual Pos]]))</f>
        <v>0</v>
      </c>
      <c r="C53" t="b">
        <f>ISNUMBER(SEARCH(Table6[[#Headers],[2B]],Table1[[#This Row],[Actual Pos]]))</f>
        <v>0</v>
      </c>
      <c r="D53" t="b">
        <f>ISNUMBER(SEARCH(Table6[[#Headers],[SS]],Table1[[#This Row],[Actual Pos]]))</f>
        <v>0</v>
      </c>
      <c r="E53" t="b">
        <f>ISNUMBER(SEARCH(Table6[[#Headers],[3B]],Table1[[#This Row],[Actual Pos]]))</f>
        <v>0</v>
      </c>
      <c r="F53" t="b">
        <f>ISNUMBER(SEARCH(Table6[[#Headers],[OF]],Table1[[#This Row],[Actual Pos]]))</f>
        <v>1</v>
      </c>
    </row>
    <row r="54" spans="1:6" hidden="1" x14ac:dyDescent="0.25">
      <c r="A54" t="b">
        <f>ISNUMBER(SEARCH(Table6[[#Headers],[C]],Table1[[#This Row],[Actual Pos]]))</f>
        <v>0</v>
      </c>
      <c r="B54" t="b">
        <f>ISNUMBER(SEARCH(Table6[[#Headers],[1B]],Table1[[#This Row],[Actual Pos]]))</f>
        <v>0</v>
      </c>
      <c r="C54" t="b">
        <f>ISNUMBER(SEARCH(Table6[[#Headers],[2B]],Table1[[#This Row],[Actual Pos]]))</f>
        <v>0</v>
      </c>
      <c r="D54" t="b">
        <f>ISNUMBER(SEARCH(Table6[[#Headers],[SS]],Table1[[#This Row],[Actual Pos]]))</f>
        <v>0</v>
      </c>
      <c r="E54" t="b">
        <f>ISNUMBER(SEARCH(Table6[[#Headers],[3B]],Table1[[#This Row],[Actual Pos]]))</f>
        <v>0</v>
      </c>
      <c r="F54" t="b">
        <f>ISNUMBER(SEARCH(Table6[[#Headers],[OF]],Table1[[#This Row],[Actual Pos]]))</f>
        <v>1</v>
      </c>
    </row>
    <row r="55" spans="1:6" hidden="1" x14ac:dyDescent="0.25">
      <c r="A55" t="b">
        <f>ISNUMBER(SEARCH(Table6[[#Headers],[C]],Table1[[#This Row],[Actual Pos]]))</f>
        <v>0</v>
      </c>
      <c r="B55" t="b">
        <f>ISNUMBER(SEARCH(Table6[[#Headers],[1B]],Table1[[#This Row],[Actual Pos]]))</f>
        <v>0</v>
      </c>
      <c r="C55" t="b">
        <f>ISNUMBER(SEARCH(Table6[[#Headers],[2B]],Table1[[#This Row],[Actual Pos]]))</f>
        <v>0</v>
      </c>
      <c r="D55" t="b">
        <f>ISNUMBER(SEARCH(Table6[[#Headers],[SS]],Table1[[#This Row],[Actual Pos]]))</f>
        <v>1</v>
      </c>
      <c r="E55" t="b">
        <f>ISNUMBER(SEARCH(Table6[[#Headers],[3B]],Table1[[#This Row],[Actual Pos]]))</f>
        <v>0</v>
      </c>
      <c r="F55" t="b">
        <f>ISNUMBER(SEARCH(Table6[[#Headers],[OF]],Table1[[#This Row],[Actual Pos]]))</f>
        <v>0</v>
      </c>
    </row>
    <row r="56" spans="1:6" hidden="1" x14ac:dyDescent="0.25">
      <c r="A56" t="b">
        <f>ISNUMBER(SEARCH(Table6[[#Headers],[C]],Table1[[#This Row],[Actual Pos]]))</f>
        <v>0</v>
      </c>
      <c r="B56" t="b">
        <f>ISNUMBER(SEARCH(Table6[[#Headers],[1B]],Table1[[#This Row],[Actual Pos]]))</f>
        <v>1</v>
      </c>
      <c r="C56" t="b">
        <f>ISNUMBER(SEARCH(Table6[[#Headers],[2B]],Table1[[#This Row],[Actual Pos]]))</f>
        <v>0</v>
      </c>
      <c r="D56" t="b">
        <f>ISNUMBER(SEARCH(Table6[[#Headers],[SS]],Table1[[#This Row],[Actual Pos]]))</f>
        <v>0</v>
      </c>
      <c r="E56" t="b">
        <f>ISNUMBER(SEARCH(Table6[[#Headers],[3B]],Table1[[#This Row],[Actual Pos]]))</f>
        <v>0</v>
      </c>
      <c r="F56" t="b">
        <f>ISNUMBER(SEARCH(Table6[[#Headers],[OF]],Table1[[#This Row],[Actual Pos]]))</f>
        <v>0</v>
      </c>
    </row>
    <row r="57" spans="1:6" hidden="1" x14ac:dyDescent="0.25">
      <c r="A57" t="b">
        <f>ISNUMBER(SEARCH(Table6[[#Headers],[C]],Table1[[#This Row],[Actual Pos]]))</f>
        <v>0</v>
      </c>
      <c r="B57" t="b">
        <f>ISNUMBER(SEARCH(Table6[[#Headers],[1B]],Table1[[#This Row],[Actual Pos]]))</f>
        <v>0</v>
      </c>
      <c r="C57" t="b">
        <f>ISNUMBER(SEARCH(Table6[[#Headers],[2B]],Table1[[#This Row],[Actual Pos]]))</f>
        <v>0</v>
      </c>
      <c r="D57" t="b">
        <f>ISNUMBER(SEARCH(Table6[[#Headers],[SS]],Table1[[#This Row],[Actual Pos]]))</f>
        <v>0</v>
      </c>
      <c r="E57" t="b">
        <f>ISNUMBER(SEARCH(Table6[[#Headers],[3B]],Table1[[#This Row],[Actual Pos]]))</f>
        <v>1</v>
      </c>
      <c r="F57" t="b">
        <f>ISNUMBER(SEARCH(Table6[[#Headers],[OF]],Table1[[#This Row],[Actual Pos]]))</f>
        <v>0</v>
      </c>
    </row>
    <row r="58" spans="1:6" hidden="1" x14ac:dyDescent="0.25">
      <c r="A58" t="b">
        <f>ISNUMBER(SEARCH(Table6[[#Headers],[C]],Table1[[#This Row],[Actual Pos]]))</f>
        <v>0</v>
      </c>
      <c r="B58" t="b">
        <f>ISNUMBER(SEARCH(Table6[[#Headers],[1B]],Table1[[#This Row],[Actual Pos]]))</f>
        <v>0</v>
      </c>
      <c r="C58" t="b">
        <f>ISNUMBER(SEARCH(Table6[[#Headers],[2B]],Table1[[#This Row],[Actual Pos]]))</f>
        <v>1</v>
      </c>
      <c r="D58" t="b">
        <f>ISNUMBER(SEARCH(Table6[[#Headers],[SS]],Table1[[#This Row],[Actual Pos]]))</f>
        <v>0</v>
      </c>
      <c r="E58" t="b">
        <f>ISNUMBER(SEARCH(Table6[[#Headers],[3B]],Table1[[#This Row],[Actual Pos]]))</f>
        <v>0</v>
      </c>
      <c r="F58" t="b">
        <f>ISNUMBER(SEARCH(Table6[[#Headers],[OF]],Table1[[#This Row],[Actual Pos]]))</f>
        <v>0</v>
      </c>
    </row>
    <row r="59" spans="1:6" hidden="1" x14ac:dyDescent="0.25">
      <c r="A59" t="b">
        <f>ISNUMBER(SEARCH(Table6[[#Headers],[C]],Table1[[#This Row],[Actual Pos]]))</f>
        <v>0</v>
      </c>
      <c r="B59" t="b">
        <f>ISNUMBER(SEARCH(Table6[[#Headers],[1B]],Table1[[#This Row],[Actual Pos]]))</f>
        <v>0</v>
      </c>
      <c r="C59" t="b">
        <f>ISNUMBER(SEARCH(Table6[[#Headers],[2B]],Table1[[#This Row],[Actual Pos]]))</f>
        <v>1</v>
      </c>
      <c r="D59" t="b">
        <f>ISNUMBER(SEARCH(Table6[[#Headers],[SS]],Table1[[#This Row],[Actual Pos]]))</f>
        <v>0</v>
      </c>
      <c r="E59" t="b">
        <f>ISNUMBER(SEARCH(Table6[[#Headers],[3B]],Table1[[#This Row],[Actual Pos]]))</f>
        <v>0</v>
      </c>
      <c r="F59" t="b">
        <f>ISNUMBER(SEARCH(Table6[[#Headers],[OF]],Table1[[#This Row],[Actual Pos]]))</f>
        <v>0</v>
      </c>
    </row>
    <row r="60" spans="1:6" hidden="1" x14ac:dyDescent="0.25">
      <c r="A60" t="b">
        <f>ISNUMBER(SEARCH(Table6[[#Headers],[C]],Table1[[#This Row],[Actual Pos]]))</f>
        <v>0</v>
      </c>
      <c r="B60" t="b">
        <f>ISNUMBER(SEARCH(Table6[[#Headers],[1B]],Table1[[#This Row],[Actual Pos]]))</f>
        <v>1</v>
      </c>
      <c r="C60" t="b">
        <f>ISNUMBER(SEARCH(Table6[[#Headers],[2B]],Table1[[#This Row],[Actual Pos]]))</f>
        <v>0</v>
      </c>
      <c r="D60" t="b">
        <f>ISNUMBER(SEARCH(Table6[[#Headers],[SS]],Table1[[#This Row],[Actual Pos]]))</f>
        <v>0</v>
      </c>
      <c r="E60" t="b">
        <f>ISNUMBER(SEARCH(Table6[[#Headers],[3B]],Table1[[#This Row],[Actual Pos]]))</f>
        <v>0</v>
      </c>
      <c r="F60" t="b">
        <f>ISNUMBER(SEARCH(Table6[[#Headers],[OF]],Table1[[#This Row],[Actual Pos]]))</f>
        <v>0</v>
      </c>
    </row>
    <row r="61" spans="1:6" hidden="1" x14ac:dyDescent="0.25">
      <c r="A61" t="b">
        <f>ISNUMBER(SEARCH(Table6[[#Headers],[C]],Table1[[#This Row],[Actual Pos]]))</f>
        <v>0</v>
      </c>
      <c r="B61" t="b">
        <f>ISNUMBER(SEARCH(Table6[[#Headers],[1B]],Table1[[#This Row],[Actual Pos]]))</f>
        <v>0</v>
      </c>
      <c r="C61" t="b">
        <f>ISNUMBER(SEARCH(Table6[[#Headers],[2B]],Table1[[#This Row],[Actual Pos]]))</f>
        <v>0</v>
      </c>
      <c r="D61" t="b">
        <f>ISNUMBER(SEARCH(Table6[[#Headers],[SS]],Table1[[#This Row],[Actual Pos]]))</f>
        <v>0</v>
      </c>
      <c r="E61" t="b">
        <f>ISNUMBER(SEARCH(Table6[[#Headers],[3B]],Table1[[#This Row],[Actual Pos]]))</f>
        <v>0</v>
      </c>
      <c r="F61" t="b">
        <f>ISNUMBER(SEARCH(Table6[[#Headers],[OF]],Table1[[#This Row],[Actual Pos]]))</f>
        <v>1</v>
      </c>
    </row>
    <row r="62" spans="1:6" hidden="1" x14ac:dyDescent="0.25">
      <c r="A62" t="b">
        <f>ISNUMBER(SEARCH(Table6[[#Headers],[C]],Table1[[#This Row],[Actual Pos]]))</f>
        <v>0</v>
      </c>
      <c r="B62" t="b">
        <f>ISNUMBER(SEARCH(Table6[[#Headers],[1B]],Table1[[#This Row],[Actual Pos]]))</f>
        <v>1</v>
      </c>
      <c r="C62" t="b">
        <f>ISNUMBER(SEARCH(Table6[[#Headers],[2B]],Table1[[#This Row],[Actual Pos]]))</f>
        <v>0</v>
      </c>
      <c r="D62" t="b">
        <f>ISNUMBER(SEARCH(Table6[[#Headers],[SS]],Table1[[#This Row],[Actual Pos]]))</f>
        <v>0</v>
      </c>
      <c r="E62" t="b">
        <f>ISNUMBER(SEARCH(Table6[[#Headers],[3B]],Table1[[#This Row],[Actual Pos]]))</f>
        <v>0</v>
      </c>
      <c r="F62" t="b">
        <f>ISNUMBER(SEARCH(Table6[[#Headers],[OF]],Table1[[#This Row],[Actual Pos]]))</f>
        <v>0</v>
      </c>
    </row>
    <row r="63" spans="1:6" hidden="1" x14ac:dyDescent="0.25">
      <c r="A63" t="b">
        <f>ISNUMBER(SEARCH(Table6[[#Headers],[C]],Table1[[#This Row],[Actual Pos]]))</f>
        <v>0</v>
      </c>
      <c r="B63" t="b">
        <f>ISNUMBER(SEARCH(Table6[[#Headers],[1B]],Table1[[#This Row],[Actual Pos]]))</f>
        <v>0</v>
      </c>
      <c r="C63" t="b">
        <f>ISNUMBER(SEARCH(Table6[[#Headers],[2B]],Table1[[#This Row],[Actual Pos]]))</f>
        <v>0</v>
      </c>
      <c r="D63" t="b">
        <f>ISNUMBER(SEARCH(Table6[[#Headers],[SS]],Table1[[#This Row],[Actual Pos]]))</f>
        <v>0</v>
      </c>
      <c r="E63" t="b">
        <f>ISNUMBER(SEARCH(Table6[[#Headers],[3B]],Table1[[#This Row],[Actual Pos]]))</f>
        <v>0</v>
      </c>
      <c r="F63" t="b">
        <f>ISNUMBER(SEARCH(Table6[[#Headers],[OF]],Table1[[#This Row],[Actual Pos]]))</f>
        <v>1</v>
      </c>
    </row>
    <row r="64" spans="1:6" hidden="1" x14ac:dyDescent="0.25">
      <c r="A64" t="b">
        <f>ISNUMBER(SEARCH(Table6[[#Headers],[C]],Table1[[#This Row],[Actual Pos]]))</f>
        <v>0</v>
      </c>
      <c r="B64" t="b">
        <f>ISNUMBER(SEARCH(Table6[[#Headers],[1B]],Table1[[#This Row],[Actual Pos]]))</f>
        <v>0</v>
      </c>
      <c r="C64" t="b">
        <f>ISNUMBER(SEARCH(Table6[[#Headers],[2B]],Table1[[#This Row],[Actual Pos]]))</f>
        <v>0</v>
      </c>
      <c r="D64" t="b">
        <f>ISNUMBER(SEARCH(Table6[[#Headers],[SS]],Table1[[#This Row],[Actual Pos]]))</f>
        <v>0</v>
      </c>
      <c r="E64" t="b">
        <f>ISNUMBER(SEARCH(Table6[[#Headers],[3B]],Table1[[#This Row],[Actual Pos]]))</f>
        <v>1</v>
      </c>
      <c r="F64" t="b">
        <f>ISNUMBER(SEARCH(Table6[[#Headers],[OF]],Table1[[#This Row],[Actual Pos]]))</f>
        <v>0</v>
      </c>
    </row>
    <row r="65" spans="1:6" hidden="1" x14ac:dyDescent="0.25">
      <c r="A65" t="b">
        <f>ISNUMBER(SEARCH(Table6[[#Headers],[C]],Table1[[#This Row],[Actual Pos]]))</f>
        <v>0</v>
      </c>
      <c r="B65" t="b">
        <f>ISNUMBER(SEARCH(Table6[[#Headers],[1B]],Table1[[#This Row],[Actual Pos]]))</f>
        <v>1</v>
      </c>
      <c r="C65" t="b">
        <f>ISNUMBER(SEARCH(Table6[[#Headers],[2B]],Table1[[#This Row],[Actual Pos]]))</f>
        <v>0</v>
      </c>
      <c r="D65" t="b">
        <f>ISNUMBER(SEARCH(Table6[[#Headers],[SS]],Table1[[#This Row],[Actual Pos]]))</f>
        <v>0</v>
      </c>
      <c r="E65" t="b">
        <f>ISNUMBER(SEARCH(Table6[[#Headers],[3B]],Table1[[#This Row],[Actual Pos]]))</f>
        <v>0</v>
      </c>
      <c r="F65" t="b">
        <f>ISNUMBER(SEARCH(Table6[[#Headers],[OF]],Table1[[#This Row],[Actual Pos]]))</f>
        <v>0</v>
      </c>
    </row>
    <row r="66" spans="1:6" hidden="1" x14ac:dyDescent="0.25">
      <c r="A66" t="b">
        <f>ISNUMBER(SEARCH(Table6[[#Headers],[C]],Table1[[#This Row],[Actual Pos]]))</f>
        <v>0</v>
      </c>
      <c r="B66" t="b">
        <f>ISNUMBER(SEARCH(Table6[[#Headers],[1B]],Table1[[#This Row],[Actual Pos]]))</f>
        <v>0</v>
      </c>
      <c r="C66" t="b">
        <f>ISNUMBER(SEARCH(Table6[[#Headers],[2B]],Table1[[#This Row],[Actual Pos]]))</f>
        <v>0</v>
      </c>
      <c r="D66" t="b">
        <f>ISNUMBER(SEARCH(Table6[[#Headers],[SS]],Table1[[#This Row],[Actual Pos]]))</f>
        <v>0</v>
      </c>
      <c r="E66" t="b">
        <f>ISNUMBER(SEARCH(Table6[[#Headers],[3B]],Table1[[#This Row],[Actual Pos]]))</f>
        <v>1</v>
      </c>
      <c r="F66" t="b">
        <f>ISNUMBER(SEARCH(Table6[[#Headers],[OF]],Table1[[#This Row],[Actual Pos]]))</f>
        <v>0</v>
      </c>
    </row>
    <row r="67" spans="1:6" hidden="1" x14ac:dyDescent="0.25">
      <c r="A67" t="b">
        <f>ISNUMBER(SEARCH(Table6[[#Headers],[C]],Table1[[#This Row],[Actual Pos]]))</f>
        <v>0</v>
      </c>
      <c r="B67" t="b">
        <f>ISNUMBER(SEARCH(Table6[[#Headers],[1B]],Table1[[#This Row],[Actual Pos]]))</f>
        <v>1</v>
      </c>
      <c r="C67" t="b">
        <f>ISNUMBER(SEARCH(Table6[[#Headers],[2B]],Table1[[#This Row],[Actual Pos]]))</f>
        <v>0</v>
      </c>
      <c r="D67" t="b">
        <f>ISNUMBER(SEARCH(Table6[[#Headers],[SS]],Table1[[#This Row],[Actual Pos]]))</f>
        <v>0</v>
      </c>
      <c r="E67" t="b">
        <f>ISNUMBER(SEARCH(Table6[[#Headers],[3B]],Table1[[#This Row],[Actual Pos]]))</f>
        <v>0</v>
      </c>
      <c r="F67" t="b">
        <f>ISNUMBER(SEARCH(Table6[[#Headers],[OF]],Table1[[#This Row],[Actual Pos]]))</f>
        <v>0</v>
      </c>
    </row>
    <row r="68" spans="1:6" hidden="1" x14ac:dyDescent="0.25">
      <c r="A68" t="b">
        <f>ISNUMBER(SEARCH(Table6[[#Headers],[C]],Table1[[#This Row],[Actual Pos]]))</f>
        <v>0</v>
      </c>
      <c r="B68" t="b">
        <f>ISNUMBER(SEARCH(Table6[[#Headers],[1B]],Table1[[#This Row],[Actual Pos]]))</f>
        <v>0</v>
      </c>
      <c r="C68" t="b">
        <f>ISNUMBER(SEARCH(Table6[[#Headers],[2B]],Table1[[#This Row],[Actual Pos]]))</f>
        <v>0</v>
      </c>
      <c r="D68" t="b">
        <f>ISNUMBER(SEARCH(Table6[[#Headers],[SS]],Table1[[#This Row],[Actual Pos]]))</f>
        <v>0</v>
      </c>
      <c r="E68" t="b">
        <f>ISNUMBER(SEARCH(Table6[[#Headers],[3B]],Table1[[#This Row],[Actual Pos]]))</f>
        <v>0</v>
      </c>
      <c r="F68" t="b">
        <f>ISNUMBER(SEARCH(Table6[[#Headers],[OF]],Table1[[#This Row],[Actual Pos]]))</f>
        <v>1</v>
      </c>
    </row>
    <row r="69" spans="1:6" hidden="1" x14ac:dyDescent="0.25">
      <c r="A69" t="b">
        <f>ISNUMBER(SEARCH(Table6[[#Headers],[C]],Table1[[#This Row],[Actual Pos]]))</f>
        <v>0</v>
      </c>
      <c r="B69" t="b">
        <f>ISNUMBER(SEARCH(Table6[[#Headers],[1B]],Table1[[#This Row],[Actual Pos]]))</f>
        <v>0</v>
      </c>
      <c r="C69" t="b">
        <f>ISNUMBER(SEARCH(Table6[[#Headers],[2B]],Table1[[#This Row],[Actual Pos]]))</f>
        <v>0</v>
      </c>
      <c r="D69" t="b">
        <f>ISNUMBER(SEARCH(Table6[[#Headers],[SS]],Table1[[#This Row],[Actual Pos]]))</f>
        <v>0</v>
      </c>
      <c r="E69" t="b">
        <f>ISNUMBER(SEARCH(Table6[[#Headers],[3B]],Table1[[#This Row],[Actual Pos]]))</f>
        <v>0</v>
      </c>
      <c r="F69" t="b">
        <f>ISNUMBER(SEARCH(Table6[[#Headers],[OF]],Table1[[#This Row],[Actual Pos]]))</f>
        <v>1</v>
      </c>
    </row>
    <row r="70" spans="1:6" hidden="1" x14ac:dyDescent="0.25">
      <c r="A70" t="b">
        <f>ISNUMBER(SEARCH(Table6[[#Headers],[C]],Table1[[#This Row],[Actual Pos]]))</f>
        <v>0</v>
      </c>
      <c r="B70" t="b">
        <f>ISNUMBER(SEARCH(Table6[[#Headers],[1B]],Table1[[#This Row],[Actual Pos]]))</f>
        <v>0</v>
      </c>
      <c r="C70" t="b">
        <f>ISNUMBER(SEARCH(Table6[[#Headers],[2B]],Table1[[#This Row],[Actual Pos]]))</f>
        <v>0</v>
      </c>
      <c r="D70" t="b">
        <f>ISNUMBER(SEARCH(Table6[[#Headers],[SS]],Table1[[#This Row],[Actual Pos]]))</f>
        <v>0</v>
      </c>
      <c r="E70" t="b">
        <f>ISNUMBER(SEARCH(Table6[[#Headers],[3B]],Table1[[#This Row],[Actual Pos]]))</f>
        <v>0</v>
      </c>
      <c r="F70" t="b">
        <f>ISNUMBER(SEARCH(Table6[[#Headers],[OF]],Table1[[#This Row],[Actual Pos]]))</f>
        <v>1</v>
      </c>
    </row>
    <row r="71" spans="1:6" hidden="1" x14ac:dyDescent="0.25">
      <c r="A71" t="b">
        <f>ISNUMBER(SEARCH(Table6[[#Headers],[C]],Table1[[#This Row],[Actual Pos]]))</f>
        <v>1</v>
      </c>
      <c r="B71" t="b">
        <f>ISNUMBER(SEARCH(Table6[[#Headers],[1B]],Table1[[#This Row],[Actual Pos]]))</f>
        <v>0</v>
      </c>
      <c r="C71" t="b">
        <f>ISNUMBER(SEARCH(Table6[[#Headers],[2B]],Table1[[#This Row],[Actual Pos]]))</f>
        <v>0</v>
      </c>
      <c r="D71" t="b">
        <f>ISNUMBER(SEARCH(Table6[[#Headers],[SS]],Table1[[#This Row],[Actual Pos]]))</f>
        <v>0</v>
      </c>
      <c r="E71" t="b">
        <f>ISNUMBER(SEARCH(Table6[[#Headers],[3B]],Table1[[#This Row],[Actual Pos]]))</f>
        <v>0</v>
      </c>
      <c r="F71" t="b">
        <f>ISNUMBER(SEARCH(Table6[[#Headers],[OF]],Table1[[#This Row],[Actual Pos]]))</f>
        <v>0</v>
      </c>
    </row>
    <row r="72" spans="1:6" hidden="1" x14ac:dyDescent="0.25">
      <c r="A72" t="b">
        <f>ISNUMBER(SEARCH(Table6[[#Headers],[C]],Table1[[#This Row],[Actual Pos]]))</f>
        <v>0</v>
      </c>
      <c r="B72" t="b">
        <f>ISNUMBER(SEARCH(Table6[[#Headers],[1B]],Table1[[#This Row],[Actual Pos]]))</f>
        <v>1</v>
      </c>
      <c r="C72" t="b">
        <f>ISNUMBER(SEARCH(Table6[[#Headers],[2B]],Table1[[#This Row],[Actual Pos]]))</f>
        <v>0</v>
      </c>
      <c r="D72" t="b">
        <f>ISNUMBER(SEARCH(Table6[[#Headers],[SS]],Table1[[#This Row],[Actual Pos]]))</f>
        <v>0</v>
      </c>
      <c r="E72" t="b">
        <f>ISNUMBER(SEARCH(Table6[[#Headers],[3B]],Table1[[#This Row],[Actual Pos]]))</f>
        <v>0</v>
      </c>
      <c r="F72" t="b">
        <f>ISNUMBER(SEARCH(Table6[[#Headers],[OF]],Table1[[#This Row],[Actual Pos]]))</f>
        <v>0</v>
      </c>
    </row>
    <row r="73" spans="1:6" hidden="1" x14ac:dyDescent="0.25">
      <c r="A73" t="b">
        <f>ISNUMBER(SEARCH(Table6[[#Headers],[C]],Table1[[#This Row],[Actual Pos]]))</f>
        <v>0</v>
      </c>
      <c r="B73" t="b">
        <f>ISNUMBER(SEARCH(Table6[[#Headers],[1B]],Table1[[#This Row],[Actual Pos]]))</f>
        <v>1</v>
      </c>
      <c r="C73" t="b">
        <f>ISNUMBER(SEARCH(Table6[[#Headers],[2B]],Table1[[#This Row],[Actual Pos]]))</f>
        <v>0</v>
      </c>
      <c r="D73" t="b">
        <f>ISNUMBER(SEARCH(Table6[[#Headers],[SS]],Table1[[#This Row],[Actual Pos]]))</f>
        <v>0</v>
      </c>
      <c r="E73" t="b">
        <f>ISNUMBER(SEARCH(Table6[[#Headers],[3B]],Table1[[#This Row],[Actual Pos]]))</f>
        <v>0</v>
      </c>
      <c r="F73" t="b">
        <f>ISNUMBER(SEARCH(Table6[[#Headers],[OF]],Table1[[#This Row],[Actual Pos]]))</f>
        <v>0</v>
      </c>
    </row>
    <row r="74" spans="1:6" hidden="1" x14ac:dyDescent="0.25">
      <c r="A74" t="b">
        <f>ISNUMBER(SEARCH(Table6[[#Headers],[C]],Table1[[#This Row],[Actual Pos]]))</f>
        <v>0</v>
      </c>
      <c r="B74" t="b">
        <f>ISNUMBER(SEARCH(Table6[[#Headers],[1B]],Table1[[#This Row],[Actual Pos]]))</f>
        <v>0</v>
      </c>
      <c r="C74" t="b">
        <f>ISNUMBER(SEARCH(Table6[[#Headers],[2B]],Table1[[#This Row],[Actual Pos]]))</f>
        <v>0</v>
      </c>
      <c r="D74" t="b">
        <f>ISNUMBER(SEARCH(Table6[[#Headers],[SS]],Table1[[#This Row],[Actual Pos]]))</f>
        <v>0</v>
      </c>
      <c r="E74" t="b">
        <f>ISNUMBER(SEARCH(Table6[[#Headers],[3B]],Table1[[#This Row],[Actual Pos]]))</f>
        <v>0</v>
      </c>
      <c r="F74" t="b">
        <f>ISNUMBER(SEARCH(Table6[[#Headers],[OF]],Table1[[#This Row],[Actual Pos]]))</f>
        <v>1</v>
      </c>
    </row>
    <row r="75" spans="1:6" hidden="1" x14ac:dyDescent="0.25">
      <c r="A75" t="b">
        <f>ISNUMBER(SEARCH(Table6[[#Headers],[C]],Table1[[#This Row],[Actual Pos]]))</f>
        <v>0</v>
      </c>
      <c r="B75" t="b">
        <f>ISNUMBER(SEARCH(Table6[[#Headers],[1B]],Table1[[#This Row],[Actual Pos]]))</f>
        <v>0</v>
      </c>
      <c r="C75" t="b">
        <f>ISNUMBER(SEARCH(Table6[[#Headers],[2B]],Table1[[#This Row],[Actual Pos]]))</f>
        <v>0</v>
      </c>
      <c r="D75" t="b">
        <f>ISNUMBER(SEARCH(Table6[[#Headers],[SS]],Table1[[#This Row],[Actual Pos]]))</f>
        <v>1</v>
      </c>
      <c r="E75" t="b">
        <f>ISNUMBER(SEARCH(Table6[[#Headers],[3B]],Table1[[#This Row],[Actual Pos]]))</f>
        <v>0</v>
      </c>
      <c r="F75" t="b">
        <f>ISNUMBER(SEARCH(Table6[[#Headers],[OF]],Table1[[#This Row],[Actual Pos]]))</f>
        <v>0</v>
      </c>
    </row>
    <row r="76" spans="1:6" hidden="1" x14ac:dyDescent="0.25">
      <c r="A76" t="b">
        <f>ISNUMBER(SEARCH(Table6[[#Headers],[C]],Table1[[#This Row],[Actual Pos]]))</f>
        <v>0</v>
      </c>
      <c r="B76" t="b">
        <f>ISNUMBER(SEARCH(Table6[[#Headers],[1B]],Table1[[#This Row],[Actual Pos]]))</f>
        <v>0</v>
      </c>
      <c r="C76" t="b">
        <f>ISNUMBER(SEARCH(Table6[[#Headers],[2B]],Table1[[#This Row],[Actual Pos]]))</f>
        <v>0</v>
      </c>
      <c r="D76" t="b">
        <f>ISNUMBER(SEARCH(Table6[[#Headers],[SS]],Table1[[#This Row],[Actual Pos]]))</f>
        <v>0</v>
      </c>
      <c r="E76" t="b">
        <f>ISNUMBER(SEARCH(Table6[[#Headers],[3B]],Table1[[#This Row],[Actual Pos]]))</f>
        <v>0</v>
      </c>
      <c r="F76" t="b">
        <f>ISNUMBER(SEARCH(Table6[[#Headers],[OF]],Table1[[#This Row],[Actual Pos]]))</f>
        <v>1</v>
      </c>
    </row>
    <row r="77" spans="1:6" hidden="1" x14ac:dyDescent="0.25">
      <c r="A77" t="b">
        <f>ISNUMBER(SEARCH(Table6[[#Headers],[C]],Table1[[#This Row],[Actual Pos]]))</f>
        <v>0</v>
      </c>
      <c r="B77" t="b">
        <f>ISNUMBER(SEARCH(Table6[[#Headers],[1B]],Table1[[#This Row],[Actual Pos]]))</f>
        <v>1</v>
      </c>
      <c r="C77" t="b">
        <f>ISNUMBER(SEARCH(Table6[[#Headers],[2B]],Table1[[#This Row],[Actual Pos]]))</f>
        <v>0</v>
      </c>
      <c r="D77" t="b">
        <f>ISNUMBER(SEARCH(Table6[[#Headers],[SS]],Table1[[#This Row],[Actual Pos]]))</f>
        <v>0</v>
      </c>
      <c r="E77" t="b">
        <f>ISNUMBER(SEARCH(Table6[[#Headers],[3B]],Table1[[#This Row],[Actual Pos]]))</f>
        <v>0</v>
      </c>
      <c r="F77" t="b">
        <f>ISNUMBER(SEARCH(Table6[[#Headers],[OF]],Table1[[#This Row],[Actual Pos]]))</f>
        <v>0</v>
      </c>
    </row>
    <row r="78" spans="1:6" hidden="1" x14ac:dyDescent="0.25">
      <c r="A78" t="b">
        <f>ISNUMBER(SEARCH(Table6[[#Headers],[C]],Table1[[#This Row],[Actual Pos]]))</f>
        <v>1</v>
      </c>
      <c r="B78" t="b">
        <f>ISNUMBER(SEARCH(Table6[[#Headers],[1B]],Table1[[#This Row],[Actual Pos]]))</f>
        <v>0</v>
      </c>
      <c r="C78" t="b">
        <f>ISNUMBER(SEARCH(Table6[[#Headers],[2B]],Table1[[#This Row],[Actual Pos]]))</f>
        <v>0</v>
      </c>
      <c r="D78" t="b">
        <f>ISNUMBER(SEARCH(Table6[[#Headers],[SS]],Table1[[#This Row],[Actual Pos]]))</f>
        <v>0</v>
      </c>
      <c r="E78" t="b">
        <f>ISNUMBER(SEARCH(Table6[[#Headers],[3B]],Table1[[#This Row],[Actual Pos]]))</f>
        <v>0</v>
      </c>
      <c r="F78" t="b">
        <f>ISNUMBER(SEARCH(Table6[[#Headers],[OF]],Table1[[#This Row],[Actual Pos]]))</f>
        <v>0</v>
      </c>
    </row>
    <row r="79" spans="1:6" hidden="1" x14ac:dyDescent="0.25">
      <c r="A79" t="b">
        <f>ISNUMBER(SEARCH(Table6[[#Headers],[C]],Table1[[#This Row],[Actual Pos]]))</f>
        <v>0</v>
      </c>
      <c r="B79" t="b">
        <f>ISNUMBER(SEARCH(Table6[[#Headers],[1B]],Table1[[#This Row],[Actual Pos]]))</f>
        <v>0</v>
      </c>
      <c r="C79" t="b">
        <f>ISNUMBER(SEARCH(Table6[[#Headers],[2B]],Table1[[#This Row],[Actual Pos]]))</f>
        <v>1</v>
      </c>
      <c r="D79" t="b">
        <f>ISNUMBER(SEARCH(Table6[[#Headers],[SS]],Table1[[#This Row],[Actual Pos]]))</f>
        <v>0</v>
      </c>
      <c r="E79" t="b">
        <f>ISNUMBER(SEARCH(Table6[[#Headers],[3B]],Table1[[#This Row],[Actual Pos]]))</f>
        <v>0</v>
      </c>
      <c r="F79" t="b">
        <f>ISNUMBER(SEARCH(Table6[[#Headers],[OF]],Table1[[#This Row],[Actual Pos]]))</f>
        <v>0</v>
      </c>
    </row>
    <row r="80" spans="1:6" hidden="1" x14ac:dyDescent="0.25">
      <c r="A80" t="b">
        <f>ISNUMBER(SEARCH(Table6[[#Headers],[C]],Table1[[#This Row],[Actual Pos]]))</f>
        <v>0</v>
      </c>
      <c r="B80" t="b">
        <f>ISNUMBER(SEARCH(Table6[[#Headers],[1B]],Table1[[#This Row],[Actual Pos]]))</f>
        <v>0</v>
      </c>
      <c r="C80" t="b">
        <f>ISNUMBER(SEARCH(Table6[[#Headers],[2B]],Table1[[#This Row],[Actual Pos]]))</f>
        <v>0</v>
      </c>
      <c r="D80" t="b">
        <f>ISNUMBER(SEARCH(Table6[[#Headers],[SS]],Table1[[#This Row],[Actual Pos]]))</f>
        <v>0</v>
      </c>
      <c r="E80" t="b">
        <f>ISNUMBER(SEARCH(Table6[[#Headers],[3B]],Table1[[#This Row],[Actual Pos]]))</f>
        <v>0</v>
      </c>
      <c r="F80" t="b">
        <f>ISNUMBER(SEARCH(Table6[[#Headers],[OF]],Table1[[#This Row],[Actual Pos]]))</f>
        <v>1</v>
      </c>
    </row>
    <row r="81" spans="1:6" hidden="1" x14ac:dyDescent="0.25">
      <c r="A81" t="b">
        <f>ISNUMBER(SEARCH(Table6[[#Headers],[C]],Table1[[#This Row],[Actual Pos]]))</f>
        <v>0</v>
      </c>
      <c r="B81" t="b">
        <f>ISNUMBER(SEARCH(Table6[[#Headers],[1B]],Table1[[#This Row],[Actual Pos]]))</f>
        <v>0</v>
      </c>
      <c r="C81" t="b">
        <f>ISNUMBER(SEARCH(Table6[[#Headers],[2B]],Table1[[#This Row],[Actual Pos]]))</f>
        <v>0</v>
      </c>
      <c r="D81" t="b">
        <f>ISNUMBER(SEARCH(Table6[[#Headers],[SS]],Table1[[#This Row],[Actual Pos]]))</f>
        <v>0</v>
      </c>
      <c r="E81" t="b">
        <f>ISNUMBER(SEARCH(Table6[[#Headers],[3B]],Table1[[#This Row],[Actual Pos]]))</f>
        <v>0</v>
      </c>
      <c r="F81" t="b">
        <f>ISNUMBER(SEARCH(Table6[[#Headers],[OF]],Table1[[#This Row],[Actual Pos]]))</f>
        <v>1</v>
      </c>
    </row>
    <row r="82" spans="1:6" hidden="1" x14ac:dyDescent="0.25">
      <c r="A82" t="b">
        <f>ISNUMBER(SEARCH(Table6[[#Headers],[C]],Table1[[#This Row],[Actual Pos]]))</f>
        <v>0</v>
      </c>
      <c r="B82" t="b">
        <f>ISNUMBER(SEARCH(Table6[[#Headers],[1B]],Table1[[#This Row],[Actual Pos]]))</f>
        <v>0</v>
      </c>
      <c r="C82" t="b">
        <f>ISNUMBER(SEARCH(Table6[[#Headers],[2B]],Table1[[#This Row],[Actual Pos]]))</f>
        <v>0</v>
      </c>
      <c r="D82" t="b">
        <f>ISNUMBER(SEARCH(Table6[[#Headers],[SS]],Table1[[#This Row],[Actual Pos]]))</f>
        <v>1</v>
      </c>
      <c r="E82" t="b">
        <f>ISNUMBER(SEARCH(Table6[[#Headers],[3B]],Table1[[#This Row],[Actual Pos]]))</f>
        <v>0</v>
      </c>
      <c r="F82" t="b">
        <f>ISNUMBER(SEARCH(Table6[[#Headers],[OF]],Table1[[#This Row],[Actual Pos]]))</f>
        <v>0</v>
      </c>
    </row>
    <row r="83" spans="1:6" hidden="1" x14ac:dyDescent="0.25">
      <c r="A83" t="b">
        <f>ISNUMBER(SEARCH(Table6[[#Headers],[C]],Table1[[#This Row],[Actual Pos]]))</f>
        <v>0</v>
      </c>
      <c r="B83" t="b">
        <f>ISNUMBER(SEARCH(Table6[[#Headers],[1B]],Table1[[#This Row],[Actual Pos]]))</f>
        <v>1</v>
      </c>
      <c r="C83" t="b">
        <f>ISNUMBER(SEARCH(Table6[[#Headers],[2B]],Table1[[#This Row],[Actual Pos]]))</f>
        <v>0</v>
      </c>
      <c r="D83" t="b">
        <f>ISNUMBER(SEARCH(Table6[[#Headers],[SS]],Table1[[#This Row],[Actual Pos]]))</f>
        <v>0</v>
      </c>
      <c r="E83" t="b">
        <f>ISNUMBER(SEARCH(Table6[[#Headers],[3B]],Table1[[#This Row],[Actual Pos]]))</f>
        <v>0</v>
      </c>
      <c r="F83" t="b">
        <f>ISNUMBER(SEARCH(Table6[[#Headers],[OF]],Table1[[#This Row],[Actual Pos]]))</f>
        <v>0</v>
      </c>
    </row>
    <row r="84" spans="1:6" hidden="1" x14ac:dyDescent="0.25">
      <c r="A84" t="b">
        <f>ISNUMBER(SEARCH(Table6[[#Headers],[C]],Table1[[#This Row],[Actual Pos]]))</f>
        <v>0</v>
      </c>
      <c r="B84" t="b">
        <f>ISNUMBER(SEARCH(Table6[[#Headers],[1B]],Table1[[#This Row],[Actual Pos]]))</f>
        <v>0</v>
      </c>
      <c r="C84" t="b">
        <f>ISNUMBER(SEARCH(Table6[[#Headers],[2B]],Table1[[#This Row],[Actual Pos]]))</f>
        <v>0</v>
      </c>
      <c r="D84" t="b">
        <f>ISNUMBER(SEARCH(Table6[[#Headers],[SS]],Table1[[#This Row],[Actual Pos]]))</f>
        <v>1</v>
      </c>
      <c r="E84" t="b">
        <f>ISNUMBER(SEARCH(Table6[[#Headers],[3B]],Table1[[#This Row],[Actual Pos]]))</f>
        <v>0</v>
      </c>
      <c r="F84" t="b">
        <f>ISNUMBER(SEARCH(Table6[[#Headers],[OF]],Table1[[#This Row],[Actual Pos]]))</f>
        <v>0</v>
      </c>
    </row>
    <row r="85" spans="1:6" hidden="1" x14ac:dyDescent="0.25">
      <c r="A85" t="b">
        <f>ISNUMBER(SEARCH(Table6[[#Headers],[C]],Table1[[#This Row],[Actual Pos]]))</f>
        <v>0</v>
      </c>
      <c r="B85" t="b">
        <f>ISNUMBER(SEARCH(Table6[[#Headers],[1B]],Table1[[#This Row],[Actual Pos]]))</f>
        <v>0</v>
      </c>
      <c r="C85" t="b">
        <f>ISNUMBER(SEARCH(Table6[[#Headers],[2B]],Table1[[#This Row],[Actual Pos]]))</f>
        <v>1</v>
      </c>
      <c r="D85" t="b">
        <f>ISNUMBER(SEARCH(Table6[[#Headers],[SS]],Table1[[#This Row],[Actual Pos]]))</f>
        <v>0</v>
      </c>
      <c r="E85" t="b">
        <f>ISNUMBER(SEARCH(Table6[[#Headers],[3B]],Table1[[#This Row],[Actual Pos]]))</f>
        <v>0</v>
      </c>
      <c r="F85" t="b">
        <f>ISNUMBER(SEARCH(Table6[[#Headers],[OF]],Table1[[#This Row],[Actual Pos]]))</f>
        <v>0</v>
      </c>
    </row>
    <row r="86" spans="1:6" hidden="1" x14ac:dyDescent="0.25">
      <c r="A86" t="b">
        <f>ISNUMBER(SEARCH(Table6[[#Headers],[C]],Table1[[#This Row],[Actual Pos]]))</f>
        <v>0</v>
      </c>
      <c r="B86" t="b">
        <f>ISNUMBER(SEARCH(Table6[[#Headers],[1B]],Table1[[#This Row],[Actual Pos]]))</f>
        <v>0</v>
      </c>
      <c r="C86" t="b">
        <f>ISNUMBER(SEARCH(Table6[[#Headers],[2B]],Table1[[#This Row],[Actual Pos]]))</f>
        <v>0</v>
      </c>
      <c r="D86" t="b">
        <f>ISNUMBER(SEARCH(Table6[[#Headers],[SS]],Table1[[#This Row],[Actual Pos]]))</f>
        <v>0</v>
      </c>
      <c r="E86" t="b">
        <f>ISNUMBER(SEARCH(Table6[[#Headers],[3B]],Table1[[#This Row],[Actual Pos]]))</f>
        <v>1</v>
      </c>
      <c r="F86" t="b">
        <f>ISNUMBER(SEARCH(Table6[[#Headers],[OF]],Table1[[#This Row],[Actual Pos]]))</f>
        <v>0</v>
      </c>
    </row>
    <row r="87" spans="1:6" hidden="1" x14ac:dyDescent="0.25">
      <c r="A87" t="b">
        <f>ISNUMBER(SEARCH(Table6[[#Headers],[C]],Table1[[#This Row],[Actual Pos]]))</f>
        <v>0</v>
      </c>
      <c r="B87" t="b">
        <f>ISNUMBER(SEARCH(Table6[[#Headers],[1B]],Table1[[#This Row],[Actual Pos]]))</f>
        <v>0</v>
      </c>
      <c r="C87" t="b">
        <f>ISNUMBER(SEARCH(Table6[[#Headers],[2B]],Table1[[#This Row],[Actual Pos]]))</f>
        <v>0</v>
      </c>
      <c r="D87" t="b">
        <f>ISNUMBER(SEARCH(Table6[[#Headers],[SS]],Table1[[#This Row],[Actual Pos]]))</f>
        <v>0</v>
      </c>
      <c r="E87" t="b">
        <f>ISNUMBER(SEARCH(Table6[[#Headers],[3B]],Table1[[#This Row],[Actual Pos]]))</f>
        <v>1</v>
      </c>
      <c r="F87" t="b">
        <f>ISNUMBER(SEARCH(Table6[[#Headers],[OF]],Table1[[#This Row],[Actual Pos]]))</f>
        <v>0</v>
      </c>
    </row>
    <row r="88" spans="1:6" hidden="1" x14ac:dyDescent="0.25">
      <c r="A88" t="b">
        <f>ISNUMBER(SEARCH(Table6[[#Headers],[C]],Table1[[#This Row],[Actual Pos]]))</f>
        <v>1</v>
      </c>
      <c r="B88" t="b">
        <f>ISNUMBER(SEARCH(Table6[[#Headers],[1B]],Table1[[#This Row],[Actual Pos]]))</f>
        <v>0</v>
      </c>
      <c r="C88" t="b">
        <f>ISNUMBER(SEARCH(Table6[[#Headers],[2B]],Table1[[#This Row],[Actual Pos]]))</f>
        <v>0</v>
      </c>
      <c r="D88" t="b">
        <f>ISNUMBER(SEARCH(Table6[[#Headers],[SS]],Table1[[#This Row],[Actual Pos]]))</f>
        <v>0</v>
      </c>
      <c r="E88" t="b">
        <f>ISNUMBER(SEARCH(Table6[[#Headers],[3B]],Table1[[#This Row],[Actual Pos]]))</f>
        <v>0</v>
      </c>
      <c r="F88" t="b">
        <f>ISNUMBER(SEARCH(Table6[[#Headers],[OF]],Table1[[#This Row],[Actual Pos]]))</f>
        <v>0</v>
      </c>
    </row>
    <row r="89" spans="1:6" hidden="1" x14ac:dyDescent="0.25">
      <c r="A89" t="b">
        <f>ISNUMBER(SEARCH(Table6[[#Headers],[C]],Table1[[#This Row],[Actual Pos]]))</f>
        <v>0</v>
      </c>
      <c r="B89" t="b">
        <f>ISNUMBER(SEARCH(Table6[[#Headers],[1B]],Table1[[#This Row],[Actual Pos]]))</f>
        <v>0</v>
      </c>
      <c r="C89" t="b">
        <f>ISNUMBER(SEARCH(Table6[[#Headers],[2B]],Table1[[#This Row],[Actual Pos]]))</f>
        <v>0</v>
      </c>
      <c r="D89" t="b">
        <f>ISNUMBER(SEARCH(Table6[[#Headers],[SS]],Table1[[#This Row],[Actual Pos]]))</f>
        <v>0</v>
      </c>
      <c r="E89" t="b">
        <f>ISNUMBER(SEARCH(Table6[[#Headers],[3B]],Table1[[#This Row],[Actual Pos]]))</f>
        <v>1</v>
      </c>
      <c r="F89" t="b">
        <f>ISNUMBER(SEARCH(Table6[[#Headers],[OF]],Table1[[#This Row],[Actual Pos]]))</f>
        <v>0</v>
      </c>
    </row>
    <row r="90" spans="1:6" hidden="1" x14ac:dyDescent="0.25">
      <c r="A90" t="b">
        <f>ISNUMBER(SEARCH(Table6[[#Headers],[C]],Table1[[#This Row],[Actual Pos]]))</f>
        <v>0</v>
      </c>
      <c r="B90" t="b">
        <f>ISNUMBER(SEARCH(Table6[[#Headers],[1B]],Table1[[#This Row],[Actual Pos]]))</f>
        <v>0</v>
      </c>
      <c r="C90" t="b">
        <f>ISNUMBER(SEARCH(Table6[[#Headers],[2B]],Table1[[#This Row],[Actual Pos]]))</f>
        <v>0</v>
      </c>
      <c r="D90" t="b">
        <f>ISNUMBER(SEARCH(Table6[[#Headers],[SS]],Table1[[#This Row],[Actual Pos]]))</f>
        <v>0</v>
      </c>
      <c r="E90" t="b">
        <f>ISNUMBER(SEARCH(Table6[[#Headers],[3B]],Table1[[#This Row],[Actual Pos]]))</f>
        <v>0</v>
      </c>
      <c r="F90" t="b">
        <f>ISNUMBER(SEARCH(Table6[[#Headers],[OF]],Table1[[#This Row],[Actual Pos]]))</f>
        <v>1</v>
      </c>
    </row>
    <row r="91" spans="1:6" hidden="1" x14ac:dyDescent="0.25">
      <c r="A91" t="b">
        <f>ISNUMBER(SEARCH(Table6[[#Headers],[C]],Table1[[#This Row],[Actual Pos]]))</f>
        <v>0</v>
      </c>
      <c r="B91" t="b">
        <f>ISNUMBER(SEARCH(Table6[[#Headers],[1B]],Table1[[#This Row],[Actual Pos]]))</f>
        <v>0</v>
      </c>
      <c r="C91" t="b">
        <f>ISNUMBER(SEARCH(Table6[[#Headers],[2B]],Table1[[#This Row],[Actual Pos]]))</f>
        <v>0</v>
      </c>
      <c r="D91" t="b">
        <f>ISNUMBER(SEARCH(Table6[[#Headers],[SS]],Table1[[#This Row],[Actual Pos]]))</f>
        <v>1</v>
      </c>
      <c r="E91" t="b">
        <f>ISNUMBER(SEARCH(Table6[[#Headers],[3B]],Table1[[#This Row],[Actual Pos]]))</f>
        <v>0</v>
      </c>
      <c r="F91" t="b">
        <f>ISNUMBER(SEARCH(Table6[[#Headers],[OF]],Table1[[#This Row],[Actual Pos]]))</f>
        <v>0</v>
      </c>
    </row>
    <row r="92" spans="1:6" hidden="1" x14ac:dyDescent="0.25">
      <c r="A92" t="b">
        <f>ISNUMBER(SEARCH(Table6[[#Headers],[C]],Table1[[#This Row],[Actual Pos]]))</f>
        <v>0</v>
      </c>
      <c r="B92" t="b">
        <f>ISNUMBER(SEARCH(Table6[[#Headers],[1B]],Table1[[#This Row],[Actual Pos]]))</f>
        <v>1</v>
      </c>
      <c r="C92" t="b">
        <f>ISNUMBER(SEARCH(Table6[[#Headers],[2B]],Table1[[#This Row],[Actual Pos]]))</f>
        <v>0</v>
      </c>
      <c r="D92" t="b">
        <f>ISNUMBER(SEARCH(Table6[[#Headers],[SS]],Table1[[#This Row],[Actual Pos]]))</f>
        <v>0</v>
      </c>
      <c r="E92" t="b">
        <f>ISNUMBER(SEARCH(Table6[[#Headers],[3B]],Table1[[#This Row],[Actual Pos]]))</f>
        <v>0</v>
      </c>
      <c r="F92" t="b">
        <f>ISNUMBER(SEARCH(Table6[[#Headers],[OF]],Table1[[#This Row],[Actual Pos]]))</f>
        <v>0</v>
      </c>
    </row>
    <row r="93" spans="1:6" hidden="1" x14ac:dyDescent="0.25">
      <c r="A93" t="b">
        <f>ISNUMBER(SEARCH(Table6[[#Headers],[C]],Table1[[#This Row],[Actual Pos]]))</f>
        <v>0</v>
      </c>
      <c r="B93" t="b">
        <f>ISNUMBER(SEARCH(Table6[[#Headers],[1B]],Table1[[#This Row],[Actual Pos]]))</f>
        <v>0</v>
      </c>
      <c r="C93" t="b">
        <f>ISNUMBER(SEARCH(Table6[[#Headers],[2B]],Table1[[#This Row],[Actual Pos]]))</f>
        <v>1</v>
      </c>
      <c r="D93" t="b">
        <f>ISNUMBER(SEARCH(Table6[[#Headers],[SS]],Table1[[#This Row],[Actual Pos]]))</f>
        <v>0</v>
      </c>
      <c r="E93" t="b">
        <f>ISNUMBER(SEARCH(Table6[[#Headers],[3B]],Table1[[#This Row],[Actual Pos]]))</f>
        <v>0</v>
      </c>
      <c r="F93" t="b">
        <f>ISNUMBER(SEARCH(Table6[[#Headers],[OF]],Table1[[#This Row],[Actual Pos]]))</f>
        <v>0</v>
      </c>
    </row>
    <row r="94" spans="1:6" hidden="1" x14ac:dyDescent="0.25">
      <c r="A94" t="b">
        <f>ISNUMBER(SEARCH(Table6[[#Headers],[C]],Table1[[#This Row],[Actual Pos]]))</f>
        <v>0</v>
      </c>
      <c r="B94" t="b">
        <f>ISNUMBER(SEARCH(Table6[[#Headers],[1B]],Table1[[#This Row],[Actual Pos]]))</f>
        <v>1</v>
      </c>
      <c r="C94" t="b">
        <f>ISNUMBER(SEARCH(Table6[[#Headers],[2B]],Table1[[#This Row],[Actual Pos]]))</f>
        <v>0</v>
      </c>
      <c r="D94" t="b">
        <f>ISNUMBER(SEARCH(Table6[[#Headers],[SS]],Table1[[#This Row],[Actual Pos]]))</f>
        <v>0</v>
      </c>
      <c r="E94" t="b">
        <f>ISNUMBER(SEARCH(Table6[[#Headers],[3B]],Table1[[#This Row],[Actual Pos]]))</f>
        <v>0</v>
      </c>
      <c r="F94" t="b">
        <f>ISNUMBER(SEARCH(Table6[[#Headers],[OF]],Table1[[#This Row],[Actual Pos]]))</f>
        <v>0</v>
      </c>
    </row>
    <row r="95" spans="1:6" hidden="1" x14ac:dyDescent="0.25">
      <c r="A95" t="b">
        <f>ISNUMBER(SEARCH(Table6[[#Headers],[C]],Table1[[#This Row],[Actual Pos]]))</f>
        <v>1</v>
      </c>
      <c r="B95" t="b">
        <f>ISNUMBER(SEARCH(Table6[[#Headers],[1B]],Table1[[#This Row],[Actual Pos]]))</f>
        <v>0</v>
      </c>
      <c r="C95" t="b">
        <f>ISNUMBER(SEARCH(Table6[[#Headers],[2B]],Table1[[#This Row],[Actual Pos]]))</f>
        <v>0</v>
      </c>
      <c r="D95" t="b">
        <f>ISNUMBER(SEARCH(Table6[[#Headers],[SS]],Table1[[#This Row],[Actual Pos]]))</f>
        <v>0</v>
      </c>
      <c r="E95" t="b">
        <f>ISNUMBER(SEARCH(Table6[[#Headers],[3B]],Table1[[#This Row],[Actual Pos]]))</f>
        <v>0</v>
      </c>
      <c r="F95" t="b">
        <f>ISNUMBER(SEARCH(Table6[[#Headers],[OF]],Table1[[#This Row],[Actual Pos]]))</f>
        <v>0</v>
      </c>
    </row>
    <row r="96" spans="1:6" hidden="1" x14ac:dyDescent="0.25">
      <c r="A96" t="b">
        <f>ISNUMBER(SEARCH(Table6[[#Headers],[C]],Table1[[#This Row],[Actual Pos]]))</f>
        <v>0</v>
      </c>
      <c r="B96" t="b">
        <f>ISNUMBER(SEARCH(Table6[[#Headers],[1B]],Table1[[#This Row],[Actual Pos]]))</f>
        <v>0</v>
      </c>
      <c r="C96" t="b">
        <f>ISNUMBER(SEARCH(Table6[[#Headers],[2B]],Table1[[#This Row],[Actual Pos]]))</f>
        <v>0</v>
      </c>
      <c r="D96" t="b">
        <f>ISNUMBER(SEARCH(Table6[[#Headers],[SS]],Table1[[#This Row],[Actual Pos]]))</f>
        <v>0</v>
      </c>
      <c r="E96" t="b">
        <f>ISNUMBER(SEARCH(Table6[[#Headers],[3B]],Table1[[#This Row],[Actual Pos]]))</f>
        <v>0</v>
      </c>
      <c r="F96" t="b">
        <f>ISNUMBER(SEARCH(Table6[[#Headers],[OF]],Table1[[#This Row],[Actual Pos]]))</f>
        <v>1</v>
      </c>
    </row>
    <row r="97" spans="1:6" hidden="1" x14ac:dyDescent="0.25">
      <c r="A97" t="b">
        <f>ISNUMBER(SEARCH(Table6[[#Headers],[C]],Table1[[#This Row],[Actual Pos]]))</f>
        <v>0</v>
      </c>
      <c r="B97" t="b">
        <f>ISNUMBER(SEARCH(Table6[[#Headers],[1B]],Table1[[#This Row],[Actual Pos]]))</f>
        <v>0</v>
      </c>
      <c r="C97" t="b">
        <f>ISNUMBER(SEARCH(Table6[[#Headers],[2B]],Table1[[#This Row],[Actual Pos]]))</f>
        <v>0</v>
      </c>
      <c r="D97" t="b">
        <f>ISNUMBER(SEARCH(Table6[[#Headers],[SS]],Table1[[#This Row],[Actual Pos]]))</f>
        <v>1</v>
      </c>
      <c r="E97" t="b">
        <f>ISNUMBER(SEARCH(Table6[[#Headers],[3B]],Table1[[#This Row],[Actual Pos]]))</f>
        <v>0</v>
      </c>
      <c r="F97" t="b">
        <f>ISNUMBER(SEARCH(Table6[[#Headers],[OF]],Table1[[#This Row],[Actual Pos]]))</f>
        <v>0</v>
      </c>
    </row>
    <row r="98" spans="1:6" hidden="1" x14ac:dyDescent="0.25">
      <c r="A98" t="b">
        <f>ISNUMBER(SEARCH(Table6[[#Headers],[C]],Table1[[#This Row],[Actual Pos]]))</f>
        <v>0</v>
      </c>
      <c r="B98" t="b">
        <f>ISNUMBER(SEARCH(Table6[[#Headers],[1B]],Table1[[#This Row],[Actual Pos]]))</f>
        <v>0</v>
      </c>
      <c r="C98" t="b">
        <f>ISNUMBER(SEARCH(Table6[[#Headers],[2B]],Table1[[#This Row],[Actual Pos]]))</f>
        <v>0</v>
      </c>
      <c r="D98" t="b">
        <f>ISNUMBER(SEARCH(Table6[[#Headers],[SS]],Table1[[#This Row],[Actual Pos]]))</f>
        <v>0</v>
      </c>
      <c r="E98" t="b">
        <f>ISNUMBER(SEARCH(Table6[[#Headers],[3B]],Table1[[#This Row],[Actual Pos]]))</f>
        <v>0</v>
      </c>
      <c r="F98" t="b">
        <f>ISNUMBER(SEARCH(Table6[[#Headers],[OF]],Table1[[#This Row],[Actual Pos]]))</f>
        <v>1</v>
      </c>
    </row>
    <row r="99" spans="1:6" hidden="1" x14ac:dyDescent="0.25">
      <c r="A99" t="b">
        <f>ISNUMBER(SEARCH(Table6[[#Headers],[C]],Table1[[#This Row],[Actual Pos]]))</f>
        <v>0</v>
      </c>
      <c r="B99" t="b">
        <f>ISNUMBER(SEARCH(Table6[[#Headers],[1B]],Table1[[#This Row],[Actual Pos]]))</f>
        <v>0</v>
      </c>
      <c r="C99" t="b">
        <f>ISNUMBER(SEARCH(Table6[[#Headers],[2B]],Table1[[#This Row],[Actual Pos]]))</f>
        <v>1</v>
      </c>
      <c r="D99" t="b">
        <f>ISNUMBER(SEARCH(Table6[[#Headers],[SS]],Table1[[#This Row],[Actual Pos]]))</f>
        <v>0</v>
      </c>
      <c r="E99" t="b">
        <f>ISNUMBER(SEARCH(Table6[[#Headers],[3B]],Table1[[#This Row],[Actual Pos]]))</f>
        <v>0</v>
      </c>
      <c r="F99" t="b">
        <f>ISNUMBER(SEARCH(Table6[[#Headers],[OF]],Table1[[#This Row],[Actual Pos]]))</f>
        <v>0</v>
      </c>
    </row>
    <row r="100" spans="1:6" hidden="1" x14ac:dyDescent="0.25">
      <c r="A100" t="b">
        <f>ISNUMBER(SEARCH(Table6[[#Headers],[C]],Table1[[#This Row],[Actual Pos]]))</f>
        <v>1</v>
      </c>
      <c r="B100" t="b">
        <f>ISNUMBER(SEARCH(Table6[[#Headers],[1B]],Table1[[#This Row],[Actual Pos]]))</f>
        <v>0</v>
      </c>
      <c r="C100" t="b">
        <f>ISNUMBER(SEARCH(Table6[[#Headers],[2B]],Table1[[#This Row],[Actual Pos]]))</f>
        <v>0</v>
      </c>
      <c r="D100" t="b">
        <f>ISNUMBER(SEARCH(Table6[[#Headers],[SS]],Table1[[#This Row],[Actual Pos]]))</f>
        <v>0</v>
      </c>
      <c r="E100" t="b">
        <f>ISNUMBER(SEARCH(Table6[[#Headers],[3B]],Table1[[#This Row],[Actual Pos]]))</f>
        <v>0</v>
      </c>
      <c r="F100" t="b">
        <f>ISNUMBER(SEARCH(Table6[[#Headers],[OF]],Table1[[#This Row],[Actual Pos]]))</f>
        <v>0</v>
      </c>
    </row>
    <row r="101" spans="1:6" hidden="1" x14ac:dyDescent="0.25">
      <c r="A101" t="b">
        <f>ISNUMBER(SEARCH(Table6[[#Headers],[C]],Table1[[#This Row],[Actual Pos]]))</f>
        <v>1</v>
      </c>
      <c r="B101" t="b">
        <f>ISNUMBER(SEARCH(Table6[[#Headers],[1B]],Table1[[#This Row],[Actual Pos]]))</f>
        <v>0</v>
      </c>
      <c r="C101" t="b">
        <f>ISNUMBER(SEARCH(Table6[[#Headers],[2B]],Table1[[#This Row],[Actual Pos]]))</f>
        <v>0</v>
      </c>
      <c r="D101" t="b">
        <f>ISNUMBER(SEARCH(Table6[[#Headers],[SS]],Table1[[#This Row],[Actual Pos]]))</f>
        <v>0</v>
      </c>
      <c r="E101" t="b">
        <f>ISNUMBER(SEARCH(Table6[[#Headers],[3B]],Table1[[#This Row],[Actual Pos]]))</f>
        <v>0</v>
      </c>
      <c r="F101" t="b">
        <f>ISNUMBER(SEARCH(Table6[[#Headers],[OF]],Table1[[#This Row],[Actual Pos]]))</f>
        <v>0</v>
      </c>
    </row>
    <row r="102" spans="1:6" hidden="1" x14ac:dyDescent="0.25">
      <c r="A102" t="b">
        <f>ISNUMBER(SEARCH(Table6[[#Headers],[C]],Table1[[#This Row],[Actual Pos]]))</f>
        <v>0</v>
      </c>
      <c r="B102" t="b">
        <f>ISNUMBER(SEARCH(Table6[[#Headers],[1B]],Table1[[#This Row],[Actual Pos]]))</f>
        <v>0</v>
      </c>
      <c r="C102" t="b">
        <f>ISNUMBER(SEARCH(Table6[[#Headers],[2B]],Table1[[#This Row],[Actual Pos]]))</f>
        <v>0</v>
      </c>
      <c r="D102" t="b">
        <f>ISNUMBER(SEARCH(Table6[[#Headers],[SS]],Table1[[#This Row],[Actual Pos]]))</f>
        <v>0</v>
      </c>
      <c r="E102" t="b">
        <f>ISNUMBER(SEARCH(Table6[[#Headers],[3B]],Table1[[#This Row],[Actual Pos]]))</f>
        <v>0</v>
      </c>
      <c r="F102" t="b">
        <f>ISNUMBER(SEARCH(Table6[[#Headers],[OF]],Table1[[#This Row],[Actual Pos]]))</f>
        <v>1</v>
      </c>
    </row>
    <row r="103" spans="1:6" hidden="1" x14ac:dyDescent="0.25">
      <c r="A103" t="b">
        <f>ISNUMBER(SEARCH(Table6[[#Headers],[C]],Table1[[#This Row],[Actual Pos]]))</f>
        <v>0</v>
      </c>
      <c r="B103" t="b">
        <f>ISNUMBER(SEARCH(Table6[[#Headers],[1B]],Table1[[#This Row],[Actual Pos]]))</f>
        <v>0</v>
      </c>
      <c r="C103" t="b">
        <f>ISNUMBER(SEARCH(Table6[[#Headers],[2B]],Table1[[#This Row],[Actual Pos]]))</f>
        <v>0</v>
      </c>
      <c r="D103" t="b">
        <f>ISNUMBER(SEARCH(Table6[[#Headers],[SS]],Table1[[#This Row],[Actual Pos]]))</f>
        <v>1</v>
      </c>
      <c r="E103" t="b">
        <f>ISNUMBER(SEARCH(Table6[[#Headers],[3B]],Table1[[#This Row],[Actual Pos]]))</f>
        <v>0</v>
      </c>
      <c r="F103" t="b">
        <f>ISNUMBER(SEARCH(Table6[[#Headers],[OF]],Table1[[#This Row],[Actual Pos]]))</f>
        <v>0</v>
      </c>
    </row>
    <row r="104" spans="1:6" hidden="1" x14ac:dyDescent="0.25">
      <c r="A104" t="b">
        <f>ISNUMBER(SEARCH(Table6[[#Headers],[C]],Table1[[#This Row],[Actual Pos]]))</f>
        <v>0</v>
      </c>
      <c r="B104" t="b">
        <f>ISNUMBER(SEARCH(Table6[[#Headers],[1B]],Table1[[#This Row],[Actual Pos]]))</f>
        <v>0</v>
      </c>
      <c r="C104" t="b">
        <f>ISNUMBER(SEARCH(Table6[[#Headers],[2B]],Table1[[#This Row],[Actual Pos]]))</f>
        <v>0</v>
      </c>
      <c r="D104" t="b">
        <f>ISNUMBER(SEARCH(Table6[[#Headers],[SS]],Table1[[#This Row],[Actual Pos]]))</f>
        <v>1</v>
      </c>
      <c r="E104" t="b">
        <f>ISNUMBER(SEARCH(Table6[[#Headers],[3B]],Table1[[#This Row],[Actual Pos]]))</f>
        <v>0</v>
      </c>
      <c r="F104" t="b">
        <f>ISNUMBER(SEARCH(Table6[[#Headers],[OF]],Table1[[#This Row],[Actual Pos]]))</f>
        <v>0</v>
      </c>
    </row>
    <row r="105" spans="1:6" hidden="1" x14ac:dyDescent="0.25">
      <c r="A105" t="b">
        <f>ISNUMBER(SEARCH(Table6[[#Headers],[C]],Table1[[#This Row],[Actual Pos]]))</f>
        <v>0</v>
      </c>
      <c r="B105" t="b">
        <f>ISNUMBER(SEARCH(Table6[[#Headers],[1B]],Table1[[#This Row],[Actual Pos]]))</f>
        <v>1</v>
      </c>
      <c r="C105" t="b">
        <f>ISNUMBER(SEARCH(Table6[[#Headers],[2B]],Table1[[#This Row],[Actual Pos]]))</f>
        <v>0</v>
      </c>
      <c r="D105" t="b">
        <f>ISNUMBER(SEARCH(Table6[[#Headers],[SS]],Table1[[#This Row],[Actual Pos]]))</f>
        <v>0</v>
      </c>
      <c r="E105" t="b">
        <f>ISNUMBER(SEARCH(Table6[[#Headers],[3B]],Table1[[#This Row],[Actual Pos]]))</f>
        <v>0</v>
      </c>
      <c r="F105" t="b">
        <f>ISNUMBER(SEARCH(Table6[[#Headers],[OF]],Table1[[#This Row],[Actual Pos]]))</f>
        <v>0</v>
      </c>
    </row>
    <row r="106" spans="1:6" hidden="1" x14ac:dyDescent="0.25">
      <c r="A106" t="b">
        <f>ISNUMBER(SEARCH(Table6[[#Headers],[C]],Table1[[#This Row],[Actual Pos]]))</f>
        <v>0</v>
      </c>
      <c r="B106" t="b">
        <f>ISNUMBER(SEARCH(Table6[[#Headers],[1B]],Table1[[#This Row],[Actual Pos]]))</f>
        <v>0</v>
      </c>
      <c r="C106" t="b">
        <f>ISNUMBER(SEARCH(Table6[[#Headers],[2B]],Table1[[#This Row],[Actual Pos]]))</f>
        <v>0</v>
      </c>
      <c r="D106" t="b">
        <f>ISNUMBER(SEARCH(Table6[[#Headers],[SS]],Table1[[#This Row],[Actual Pos]]))</f>
        <v>0</v>
      </c>
      <c r="E106" t="b">
        <f>ISNUMBER(SEARCH(Table6[[#Headers],[3B]],Table1[[#This Row],[Actual Pos]]))</f>
        <v>0</v>
      </c>
      <c r="F106" t="b">
        <f>ISNUMBER(SEARCH(Table6[[#Headers],[OF]],Table1[[#This Row],[Actual Pos]]))</f>
        <v>1</v>
      </c>
    </row>
    <row r="107" spans="1:6" hidden="1" x14ac:dyDescent="0.25">
      <c r="A107" t="b">
        <f>ISNUMBER(SEARCH(Table6[[#Headers],[C]],Table1[[#This Row],[Actual Pos]]))</f>
        <v>0</v>
      </c>
      <c r="B107" t="b">
        <f>ISNUMBER(SEARCH(Table6[[#Headers],[1B]],Table1[[#This Row],[Actual Pos]]))</f>
        <v>0</v>
      </c>
      <c r="C107" t="b">
        <f>ISNUMBER(SEARCH(Table6[[#Headers],[2B]],Table1[[#This Row],[Actual Pos]]))</f>
        <v>1</v>
      </c>
      <c r="D107" t="b">
        <f>ISNUMBER(SEARCH(Table6[[#Headers],[SS]],Table1[[#This Row],[Actual Pos]]))</f>
        <v>0</v>
      </c>
      <c r="E107" t="b">
        <f>ISNUMBER(SEARCH(Table6[[#Headers],[3B]],Table1[[#This Row],[Actual Pos]]))</f>
        <v>0</v>
      </c>
      <c r="F107" t="b">
        <f>ISNUMBER(SEARCH(Table6[[#Headers],[OF]],Table1[[#This Row],[Actual Pos]]))</f>
        <v>0</v>
      </c>
    </row>
    <row r="108" spans="1:6" hidden="1" x14ac:dyDescent="0.25">
      <c r="A108" t="b">
        <f>ISNUMBER(SEARCH(Table6[[#Headers],[C]],Table1[[#This Row],[Actual Pos]]))</f>
        <v>0</v>
      </c>
      <c r="B108" t="b">
        <f>ISNUMBER(SEARCH(Table6[[#Headers],[1B]],Table1[[#This Row],[Actual Pos]]))</f>
        <v>0</v>
      </c>
      <c r="C108" t="b">
        <f>ISNUMBER(SEARCH(Table6[[#Headers],[2B]],Table1[[#This Row],[Actual Pos]]))</f>
        <v>0</v>
      </c>
      <c r="D108" t="b">
        <f>ISNUMBER(SEARCH(Table6[[#Headers],[SS]],Table1[[#This Row],[Actual Pos]]))</f>
        <v>0</v>
      </c>
      <c r="E108" t="b">
        <f>ISNUMBER(SEARCH(Table6[[#Headers],[3B]],Table1[[#This Row],[Actual Pos]]))</f>
        <v>1</v>
      </c>
      <c r="F108" t="b">
        <f>ISNUMBER(SEARCH(Table6[[#Headers],[OF]],Table1[[#This Row],[Actual Pos]]))</f>
        <v>0</v>
      </c>
    </row>
    <row r="109" spans="1:6" hidden="1" x14ac:dyDescent="0.25">
      <c r="A109" t="b">
        <f>ISNUMBER(SEARCH(Table6[[#Headers],[C]],Table1[[#This Row],[Actual Pos]]))</f>
        <v>0</v>
      </c>
      <c r="B109" t="b">
        <f>ISNUMBER(SEARCH(Table6[[#Headers],[1B]],Table1[[#This Row],[Actual Pos]]))</f>
        <v>0</v>
      </c>
      <c r="C109" t="b">
        <f>ISNUMBER(SEARCH(Table6[[#Headers],[2B]],Table1[[#This Row],[Actual Pos]]))</f>
        <v>0</v>
      </c>
      <c r="D109" t="b">
        <f>ISNUMBER(SEARCH(Table6[[#Headers],[SS]],Table1[[#This Row],[Actual Pos]]))</f>
        <v>0</v>
      </c>
      <c r="E109" t="b">
        <f>ISNUMBER(SEARCH(Table6[[#Headers],[3B]],Table1[[#This Row],[Actual Pos]]))</f>
        <v>0</v>
      </c>
      <c r="F109" t="b">
        <f>ISNUMBER(SEARCH(Table6[[#Headers],[OF]],Table1[[#This Row],[Actual Pos]]))</f>
        <v>1</v>
      </c>
    </row>
    <row r="110" spans="1:6" hidden="1" x14ac:dyDescent="0.25">
      <c r="A110" t="b">
        <f>ISNUMBER(SEARCH(Table6[[#Headers],[C]],Table1[[#This Row],[Actual Pos]]))</f>
        <v>0</v>
      </c>
      <c r="B110" t="b">
        <f>ISNUMBER(SEARCH(Table6[[#Headers],[1B]],Table1[[#This Row],[Actual Pos]]))</f>
        <v>0</v>
      </c>
      <c r="C110" t="b">
        <f>ISNUMBER(SEARCH(Table6[[#Headers],[2B]],Table1[[#This Row],[Actual Pos]]))</f>
        <v>0</v>
      </c>
      <c r="D110" t="b">
        <f>ISNUMBER(SEARCH(Table6[[#Headers],[SS]],Table1[[#This Row],[Actual Pos]]))</f>
        <v>1</v>
      </c>
      <c r="E110" t="b">
        <f>ISNUMBER(SEARCH(Table6[[#Headers],[3B]],Table1[[#This Row],[Actual Pos]]))</f>
        <v>0</v>
      </c>
      <c r="F110" t="b">
        <f>ISNUMBER(SEARCH(Table6[[#Headers],[OF]],Table1[[#This Row],[Actual Pos]]))</f>
        <v>0</v>
      </c>
    </row>
    <row r="111" spans="1:6" hidden="1" x14ac:dyDescent="0.25">
      <c r="A111" t="b">
        <f>ISNUMBER(SEARCH(Table6[[#Headers],[C]],Table1[[#This Row],[Actual Pos]]))</f>
        <v>0</v>
      </c>
      <c r="B111" t="b">
        <f>ISNUMBER(SEARCH(Table6[[#Headers],[1B]],Table1[[#This Row],[Actual Pos]]))</f>
        <v>1</v>
      </c>
      <c r="C111" t="b">
        <f>ISNUMBER(SEARCH(Table6[[#Headers],[2B]],Table1[[#This Row],[Actual Pos]]))</f>
        <v>0</v>
      </c>
      <c r="D111" t="b">
        <f>ISNUMBER(SEARCH(Table6[[#Headers],[SS]],Table1[[#This Row],[Actual Pos]]))</f>
        <v>0</v>
      </c>
      <c r="E111" t="b">
        <f>ISNUMBER(SEARCH(Table6[[#Headers],[3B]],Table1[[#This Row],[Actual Pos]]))</f>
        <v>0</v>
      </c>
      <c r="F111" t="b">
        <f>ISNUMBER(SEARCH(Table6[[#Headers],[OF]],Table1[[#This Row],[Actual Pos]]))</f>
        <v>0</v>
      </c>
    </row>
    <row r="112" spans="1:6" hidden="1" x14ac:dyDescent="0.25">
      <c r="A112" t="b">
        <f>ISNUMBER(SEARCH(Table6[[#Headers],[C]],Table1[[#This Row],[Actual Pos]]))</f>
        <v>0</v>
      </c>
      <c r="B112" t="b">
        <f>ISNUMBER(SEARCH(Table6[[#Headers],[1B]],Table1[[#This Row],[Actual Pos]]))</f>
        <v>0</v>
      </c>
      <c r="C112" t="b">
        <f>ISNUMBER(SEARCH(Table6[[#Headers],[2B]],Table1[[#This Row],[Actual Pos]]))</f>
        <v>1</v>
      </c>
      <c r="D112" t="b">
        <f>ISNUMBER(SEARCH(Table6[[#Headers],[SS]],Table1[[#This Row],[Actual Pos]]))</f>
        <v>0</v>
      </c>
      <c r="E112" t="b">
        <f>ISNUMBER(SEARCH(Table6[[#Headers],[3B]],Table1[[#This Row],[Actual Pos]]))</f>
        <v>0</v>
      </c>
      <c r="F112" t="b">
        <f>ISNUMBER(SEARCH(Table6[[#Headers],[OF]],Table1[[#This Row],[Actual Pos]]))</f>
        <v>0</v>
      </c>
    </row>
    <row r="113" spans="1:6" hidden="1" x14ac:dyDescent="0.25">
      <c r="A113" t="b">
        <f>ISNUMBER(SEARCH(Table6[[#Headers],[C]],Table1[[#This Row],[Actual Pos]]))</f>
        <v>0</v>
      </c>
      <c r="B113" t="b">
        <f>ISNUMBER(SEARCH(Table6[[#Headers],[1B]],Table1[[#This Row],[Actual Pos]]))</f>
        <v>0</v>
      </c>
      <c r="C113" t="b">
        <f>ISNUMBER(SEARCH(Table6[[#Headers],[2B]],Table1[[#This Row],[Actual Pos]]))</f>
        <v>0</v>
      </c>
      <c r="D113" t="b">
        <f>ISNUMBER(SEARCH(Table6[[#Headers],[SS]],Table1[[#This Row],[Actual Pos]]))</f>
        <v>1</v>
      </c>
      <c r="E113" t="b">
        <f>ISNUMBER(SEARCH(Table6[[#Headers],[3B]],Table1[[#This Row],[Actual Pos]]))</f>
        <v>0</v>
      </c>
      <c r="F113" t="b">
        <f>ISNUMBER(SEARCH(Table6[[#Headers],[OF]],Table1[[#This Row],[Actual Pos]]))</f>
        <v>0</v>
      </c>
    </row>
    <row r="114" spans="1:6" hidden="1" x14ac:dyDescent="0.25">
      <c r="A114" t="b">
        <f>ISNUMBER(SEARCH(Table6[[#Headers],[C]],Table1[[#This Row],[Actual Pos]]))</f>
        <v>0</v>
      </c>
      <c r="B114" t="b">
        <f>ISNUMBER(SEARCH(Table6[[#Headers],[1B]],Table1[[#This Row],[Actual Pos]]))</f>
        <v>0</v>
      </c>
      <c r="C114" t="b">
        <f>ISNUMBER(SEARCH(Table6[[#Headers],[2B]],Table1[[#This Row],[Actual Pos]]))</f>
        <v>1</v>
      </c>
      <c r="D114" t="b">
        <f>ISNUMBER(SEARCH(Table6[[#Headers],[SS]],Table1[[#This Row],[Actual Pos]]))</f>
        <v>0</v>
      </c>
      <c r="E114" t="b">
        <f>ISNUMBER(SEARCH(Table6[[#Headers],[3B]],Table1[[#This Row],[Actual Pos]]))</f>
        <v>0</v>
      </c>
      <c r="F114" t="b">
        <f>ISNUMBER(SEARCH(Table6[[#Headers],[OF]],Table1[[#This Row],[Actual Pos]]))</f>
        <v>0</v>
      </c>
    </row>
    <row r="115" spans="1:6" hidden="1" x14ac:dyDescent="0.25">
      <c r="A115" t="b">
        <f>ISNUMBER(SEARCH(Table6[[#Headers],[C]],Table1[[#This Row],[Actual Pos]]))</f>
        <v>0</v>
      </c>
      <c r="B115" t="b">
        <f>ISNUMBER(SEARCH(Table6[[#Headers],[1B]],Table1[[#This Row],[Actual Pos]]))</f>
        <v>0</v>
      </c>
      <c r="C115" t="b">
        <f>ISNUMBER(SEARCH(Table6[[#Headers],[2B]],Table1[[#This Row],[Actual Pos]]))</f>
        <v>0</v>
      </c>
      <c r="D115" t="b">
        <f>ISNUMBER(SEARCH(Table6[[#Headers],[SS]],Table1[[#This Row],[Actual Pos]]))</f>
        <v>0</v>
      </c>
      <c r="E115" t="b">
        <f>ISNUMBER(SEARCH(Table6[[#Headers],[3B]],Table1[[#This Row],[Actual Pos]]))</f>
        <v>0</v>
      </c>
      <c r="F115" t="b">
        <f>ISNUMBER(SEARCH(Table6[[#Headers],[OF]],Table1[[#This Row],[Actual Pos]]))</f>
        <v>1</v>
      </c>
    </row>
    <row r="116" spans="1:6" hidden="1" x14ac:dyDescent="0.25">
      <c r="A116" t="b">
        <f>ISNUMBER(SEARCH(Table6[[#Headers],[C]],Table1[[#This Row],[Actual Pos]]))</f>
        <v>0</v>
      </c>
      <c r="B116" t="b">
        <f>ISNUMBER(SEARCH(Table6[[#Headers],[1B]],Table1[[#This Row],[Actual Pos]]))</f>
        <v>1</v>
      </c>
      <c r="C116" t="b">
        <f>ISNUMBER(SEARCH(Table6[[#Headers],[2B]],Table1[[#This Row],[Actual Pos]]))</f>
        <v>0</v>
      </c>
      <c r="D116" t="b">
        <f>ISNUMBER(SEARCH(Table6[[#Headers],[SS]],Table1[[#This Row],[Actual Pos]]))</f>
        <v>0</v>
      </c>
      <c r="E116" t="b">
        <f>ISNUMBER(SEARCH(Table6[[#Headers],[3B]],Table1[[#This Row],[Actual Pos]]))</f>
        <v>0</v>
      </c>
      <c r="F116" t="b">
        <f>ISNUMBER(SEARCH(Table6[[#Headers],[OF]],Table1[[#This Row],[Actual Pos]]))</f>
        <v>0</v>
      </c>
    </row>
    <row r="117" spans="1:6" hidden="1" x14ac:dyDescent="0.25">
      <c r="A117" t="b">
        <f>ISNUMBER(SEARCH(Table6[[#Headers],[C]],Table1[[#This Row],[Actual Pos]]))</f>
        <v>0</v>
      </c>
      <c r="B117" t="b">
        <f>ISNUMBER(SEARCH(Table6[[#Headers],[1B]],Table1[[#This Row],[Actual Pos]]))</f>
        <v>0</v>
      </c>
      <c r="C117" t="b">
        <f>ISNUMBER(SEARCH(Table6[[#Headers],[2B]],Table1[[#This Row],[Actual Pos]]))</f>
        <v>0</v>
      </c>
      <c r="D117" t="b">
        <f>ISNUMBER(SEARCH(Table6[[#Headers],[SS]],Table1[[#This Row],[Actual Pos]]))</f>
        <v>0</v>
      </c>
      <c r="E117" t="b">
        <f>ISNUMBER(SEARCH(Table6[[#Headers],[3B]],Table1[[#This Row],[Actual Pos]]))</f>
        <v>0</v>
      </c>
      <c r="F117" t="b">
        <f>ISNUMBER(SEARCH(Table6[[#Headers],[OF]],Table1[[#This Row],[Actual Pos]]))</f>
        <v>1</v>
      </c>
    </row>
    <row r="118" spans="1:6" hidden="1" x14ac:dyDescent="0.25">
      <c r="A118" t="b">
        <f>ISNUMBER(SEARCH(Table6[[#Headers],[C]],Table1[[#This Row],[Actual Pos]]))</f>
        <v>0</v>
      </c>
      <c r="B118" t="b">
        <f>ISNUMBER(SEARCH(Table6[[#Headers],[1B]],Table1[[#This Row],[Actual Pos]]))</f>
        <v>0</v>
      </c>
      <c r="C118" t="b">
        <f>ISNUMBER(SEARCH(Table6[[#Headers],[2B]],Table1[[#This Row],[Actual Pos]]))</f>
        <v>0</v>
      </c>
      <c r="D118" t="b">
        <f>ISNUMBER(SEARCH(Table6[[#Headers],[SS]],Table1[[#This Row],[Actual Pos]]))</f>
        <v>1</v>
      </c>
      <c r="E118" t="b">
        <f>ISNUMBER(SEARCH(Table6[[#Headers],[3B]],Table1[[#This Row],[Actual Pos]]))</f>
        <v>0</v>
      </c>
      <c r="F118" t="b">
        <f>ISNUMBER(SEARCH(Table6[[#Headers],[OF]],Table1[[#This Row],[Actual Pos]]))</f>
        <v>0</v>
      </c>
    </row>
    <row r="119" spans="1:6" hidden="1" x14ac:dyDescent="0.25">
      <c r="A119" t="b">
        <f>ISNUMBER(SEARCH(Table6[[#Headers],[C]],Table1[[#This Row],[Actual Pos]]))</f>
        <v>0</v>
      </c>
      <c r="B119" t="b">
        <f>ISNUMBER(SEARCH(Table6[[#Headers],[1B]],Table1[[#This Row],[Actual Pos]]))</f>
        <v>0</v>
      </c>
      <c r="C119" t="b">
        <f>ISNUMBER(SEARCH(Table6[[#Headers],[2B]],Table1[[#This Row],[Actual Pos]]))</f>
        <v>0</v>
      </c>
      <c r="D119" t="b">
        <f>ISNUMBER(SEARCH(Table6[[#Headers],[SS]],Table1[[#This Row],[Actual Pos]]))</f>
        <v>0</v>
      </c>
      <c r="E119" t="b">
        <f>ISNUMBER(SEARCH(Table6[[#Headers],[3B]],Table1[[#This Row],[Actual Pos]]))</f>
        <v>0</v>
      </c>
      <c r="F119" t="b">
        <f>ISNUMBER(SEARCH(Table6[[#Headers],[OF]],Table1[[#This Row],[Actual Pos]]))</f>
        <v>1</v>
      </c>
    </row>
    <row r="120" spans="1:6" hidden="1" x14ac:dyDescent="0.25">
      <c r="A120" t="b">
        <f>ISNUMBER(SEARCH(Table6[[#Headers],[C]],Table1[[#This Row],[Actual Pos]]))</f>
        <v>1</v>
      </c>
      <c r="B120" t="b">
        <f>ISNUMBER(SEARCH(Table6[[#Headers],[1B]],Table1[[#This Row],[Actual Pos]]))</f>
        <v>0</v>
      </c>
      <c r="C120" t="b">
        <f>ISNUMBER(SEARCH(Table6[[#Headers],[2B]],Table1[[#This Row],[Actual Pos]]))</f>
        <v>0</v>
      </c>
      <c r="D120" t="b">
        <f>ISNUMBER(SEARCH(Table6[[#Headers],[SS]],Table1[[#This Row],[Actual Pos]]))</f>
        <v>0</v>
      </c>
      <c r="E120" t="b">
        <f>ISNUMBER(SEARCH(Table6[[#Headers],[3B]],Table1[[#This Row],[Actual Pos]]))</f>
        <v>0</v>
      </c>
      <c r="F120" t="b">
        <f>ISNUMBER(SEARCH(Table6[[#Headers],[OF]],Table1[[#This Row],[Actual Pos]]))</f>
        <v>0</v>
      </c>
    </row>
    <row r="121" spans="1:6" hidden="1" x14ac:dyDescent="0.25">
      <c r="A121" t="b">
        <f>ISNUMBER(SEARCH(Table6[[#Headers],[C]],Table1[[#This Row],[Actual Pos]]))</f>
        <v>0</v>
      </c>
      <c r="B121" t="b">
        <f>ISNUMBER(SEARCH(Table6[[#Headers],[1B]],Table1[[#This Row],[Actual Pos]]))</f>
        <v>0</v>
      </c>
      <c r="C121" t="b">
        <f>ISNUMBER(SEARCH(Table6[[#Headers],[2B]],Table1[[#This Row],[Actual Pos]]))</f>
        <v>0</v>
      </c>
      <c r="D121" t="b">
        <f>ISNUMBER(SEARCH(Table6[[#Headers],[SS]],Table1[[#This Row],[Actual Pos]]))</f>
        <v>1</v>
      </c>
      <c r="E121" t="b">
        <f>ISNUMBER(SEARCH(Table6[[#Headers],[3B]],Table1[[#This Row],[Actual Pos]]))</f>
        <v>0</v>
      </c>
      <c r="F121" t="b">
        <f>ISNUMBER(SEARCH(Table6[[#Headers],[OF]],Table1[[#This Row],[Actual Pos]]))</f>
        <v>0</v>
      </c>
    </row>
    <row r="122" spans="1:6" hidden="1" x14ac:dyDescent="0.25">
      <c r="A122" t="b">
        <f>ISNUMBER(SEARCH(Table6[[#Headers],[C]],Table1[[#This Row],[Actual Pos]]))</f>
        <v>1</v>
      </c>
      <c r="B122" t="b">
        <f>ISNUMBER(SEARCH(Table6[[#Headers],[1B]],Table1[[#This Row],[Actual Pos]]))</f>
        <v>0</v>
      </c>
      <c r="C122" t="b">
        <f>ISNUMBER(SEARCH(Table6[[#Headers],[2B]],Table1[[#This Row],[Actual Pos]]))</f>
        <v>0</v>
      </c>
      <c r="D122" t="b">
        <f>ISNUMBER(SEARCH(Table6[[#Headers],[SS]],Table1[[#This Row],[Actual Pos]]))</f>
        <v>0</v>
      </c>
      <c r="E122" t="b">
        <f>ISNUMBER(SEARCH(Table6[[#Headers],[3B]],Table1[[#This Row],[Actual Pos]]))</f>
        <v>0</v>
      </c>
      <c r="F122" t="b">
        <f>ISNUMBER(SEARCH(Table6[[#Headers],[OF]],Table1[[#This Row],[Actual Pos]]))</f>
        <v>0</v>
      </c>
    </row>
    <row r="123" spans="1:6" hidden="1" x14ac:dyDescent="0.25">
      <c r="A123" t="b">
        <f>ISNUMBER(SEARCH(Table6[[#Headers],[C]],Table1[[#This Row],[Actual Pos]]))</f>
        <v>0</v>
      </c>
      <c r="B123" t="b">
        <f>ISNUMBER(SEARCH(Table6[[#Headers],[1B]],Table1[[#This Row],[Actual Pos]]))</f>
        <v>0</v>
      </c>
      <c r="C123" t="b">
        <f>ISNUMBER(SEARCH(Table6[[#Headers],[2B]],Table1[[#This Row],[Actual Pos]]))</f>
        <v>0</v>
      </c>
      <c r="D123" t="b">
        <f>ISNUMBER(SEARCH(Table6[[#Headers],[SS]],Table1[[#This Row],[Actual Pos]]))</f>
        <v>0</v>
      </c>
      <c r="E123" t="b">
        <f>ISNUMBER(SEARCH(Table6[[#Headers],[3B]],Table1[[#This Row],[Actual Pos]]))</f>
        <v>0</v>
      </c>
      <c r="F123" t="b">
        <f>ISNUMBER(SEARCH(Table6[[#Headers],[OF]],Table1[[#This Row],[Actual Pos]]))</f>
        <v>1</v>
      </c>
    </row>
    <row r="124" spans="1:6" hidden="1" x14ac:dyDescent="0.25">
      <c r="A124" t="b">
        <f>ISNUMBER(SEARCH(Table6[[#Headers],[C]],Table1[[#This Row],[Actual Pos]]))</f>
        <v>0</v>
      </c>
      <c r="B124" t="b">
        <f>ISNUMBER(SEARCH(Table6[[#Headers],[1B]],Table1[[#This Row],[Actual Pos]]))</f>
        <v>0</v>
      </c>
      <c r="C124" t="b">
        <f>ISNUMBER(SEARCH(Table6[[#Headers],[2B]],Table1[[#This Row],[Actual Pos]]))</f>
        <v>0</v>
      </c>
      <c r="D124" t="b">
        <f>ISNUMBER(SEARCH(Table6[[#Headers],[SS]],Table1[[#This Row],[Actual Pos]]))</f>
        <v>1</v>
      </c>
      <c r="E124" t="b">
        <f>ISNUMBER(SEARCH(Table6[[#Headers],[3B]],Table1[[#This Row],[Actual Pos]]))</f>
        <v>0</v>
      </c>
      <c r="F124" t="b">
        <f>ISNUMBER(SEARCH(Table6[[#Headers],[OF]],Table1[[#This Row],[Actual Pos]]))</f>
        <v>0</v>
      </c>
    </row>
    <row r="125" spans="1:6" hidden="1" x14ac:dyDescent="0.25">
      <c r="A125" t="b">
        <f>ISNUMBER(SEARCH(Table6[[#Headers],[C]],Table1[[#This Row],[Actual Pos]]))</f>
        <v>0</v>
      </c>
      <c r="B125" t="b">
        <f>ISNUMBER(SEARCH(Table6[[#Headers],[1B]],Table1[[#This Row],[Actual Pos]]))</f>
        <v>0</v>
      </c>
      <c r="C125" t="b">
        <f>ISNUMBER(SEARCH(Table6[[#Headers],[2B]],Table1[[#This Row],[Actual Pos]]))</f>
        <v>0</v>
      </c>
      <c r="D125" t="b">
        <f>ISNUMBER(SEARCH(Table6[[#Headers],[SS]],Table1[[#This Row],[Actual Pos]]))</f>
        <v>1</v>
      </c>
      <c r="E125" t="b">
        <f>ISNUMBER(SEARCH(Table6[[#Headers],[3B]],Table1[[#This Row],[Actual Pos]]))</f>
        <v>0</v>
      </c>
      <c r="F125" t="b">
        <f>ISNUMBER(SEARCH(Table6[[#Headers],[OF]],Table1[[#This Row],[Actual Pos]]))</f>
        <v>0</v>
      </c>
    </row>
    <row r="126" spans="1:6" hidden="1" x14ac:dyDescent="0.25">
      <c r="A126" t="b">
        <f>ISNUMBER(SEARCH(Table6[[#Headers],[C]],Table1[[#This Row],[Actual Pos]]))</f>
        <v>0</v>
      </c>
      <c r="B126" t="b">
        <f>ISNUMBER(SEARCH(Table6[[#Headers],[1B]],Table1[[#This Row],[Actual Pos]]))</f>
        <v>0</v>
      </c>
      <c r="C126" t="b">
        <f>ISNUMBER(SEARCH(Table6[[#Headers],[2B]],Table1[[#This Row],[Actual Pos]]))</f>
        <v>0</v>
      </c>
      <c r="D126" t="b">
        <f>ISNUMBER(SEARCH(Table6[[#Headers],[SS]],Table1[[#This Row],[Actual Pos]]))</f>
        <v>0</v>
      </c>
      <c r="E126" t="b">
        <f>ISNUMBER(SEARCH(Table6[[#Headers],[3B]],Table1[[#This Row],[Actual Pos]]))</f>
        <v>1</v>
      </c>
      <c r="F126" t="b">
        <f>ISNUMBER(SEARCH(Table6[[#Headers],[OF]],Table1[[#This Row],[Actual Pos]]))</f>
        <v>0</v>
      </c>
    </row>
    <row r="127" spans="1:6" hidden="1" x14ac:dyDescent="0.25">
      <c r="A127" t="b">
        <f>ISNUMBER(SEARCH(Table6[[#Headers],[C]],Table1[[#This Row],[Actual Pos]]))</f>
        <v>0</v>
      </c>
      <c r="B127" t="b">
        <f>ISNUMBER(SEARCH(Table6[[#Headers],[1B]],Table1[[#This Row],[Actual Pos]]))</f>
        <v>0</v>
      </c>
      <c r="C127" t="b">
        <f>ISNUMBER(SEARCH(Table6[[#Headers],[2B]],Table1[[#This Row],[Actual Pos]]))</f>
        <v>0</v>
      </c>
      <c r="D127" t="b">
        <f>ISNUMBER(SEARCH(Table6[[#Headers],[SS]],Table1[[#This Row],[Actual Pos]]))</f>
        <v>0</v>
      </c>
      <c r="E127" t="b">
        <f>ISNUMBER(SEARCH(Table6[[#Headers],[3B]],Table1[[#This Row],[Actual Pos]]))</f>
        <v>0</v>
      </c>
      <c r="F127" t="b">
        <f>ISNUMBER(SEARCH(Table6[[#Headers],[OF]],Table1[[#This Row],[Actual Pos]]))</f>
        <v>1</v>
      </c>
    </row>
    <row r="128" spans="1:6" hidden="1" x14ac:dyDescent="0.25">
      <c r="A128" t="b">
        <f>ISNUMBER(SEARCH(Table6[[#Headers],[C]],Table1[[#This Row],[Actual Pos]]))</f>
        <v>1</v>
      </c>
      <c r="B128" t="b">
        <f>ISNUMBER(SEARCH(Table6[[#Headers],[1B]],Table1[[#This Row],[Actual Pos]]))</f>
        <v>0</v>
      </c>
      <c r="C128" t="b">
        <f>ISNUMBER(SEARCH(Table6[[#Headers],[2B]],Table1[[#This Row],[Actual Pos]]))</f>
        <v>0</v>
      </c>
      <c r="D128" t="b">
        <f>ISNUMBER(SEARCH(Table6[[#Headers],[SS]],Table1[[#This Row],[Actual Pos]]))</f>
        <v>0</v>
      </c>
      <c r="E128" t="b">
        <f>ISNUMBER(SEARCH(Table6[[#Headers],[3B]],Table1[[#This Row],[Actual Pos]]))</f>
        <v>0</v>
      </c>
      <c r="F128" t="b">
        <f>ISNUMBER(SEARCH(Table6[[#Headers],[OF]],Table1[[#This Row],[Actual Pos]]))</f>
        <v>0</v>
      </c>
    </row>
    <row r="129" spans="1:6" hidden="1" x14ac:dyDescent="0.25">
      <c r="A129" t="b">
        <f>ISNUMBER(SEARCH(Table6[[#Headers],[C]],Table1[[#This Row],[Actual Pos]]))</f>
        <v>1</v>
      </c>
      <c r="B129" t="b">
        <f>ISNUMBER(SEARCH(Table6[[#Headers],[1B]],Table1[[#This Row],[Actual Pos]]))</f>
        <v>0</v>
      </c>
      <c r="C129" t="b">
        <f>ISNUMBER(SEARCH(Table6[[#Headers],[2B]],Table1[[#This Row],[Actual Pos]]))</f>
        <v>0</v>
      </c>
      <c r="D129" t="b">
        <f>ISNUMBER(SEARCH(Table6[[#Headers],[SS]],Table1[[#This Row],[Actual Pos]]))</f>
        <v>0</v>
      </c>
      <c r="E129" t="b">
        <f>ISNUMBER(SEARCH(Table6[[#Headers],[3B]],Table1[[#This Row],[Actual Pos]]))</f>
        <v>0</v>
      </c>
      <c r="F129" t="b">
        <f>ISNUMBER(SEARCH(Table6[[#Headers],[OF]],Table1[[#This Row],[Actual Pos]]))</f>
        <v>0</v>
      </c>
    </row>
    <row r="130" spans="1:6" hidden="1" x14ac:dyDescent="0.25">
      <c r="A130" t="b">
        <f>ISNUMBER(SEARCH(Table6[[#Headers],[C]],Table1[[#This Row],[Actual Pos]]))</f>
        <v>0</v>
      </c>
      <c r="B130" t="b">
        <f>ISNUMBER(SEARCH(Table6[[#Headers],[1B]],Table1[[#This Row],[Actual Pos]]))</f>
        <v>0</v>
      </c>
      <c r="C130" t="b">
        <f>ISNUMBER(SEARCH(Table6[[#Headers],[2B]],Table1[[#This Row],[Actual Pos]]))</f>
        <v>0</v>
      </c>
      <c r="D130" t="b">
        <f>ISNUMBER(SEARCH(Table6[[#Headers],[SS]],Table1[[#This Row],[Actual Pos]]))</f>
        <v>1</v>
      </c>
      <c r="E130" t="b">
        <f>ISNUMBER(SEARCH(Table6[[#Headers],[3B]],Table1[[#This Row],[Actual Pos]]))</f>
        <v>0</v>
      </c>
      <c r="F130" t="b">
        <f>ISNUMBER(SEARCH(Table6[[#Headers],[OF]],Table1[[#This Row],[Actual Pos]]))</f>
        <v>0</v>
      </c>
    </row>
    <row r="131" spans="1:6" hidden="1" x14ac:dyDescent="0.25">
      <c r="A131" t="b">
        <f>ISNUMBER(SEARCH(Table6[[#Headers],[C]],Table1[[#This Row],[Actual Pos]]))</f>
        <v>0</v>
      </c>
      <c r="B131" t="b">
        <f>ISNUMBER(SEARCH(Table6[[#Headers],[1B]],Table1[[#This Row],[Actual Pos]]))</f>
        <v>0</v>
      </c>
      <c r="C131" t="b">
        <f>ISNUMBER(SEARCH(Table6[[#Headers],[2B]],Table1[[#This Row],[Actual Pos]]))</f>
        <v>0</v>
      </c>
      <c r="D131" t="b">
        <f>ISNUMBER(SEARCH(Table6[[#Headers],[SS]],Table1[[#This Row],[Actual Pos]]))</f>
        <v>0</v>
      </c>
      <c r="E131" t="b">
        <f>ISNUMBER(SEARCH(Table6[[#Headers],[3B]],Table1[[#This Row],[Actual Pos]]))</f>
        <v>1</v>
      </c>
      <c r="F131" t="b">
        <f>ISNUMBER(SEARCH(Table6[[#Headers],[OF]],Table1[[#This Row],[Actual Pos]]))</f>
        <v>0</v>
      </c>
    </row>
    <row r="132" spans="1:6" hidden="1" x14ac:dyDescent="0.25">
      <c r="A132" t="b">
        <f>ISNUMBER(SEARCH(Table6[[#Headers],[C]],Table1[[#This Row],[Actual Pos]]))</f>
        <v>0</v>
      </c>
      <c r="B132" t="b">
        <f>ISNUMBER(SEARCH(Table6[[#Headers],[1B]],Table1[[#This Row],[Actual Pos]]))</f>
        <v>1</v>
      </c>
      <c r="C132" t="b">
        <f>ISNUMBER(SEARCH(Table6[[#Headers],[2B]],Table1[[#This Row],[Actual Pos]]))</f>
        <v>0</v>
      </c>
      <c r="D132" t="b">
        <f>ISNUMBER(SEARCH(Table6[[#Headers],[SS]],Table1[[#This Row],[Actual Pos]]))</f>
        <v>0</v>
      </c>
      <c r="E132" t="b">
        <f>ISNUMBER(SEARCH(Table6[[#Headers],[3B]],Table1[[#This Row],[Actual Pos]]))</f>
        <v>0</v>
      </c>
      <c r="F132" t="b">
        <f>ISNUMBER(SEARCH(Table6[[#Headers],[OF]],Table1[[#This Row],[Actual Pos]]))</f>
        <v>0</v>
      </c>
    </row>
    <row r="133" spans="1:6" hidden="1" x14ac:dyDescent="0.25">
      <c r="A133" t="b">
        <f>ISNUMBER(SEARCH(Table6[[#Headers],[C]],Table1[[#This Row],[Actual Pos]]))</f>
        <v>0</v>
      </c>
      <c r="B133" t="b">
        <f>ISNUMBER(SEARCH(Table6[[#Headers],[1B]],Table1[[#This Row],[Actual Pos]]))</f>
        <v>0</v>
      </c>
      <c r="C133" t="b">
        <f>ISNUMBER(SEARCH(Table6[[#Headers],[2B]],Table1[[#This Row],[Actual Pos]]))</f>
        <v>0</v>
      </c>
      <c r="D133" t="b">
        <f>ISNUMBER(SEARCH(Table6[[#Headers],[SS]],Table1[[#This Row],[Actual Pos]]))</f>
        <v>0</v>
      </c>
      <c r="E133" t="b">
        <f>ISNUMBER(SEARCH(Table6[[#Headers],[3B]],Table1[[#This Row],[Actual Pos]]))</f>
        <v>0</v>
      </c>
      <c r="F133" t="b">
        <f>ISNUMBER(SEARCH(Table6[[#Headers],[OF]],Table1[[#This Row],[Actual Pos]]))</f>
        <v>1</v>
      </c>
    </row>
    <row r="134" spans="1:6" hidden="1" x14ac:dyDescent="0.25">
      <c r="A134" t="b">
        <f>ISNUMBER(SEARCH(Table6[[#Headers],[C]],Table1[[#This Row],[Actual Pos]]))</f>
        <v>0</v>
      </c>
      <c r="B134" t="b">
        <f>ISNUMBER(SEARCH(Table6[[#Headers],[1B]],Table1[[#This Row],[Actual Pos]]))</f>
        <v>0</v>
      </c>
      <c r="C134" t="b">
        <f>ISNUMBER(SEARCH(Table6[[#Headers],[2B]],Table1[[#This Row],[Actual Pos]]))</f>
        <v>0</v>
      </c>
      <c r="D134" t="b">
        <f>ISNUMBER(SEARCH(Table6[[#Headers],[SS]],Table1[[#This Row],[Actual Pos]]))</f>
        <v>1</v>
      </c>
      <c r="E134" t="b">
        <f>ISNUMBER(SEARCH(Table6[[#Headers],[3B]],Table1[[#This Row],[Actual Pos]]))</f>
        <v>0</v>
      </c>
      <c r="F134" t="b">
        <f>ISNUMBER(SEARCH(Table6[[#Headers],[OF]],Table1[[#This Row],[Actual Pos]]))</f>
        <v>0</v>
      </c>
    </row>
    <row r="135" spans="1:6" hidden="1" x14ac:dyDescent="0.25">
      <c r="A135" t="b">
        <f>ISNUMBER(SEARCH(Table6[[#Headers],[C]],Table1[[#This Row],[Actual Pos]]))</f>
        <v>0</v>
      </c>
      <c r="B135" t="b">
        <f>ISNUMBER(SEARCH(Table6[[#Headers],[1B]],Table1[[#This Row],[Actual Pos]]))</f>
        <v>0</v>
      </c>
      <c r="C135" t="b">
        <f>ISNUMBER(SEARCH(Table6[[#Headers],[2B]],Table1[[#This Row],[Actual Pos]]))</f>
        <v>0</v>
      </c>
      <c r="D135" t="b">
        <f>ISNUMBER(SEARCH(Table6[[#Headers],[SS]],Table1[[#This Row],[Actual Pos]]))</f>
        <v>0</v>
      </c>
      <c r="E135" t="b">
        <f>ISNUMBER(SEARCH(Table6[[#Headers],[3B]],Table1[[#This Row],[Actual Pos]]))</f>
        <v>1</v>
      </c>
      <c r="F135" t="b">
        <f>ISNUMBER(SEARCH(Table6[[#Headers],[OF]],Table1[[#This Row],[Actual Pos]]))</f>
        <v>0</v>
      </c>
    </row>
    <row r="136" spans="1:6" hidden="1" x14ac:dyDescent="0.25">
      <c r="A136" t="b">
        <f>ISNUMBER(SEARCH(Table6[[#Headers],[C]],Table1[[#This Row],[Actual Pos]]))</f>
        <v>0</v>
      </c>
      <c r="B136" t="b">
        <f>ISNUMBER(SEARCH(Table6[[#Headers],[1B]],Table1[[#This Row],[Actual Pos]]))</f>
        <v>0</v>
      </c>
      <c r="C136" t="b">
        <f>ISNUMBER(SEARCH(Table6[[#Headers],[2B]],Table1[[#This Row],[Actual Pos]]))</f>
        <v>0</v>
      </c>
      <c r="D136" t="b">
        <f>ISNUMBER(SEARCH(Table6[[#Headers],[SS]],Table1[[#This Row],[Actual Pos]]))</f>
        <v>1</v>
      </c>
      <c r="E136" t="b">
        <f>ISNUMBER(SEARCH(Table6[[#Headers],[3B]],Table1[[#This Row],[Actual Pos]]))</f>
        <v>0</v>
      </c>
      <c r="F136" t="b">
        <f>ISNUMBER(SEARCH(Table6[[#Headers],[OF]],Table1[[#This Row],[Actual Pos]]))</f>
        <v>0</v>
      </c>
    </row>
    <row r="137" spans="1:6" hidden="1" x14ac:dyDescent="0.25">
      <c r="A137" t="b">
        <f>ISNUMBER(SEARCH(Table6[[#Headers],[C]],Table1[[#This Row],[Actual Pos]]))</f>
        <v>1</v>
      </c>
      <c r="B137" t="b">
        <f>ISNUMBER(SEARCH(Table6[[#Headers],[1B]],Table1[[#This Row],[Actual Pos]]))</f>
        <v>0</v>
      </c>
      <c r="C137" t="b">
        <f>ISNUMBER(SEARCH(Table6[[#Headers],[2B]],Table1[[#This Row],[Actual Pos]]))</f>
        <v>0</v>
      </c>
      <c r="D137" t="b">
        <f>ISNUMBER(SEARCH(Table6[[#Headers],[SS]],Table1[[#This Row],[Actual Pos]]))</f>
        <v>0</v>
      </c>
      <c r="E137" t="b">
        <f>ISNUMBER(SEARCH(Table6[[#Headers],[3B]],Table1[[#This Row],[Actual Pos]]))</f>
        <v>0</v>
      </c>
      <c r="F137" t="b">
        <f>ISNUMBER(SEARCH(Table6[[#Headers],[OF]],Table1[[#This Row],[Actual Pos]]))</f>
        <v>0</v>
      </c>
    </row>
    <row r="138" spans="1:6" hidden="1" x14ac:dyDescent="0.25">
      <c r="A138" t="b">
        <f>ISNUMBER(SEARCH(Table6[[#Headers],[C]],Table1[[#This Row],[Actual Pos]]))</f>
        <v>1</v>
      </c>
      <c r="B138" t="b">
        <f>ISNUMBER(SEARCH(Table6[[#Headers],[1B]],Table1[[#This Row],[Actual Pos]]))</f>
        <v>0</v>
      </c>
      <c r="C138" t="b">
        <f>ISNUMBER(SEARCH(Table6[[#Headers],[2B]],Table1[[#This Row],[Actual Pos]]))</f>
        <v>0</v>
      </c>
      <c r="D138" t="b">
        <f>ISNUMBER(SEARCH(Table6[[#Headers],[SS]],Table1[[#This Row],[Actual Pos]]))</f>
        <v>0</v>
      </c>
      <c r="E138" t="b">
        <f>ISNUMBER(SEARCH(Table6[[#Headers],[3B]],Table1[[#This Row],[Actual Pos]]))</f>
        <v>0</v>
      </c>
      <c r="F138" t="b">
        <f>ISNUMBER(SEARCH(Table6[[#Headers],[OF]],Table1[[#This Row],[Actual Pos]]))</f>
        <v>0</v>
      </c>
    </row>
    <row r="139" spans="1:6" hidden="1" x14ac:dyDescent="0.25">
      <c r="A139" t="b">
        <f>ISNUMBER(SEARCH(Table6[[#Headers],[C]],Table1[[#This Row],[Actual Pos]]))</f>
        <v>1</v>
      </c>
      <c r="B139" t="b">
        <f>ISNUMBER(SEARCH(Table6[[#Headers],[1B]],Table1[[#This Row],[Actual Pos]]))</f>
        <v>0</v>
      </c>
      <c r="C139" t="b">
        <f>ISNUMBER(SEARCH(Table6[[#Headers],[2B]],Table1[[#This Row],[Actual Pos]]))</f>
        <v>0</v>
      </c>
      <c r="D139" t="b">
        <f>ISNUMBER(SEARCH(Table6[[#Headers],[SS]],Table1[[#This Row],[Actual Pos]]))</f>
        <v>0</v>
      </c>
      <c r="E139" t="b">
        <f>ISNUMBER(SEARCH(Table6[[#Headers],[3B]],Table1[[#This Row],[Actual Pos]]))</f>
        <v>0</v>
      </c>
      <c r="F139" t="b">
        <f>ISNUMBER(SEARCH(Table6[[#Headers],[OF]],Table1[[#This Row],[Actual Pos]]))</f>
        <v>0</v>
      </c>
    </row>
    <row r="140" spans="1:6" hidden="1" x14ac:dyDescent="0.25">
      <c r="A140" t="b">
        <f>ISNUMBER(SEARCH(Table6[[#Headers],[C]],Table1[[#This Row],[Actual Pos]]))</f>
        <v>1</v>
      </c>
      <c r="B140" t="b">
        <f>ISNUMBER(SEARCH(Table6[[#Headers],[1B]],Table1[[#This Row],[Actual Pos]]))</f>
        <v>0</v>
      </c>
      <c r="C140" t="b">
        <f>ISNUMBER(SEARCH(Table6[[#Headers],[2B]],Table1[[#This Row],[Actual Pos]]))</f>
        <v>0</v>
      </c>
      <c r="D140" t="b">
        <f>ISNUMBER(SEARCH(Table6[[#Headers],[SS]],Table1[[#This Row],[Actual Pos]]))</f>
        <v>0</v>
      </c>
      <c r="E140" t="b">
        <f>ISNUMBER(SEARCH(Table6[[#Headers],[3B]],Table1[[#This Row],[Actual Pos]]))</f>
        <v>0</v>
      </c>
      <c r="F140" t="b">
        <f>ISNUMBER(SEARCH(Table6[[#Headers],[OF]],Table1[[#This Row],[Actual Pos]]))</f>
        <v>0</v>
      </c>
    </row>
    <row r="141" spans="1:6" hidden="1" x14ac:dyDescent="0.25">
      <c r="A141" t="b">
        <f>ISNUMBER(SEARCH(Table6[[#Headers],[C]],Table1[[#This Row],[Actual Pos]]))</f>
        <v>1</v>
      </c>
      <c r="B141" t="b">
        <f>ISNUMBER(SEARCH(Table6[[#Headers],[1B]],Table1[[#This Row],[Actual Pos]]))</f>
        <v>0</v>
      </c>
      <c r="C141" t="b">
        <f>ISNUMBER(SEARCH(Table6[[#Headers],[2B]],Table1[[#This Row],[Actual Pos]]))</f>
        <v>0</v>
      </c>
      <c r="D141" t="b">
        <f>ISNUMBER(SEARCH(Table6[[#Headers],[SS]],Table1[[#This Row],[Actual Pos]]))</f>
        <v>0</v>
      </c>
      <c r="E141" t="b">
        <f>ISNUMBER(SEARCH(Table6[[#Headers],[3B]],Table1[[#This Row],[Actual Pos]]))</f>
        <v>0</v>
      </c>
      <c r="F141" t="b">
        <f>ISNUMBER(SEARCH(Table6[[#Headers],[OF]],Table1[[#This Row],[Actual Pos]]))</f>
        <v>0</v>
      </c>
    </row>
    <row r="142" spans="1:6" hidden="1" x14ac:dyDescent="0.25">
      <c r="A142" t="b">
        <f>ISNUMBER(SEARCH(Table6[[#Headers],[C]],Table1[[#This Row],[Actual Pos]]))</f>
        <v>1</v>
      </c>
      <c r="B142" t="b">
        <f>ISNUMBER(SEARCH(Table6[[#Headers],[1B]],Table1[[#This Row],[Actual Pos]]))</f>
        <v>0</v>
      </c>
      <c r="C142" t="b">
        <f>ISNUMBER(SEARCH(Table6[[#Headers],[2B]],Table1[[#This Row],[Actual Pos]]))</f>
        <v>0</v>
      </c>
      <c r="D142" t="b">
        <f>ISNUMBER(SEARCH(Table6[[#Headers],[SS]],Table1[[#This Row],[Actual Pos]]))</f>
        <v>0</v>
      </c>
      <c r="E142" t="b">
        <f>ISNUMBER(SEARCH(Table6[[#Headers],[3B]],Table1[[#This Row],[Actual Pos]]))</f>
        <v>0</v>
      </c>
      <c r="F142" t="b">
        <f>ISNUMBER(SEARCH(Table6[[#Headers],[OF]],Table1[[#This Row],[Actual Pos]]))</f>
        <v>0</v>
      </c>
    </row>
    <row r="143" spans="1:6" hidden="1" x14ac:dyDescent="0.25">
      <c r="A143" t="b">
        <f>ISNUMBER(SEARCH(Table6[[#Headers],[C]],Table1[[#This Row],[Actual Pos]]))</f>
        <v>1</v>
      </c>
      <c r="B143" t="b">
        <f>ISNUMBER(SEARCH(Table6[[#Headers],[1B]],Table1[[#This Row],[Actual Pos]]))</f>
        <v>0</v>
      </c>
      <c r="C143" t="b">
        <f>ISNUMBER(SEARCH(Table6[[#Headers],[2B]],Table1[[#This Row],[Actual Pos]]))</f>
        <v>0</v>
      </c>
      <c r="D143" t="b">
        <f>ISNUMBER(SEARCH(Table6[[#Headers],[SS]],Table1[[#This Row],[Actual Pos]]))</f>
        <v>0</v>
      </c>
      <c r="E143" t="b">
        <f>ISNUMBER(SEARCH(Table6[[#Headers],[3B]],Table1[[#This Row],[Actual Pos]]))</f>
        <v>0</v>
      </c>
      <c r="F143" t="b">
        <f>ISNUMBER(SEARCH(Table6[[#Headers],[OF]],Table1[[#This Row],[Actual Pos]]))</f>
        <v>0</v>
      </c>
    </row>
    <row r="144" spans="1:6" hidden="1" x14ac:dyDescent="0.25">
      <c r="A144" t="b">
        <f>ISNUMBER(SEARCH(Table6[[#Headers],[C]],Table1[[#This Row],[Actual Pos]]))</f>
        <v>1</v>
      </c>
      <c r="B144" t="b">
        <f>ISNUMBER(SEARCH(Table6[[#Headers],[1B]],Table1[[#This Row],[Actual Pos]]))</f>
        <v>0</v>
      </c>
      <c r="C144" t="b">
        <f>ISNUMBER(SEARCH(Table6[[#Headers],[2B]],Table1[[#This Row],[Actual Pos]]))</f>
        <v>0</v>
      </c>
      <c r="D144" t="b">
        <f>ISNUMBER(SEARCH(Table6[[#Headers],[SS]],Table1[[#This Row],[Actual Pos]]))</f>
        <v>0</v>
      </c>
      <c r="E144" t="b">
        <f>ISNUMBER(SEARCH(Table6[[#Headers],[3B]],Table1[[#This Row],[Actual Pos]]))</f>
        <v>0</v>
      </c>
      <c r="F144" t="b">
        <f>ISNUMBER(SEARCH(Table6[[#Headers],[OF]],Table1[[#This Row],[Actual Pos]]))</f>
        <v>0</v>
      </c>
    </row>
    <row r="145" spans="1:6" hidden="1" x14ac:dyDescent="0.25">
      <c r="A145" t="b">
        <f>ISNUMBER(SEARCH(Table6[[#Headers],[C]],Table1[[#This Row],[Actual Pos]]))</f>
        <v>1</v>
      </c>
      <c r="B145" t="b">
        <f>ISNUMBER(SEARCH(Table6[[#Headers],[1B]],Table1[[#This Row],[Actual Pos]]))</f>
        <v>0</v>
      </c>
      <c r="C145" t="b">
        <f>ISNUMBER(SEARCH(Table6[[#Headers],[2B]],Table1[[#This Row],[Actual Pos]]))</f>
        <v>0</v>
      </c>
      <c r="D145" t="b">
        <f>ISNUMBER(SEARCH(Table6[[#Headers],[SS]],Table1[[#This Row],[Actual Pos]]))</f>
        <v>0</v>
      </c>
      <c r="E145" t="b">
        <f>ISNUMBER(SEARCH(Table6[[#Headers],[3B]],Table1[[#This Row],[Actual Pos]]))</f>
        <v>0</v>
      </c>
      <c r="F145" t="b">
        <f>ISNUMBER(SEARCH(Table6[[#Headers],[OF]],Table1[[#This Row],[Actual Pos]]))</f>
        <v>0</v>
      </c>
    </row>
    <row r="146" spans="1:6" hidden="1" x14ac:dyDescent="0.25">
      <c r="A146" t="b">
        <f>ISNUMBER(SEARCH(Table6[[#Headers],[C]],Table1[[#This Row],[Actual Pos]]))</f>
        <v>1</v>
      </c>
      <c r="B146" t="b">
        <f>ISNUMBER(SEARCH(Table6[[#Headers],[1B]],Table1[[#This Row],[Actual Pos]]))</f>
        <v>0</v>
      </c>
      <c r="C146" t="b">
        <f>ISNUMBER(SEARCH(Table6[[#Headers],[2B]],Table1[[#This Row],[Actual Pos]]))</f>
        <v>0</v>
      </c>
      <c r="D146" t="b">
        <f>ISNUMBER(SEARCH(Table6[[#Headers],[SS]],Table1[[#This Row],[Actual Pos]]))</f>
        <v>0</v>
      </c>
      <c r="E146" t="b">
        <f>ISNUMBER(SEARCH(Table6[[#Headers],[3B]],Table1[[#This Row],[Actual Pos]]))</f>
        <v>0</v>
      </c>
      <c r="F146" t="b">
        <f>ISNUMBER(SEARCH(Table6[[#Headers],[OF]],Table1[[#This Row],[Actual Pos]]))</f>
        <v>0</v>
      </c>
    </row>
    <row r="147" spans="1:6" hidden="1" x14ac:dyDescent="0.25">
      <c r="A147" t="b">
        <f>ISNUMBER(SEARCH(Table6[[#Headers],[C]],Table1[[#This Row],[Actual Pos]]))</f>
        <v>1</v>
      </c>
      <c r="B147" t="b">
        <f>ISNUMBER(SEARCH(Table6[[#Headers],[1B]],Table1[[#This Row],[Actual Pos]]))</f>
        <v>0</v>
      </c>
      <c r="C147" t="b">
        <f>ISNUMBER(SEARCH(Table6[[#Headers],[2B]],Table1[[#This Row],[Actual Pos]]))</f>
        <v>0</v>
      </c>
      <c r="D147" t="b">
        <f>ISNUMBER(SEARCH(Table6[[#Headers],[SS]],Table1[[#This Row],[Actual Pos]]))</f>
        <v>0</v>
      </c>
      <c r="E147" t="b">
        <f>ISNUMBER(SEARCH(Table6[[#Headers],[3B]],Table1[[#This Row],[Actual Pos]]))</f>
        <v>0</v>
      </c>
      <c r="F147" t="b">
        <f>ISNUMBER(SEARCH(Table6[[#Headers],[OF]],Table1[[#This Row],[Actual Pos]]))</f>
        <v>0</v>
      </c>
    </row>
    <row r="148" spans="1:6" hidden="1" x14ac:dyDescent="0.25">
      <c r="A148" t="b">
        <f>ISNUMBER(SEARCH(Table6[[#Headers],[C]],Table1[[#This Row],[Actual Pos]]))</f>
        <v>1</v>
      </c>
      <c r="B148" t="b">
        <f>ISNUMBER(SEARCH(Table6[[#Headers],[1B]],Table1[[#This Row],[Actual Pos]]))</f>
        <v>0</v>
      </c>
      <c r="C148" t="b">
        <f>ISNUMBER(SEARCH(Table6[[#Headers],[2B]],Table1[[#This Row],[Actual Pos]]))</f>
        <v>0</v>
      </c>
      <c r="D148" t="b">
        <f>ISNUMBER(SEARCH(Table6[[#Headers],[SS]],Table1[[#This Row],[Actual Pos]]))</f>
        <v>0</v>
      </c>
      <c r="E148" t="b">
        <f>ISNUMBER(SEARCH(Table6[[#Headers],[3B]],Table1[[#This Row],[Actual Pos]]))</f>
        <v>0</v>
      </c>
      <c r="F148" t="b">
        <f>ISNUMBER(SEARCH(Table6[[#Headers],[OF]],Table1[[#This Row],[Actual Pos]]))</f>
        <v>0</v>
      </c>
    </row>
    <row r="149" spans="1:6" hidden="1" x14ac:dyDescent="0.25">
      <c r="A149" t="b">
        <f>ISNUMBER(SEARCH(Table6[[#Headers],[C]],Table1[[#This Row],[Actual Pos]]))</f>
        <v>1</v>
      </c>
      <c r="B149" t="b">
        <f>ISNUMBER(SEARCH(Table6[[#Headers],[1B]],Table1[[#This Row],[Actual Pos]]))</f>
        <v>0</v>
      </c>
      <c r="C149" t="b">
        <f>ISNUMBER(SEARCH(Table6[[#Headers],[2B]],Table1[[#This Row],[Actual Pos]]))</f>
        <v>0</v>
      </c>
      <c r="D149" t="b">
        <f>ISNUMBER(SEARCH(Table6[[#Headers],[SS]],Table1[[#This Row],[Actual Pos]]))</f>
        <v>0</v>
      </c>
      <c r="E149" t="b">
        <f>ISNUMBER(SEARCH(Table6[[#Headers],[3B]],Table1[[#This Row],[Actual Pos]]))</f>
        <v>0</v>
      </c>
      <c r="F149" t="b">
        <f>ISNUMBER(SEARCH(Table6[[#Headers],[OF]],Table1[[#This Row],[Actual Pos]]))</f>
        <v>0</v>
      </c>
    </row>
    <row r="150" spans="1:6" hidden="1" x14ac:dyDescent="0.25">
      <c r="A150" t="b">
        <f>ISNUMBER(SEARCH(Table6[[#Headers],[C]],Table1[[#This Row],[Actual Pos]]))</f>
        <v>1</v>
      </c>
      <c r="B150" t="b">
        <f>ISNUMBER(SEARCH(Table6[[#Headers],[1B]],Table1[[#This Row],[Actual Pos]]))</f>
        <v>0</v>
      </c>
      <c r="C150" t="b">
        <f>ISNUMBER(SEARCH(Table6[[#Headers],[2B]],Table1[[#This Row],[Actual Pos]]))</f>
        <v>0</v>
      </c>
      <c r="D150" t="b">
        <f>ISNUMBER(SEARCH(Table6[[#Headers],[SS]],Table1[[#This Row],[Actual Pos]]))</f>
        <v>0</v>
      </c>
      <c r="E150" t="b">
        <f>ISNUMBER(SEARCH(Table6[[#Headers],[3B]],Table1[[#This Row],[Actual Pos]]))</f>
        <v>0</v>
      </c>
      <c r="F150" t="b">
        <f>ISNUMBER(SEARCH(Table6[[#Headers],[OF]],Table1[[#This Row],[Actual Pos]]))</f>
        <v>0</v>
      </c>
    </row>
    <row r="151" spans="1:6" hidden="1" x14ac:dyDescent="0.25">
      <c r="A151" t="b">
        <f>ISNUMBER(SEARCH(Table6[[#Headers],[C]],Table1[[#This Row],[Actual Pos]]))</f>
        <v>1</v>
      </c>
      <c r="B151" t="b">
        <f>ISNUMBER(SEARCH(Table6[[#Headers],[1B]],Table1[[#This Row],[Actual Pos]]))</f>
        <v>0</v>
      </c>
      <c r="C151" t="b">
        <f>ISNUMBER(SEARCH(Table6[[#Headers],[2B]],Table1[[#This Row],[Actual Pos]]))</f>
        <v>0</v>
      </c>
      <c r="D151" t="b">
        <f>ISNUMBER(SEARCH(Table6[[#Headers],[SS]],Table1[[#This Row],[Actual Pos]]))</f>
        <v>0</v>
      </c>
      <c r="E151" t="b">
        <f>ISNUMBER(SEARCH(Table6[[#Headers],[3B]],Table1[[#This Row],[Actual Pos]]))</f>
        <v>0</v>
      </c>
      <c r="F151" t="b">
        <f>ISNUMBER(SEARCH(Table6[[#Headers],[OF]],Table1[[#This Row],[Actual Pos]]))</f>
        <v>0</v>
      </c>
    </row>
    <row r="152" spans="1:6" hidden="1" x14ac:dyDescent="0.25">
      <c r="A152" t="b">
        <f>ISNUMBER(SEARCH(Table6[[#Headers],[C]],Table1[[#This Row],[Actual Pos]]))</f>
        <v>1</v>
      </c>
      <c r="B152" t="b">
        <f>ISNUMBER(SEARCH(Table6[[#Headers],[1B]],Table1[[#This Row],[Actual Pos]]))</f>
        <v>0</v>
      </c>
      <c r="C152" t="b">
        <f>ISNUMBER(SEARCH(Table6[[#Headers],[2B]],Table1[[#This Row],[Actual Pos]]))</f>
        <v>0</v>
      </c>
      <c r="D152" t="b">
        <f>ISNUMBER(SEARCH(Table6[[#Headers],[SS]],Table1[[#This Row],[Actual Pos]]))</f>
        <v>0</v>
      </c>
      <c r="E152" t="b">
        <f>ISNUMBER(SEARCH(Table6[[#Headers],[3B]],Table1[[#This Row],[Actual Pos]]))</f>
        <v>0</v>
      </c>
      <c r="F152" t="b">
        <f>ISNUMBER(SEARCH(Table6[[#Headers],[OF]],Table1[[#This Row],[Actual Pos]]))</f>
        <v>0</v>
      </c>
    </row>
    <row r="153" spans="1:6" hidden="1" x14ac:dyDescent="0.25">
      <c r="A153" t="b">
        <f>ISNUMBER(SEARCH(Table6[[#Headers],[C]],Table1[[#This Row],[Actual Pos]]))</f>
        <v>1</v>
      </c>
      <c r="B153" t="b">
        <f>ISNUMBER(SEARCH(Table6[[#Headers],[1B]],Table1[[#This Row],[Actual Pos]]))</f>
        <v>0</v>
      </c>
      <c r="C153" t="b">
        <f>ISNUMBER(SEARCH(Table6[[#Headers],[2B]],Table1[[#This Row],[Actual Pos]]))</f>
        <v>0</v>
      </c>
      <c r="D153" t="b">
        <f>ISNUMBER(SEARCH(Table6[[#Headers],[SS]],Table1[[#This Row],[Actual Pos]]))</f>
        <v>0</v>
      </c>
      <c r="E153" t="b">
        <f>ISNUMBER(SEARCH(Table6[[#Headers],[3B]],Table1[[#This Row],[Actual Pos]]))</f>
        <v>0</v>
      </c>
      <c r="F153" t="b">
        <f>ISNUMBER(SEARCH(Table6[[#Headers],[OF]],Table1[[#This Row],[Actual Pos]]))</f>
        <v>0</v>
      </c>
    </row>
    <row r="154" spans="1:6" hidden="1" x14ac:dyDescent="0.25">
      <c r="A154" t="b">
        <f>ISNUMBER(SEARCH(Table6[[#Headers],[C]],Table1[[#This Row],[Actual Pos]]))</f>
        <v>1</v>
      </c>
      <c r="B154" t="b">
        <f>ISNUMBER(SEARCH(Table6[[#Headers],[1B]],Table1[[#This Row],[Actual Pos]]))</f>
        <v>0</v>
      </c>
      <c r="C154" t="b">
        <f>ISNUMBER(SEARCH(Table6[[#Headers],[2B]],Table1[[#This Row],[Actual Pos]]))</f>
        <v>0</v>
      </c>
      <c r="D154" t="b">
        <f>ISNUMBER(SEARCH(Table6[[#Headers],[SS]],Table1[[#This Row],[Actual Pos]]))</f>
        <v>0</v>
      </c>
      <c r="E154" t="b">
        <f>ISNUMBER(SEARCH(Table6[[#Headers],[3B]],Table1[[#This Row],[Actual Pos]]))</f>
        <v>0</v>
      </c>
      <c r="F154" t="b">
        <f>ISNUMBER(SEARCH(Table6[[#Headers],[OF]],Table1[[#This Row],[Actual Pos]]))</f>
        <v>0</v>
      </c>
    </row>
    <row r="155" spans="1:6" hidden="1" x14ac:dyDescent="0.25">
      <c r="A155" t="b">
        <f>ISNUMBER(SEARCH(Table6[[#Headers],[C]],Table1[[#This Row],[Actual Pos]]))</f>
        <v>1</v>
      </c>
      <c r="B155" t="b">
        <f>ISNUMBER(SEARCH(Table6[[#Headers],[1B]],Table1[[#This Row],[Actual Pos]]))</f>
        <v>0</v>
      </c>
      <c r="C155" t="b">
        <f>ISNUMBER(SEARCH(Table6[[#Headers],[2B]],Table1[[#This Row],[Actual Pos]]))</f>
        <v>0</v>
      </c>
      <c r="D155" t="b">
        <f>ISNUMBER(SEARCH(Table6[[#Headers],[SS]],Table1[[#This Row],[Actual Pos]]))</f>
        <v>0</v>
      </c>
      <c r="E155" t="b">
        <f>ISNUMBER(SEARCH(Table6[[#Headers],[3B]],Table1[[#This Row],[Actual Pos]]))</f>
        <v>0</v>
      </c>
      <c r="F155" t="b">
        <f>ISNUMBER(SEARCH(Table6[[#Headers],[OF]],Table1[[#This Row],[Actual Pos]]))</f>
        <v>0</v>
      </c>
    </row>
    <row r="156" spans="1:6" hidden="1" x14ac:dyDescent="0.25">
      <c r="A156" t="b">
        <f>ISNUMBER(SEARCH(Table6[[#Headers],[C]],Table1[[#This Row],[Actual Pos]]))</f>
        <v>1</v>
      </c>
      <c r="B156" t="b">
        <f>ISNUMBER(SEARCH(Table6[[#Headers],[1B]],Table1[[#This Row],[Actual Pos]]))</f>
        <v>0</v>
      </c>
      <c r="C156" t="b">
        <f>ISNUMBER(SEARCH(Table6[[#Headers],[2B]],Table1[[#This Row],[Actual Pos]]))</f>
        <v>0</v>
      </c>
      <c r="D156" t="b">
        <f>ISNUMBER(SEARCH(Table6[[#Headers],[SS]],Table1[[#This Row],[Actual Pos]]))</f>
        <v>0</v>
      </c>
      <c r="E156" t="b">
        <f>ISNUMBER(SEARCH(Table6[[#Headers],[3B]],Table1[[#This Row],[Actual Pos]]))</f>
        <v>0</v>
      </c>
      <c r="F156" t="b">
        <f>ISNUMBER(SEARCH(Table6[[#Headers],[OF]],Table1[[#This Row],[Actual Pos]]))</f>
        <v>0</v>
      </c>
    </row>
    <row r="157" spans="1:6" hidden="1" x14ac:dyDescent="0.25">
      <c r="A157" t="b">
        <f>ISNUMBER(SEARCH(Table6[[#Headers],[C]],Table1[[#This Row],[Actual Pos]]))</f>
        <v>1</v>
      </c>
      <c r="B157" t="b">
        <f>ISNUMBER(SEARCH(Table6[[#Headers],[1B]],Table1[[#This Row],[Actual Pos]]))</f>
        <v>0</v>
      </c>
      <c r="C157" t="b">
        <f>ISNUMBER(SEARCH(Table6[[#Headers],[2B]],Table1[[#This Row],[Actual Pos]]))</f>
        <v>0</v>
      </c>
      <c r="D157" t="b">
        <f>ISNUMBER(SEARCH(Table6[[#Headers],[SS]],Table1[[#This Row],[Actual Pos]]))</f>
        <v>0</v>
      </c>
      <c r="E157" t="b">
        <f>ISNUMBER(SEARCH(Table6[[#Headers],[3B]],Table1[[#This Row],[Actual Pos]]))</f>
        <v>0</v>
      </c>
      <c r="F157" t="b">
        <f>ISNUMBER(SEARCH(Table6[[#Headers],[OF]],Table1[[#This Row],[Actual Pos]]))</f>
        <v>0</v>
      </c>
    </row>
    <row r="158" spans="1:6" hidden="1" x14ac:dyDescent="0.25">
      <c r="A158" t="b">
        <f>ISNUMBER(SEARCH(Table6[[#Headers],[C]],Table1[[#This Row],[Actual Pos]]))</f>
        <v>1</v>
      </c>
      <c r="B158" t="b">
        <f>ISNUMBER(SEARCH(Table6[[#Headers],[1B]],Table1[[#This Row],[Actual Pos]]))</f>
        <v>0</v>
      </c>
      <c r="C158" t="b">
        <f>ISNUMBER(SEARCH(Table6[[#Headers],[2B]],Table1[[#This Row],[Actual Pos]]))</f>
        <v>0</v>
      </c>
      <c r="D158" t="b">
        <f>ISNUMBER(SEARCH(Table6[[#Headers],[SS]],Table1[[#This Row],[Actual Pos]]))</f>
        <v>0</v>
      </c>
      <c r="E158" t="b">
        <f>ISNUMBER(SEARCH(Table6[[#Headers],[3B]],Table1[[#This Row],[Actual Pos]]))</f>
        <v>0</v>
      </c>
      <c r="F158" t="b">
        <f>ISNUMBER(SEARCH(Table6[[#Headers],[OF]],Table1[[#This Row],[Actual Pos]]))</f>
        <v>0</v>
      </c>
    </row>
    <row r="159" spans="1:6" hidden="1" x14ac:dyDescent="0.25">
      <c r="A159" t="b">
        <f>ISNUMBER(SEARCH(Table6[[#Headers],[C]],Table1[[#This Row],[Actual Pos]]))</f>
        <v>1</v>
      </c>
      <c r="B159" t="b">
        <f>ISNUMBER(SEARCH(Table6[[#Headers],[1B]],Table1[[#This Row],[Actual Pos]]))</f>
        <v>0</v>
      </c>
      <c r="C159" t="b">
        <f>ISNUMBER(SEARCH(Table6[[#Headers],[2B]],Table1[[#This Row],[Actual Pos]]))</f>
        <v>0</v>
      </c>
      <c r="D159" t="b">
        <f>ISNUMBER(SEARCH(Table6[[#Headers],[SS]],Table1[[#This Row],[Actual Pos]]))</f>
        <v>0</v>
      </c>
      <c r="E159" t="b">
        <f>ISNUMBER(SEARCH(Table6[[#Headers],[3B]],Table1[[#This Row],[Actual Pos]]))</f>
        <v>0</v>
      </c>
      <c r="F159" t="b">
        <f>ISNUMBER(SEARCH(Table6[[#Headers],[OF]],Table1[[#This Row],[Actual Pos]]))</f>
        <v>0</v>
      </c>
    </row>
    <row r="160" spans="1:6" hidden="1" x14ac:dyDescent="0.25">
      <c r="A160" t="b">
        <f>ISNUMBER(SEARCH(Table6[[#Headers],[C]],Table1[[#This Row],[Actual Pos]]))</f>
        <v>0</v>
      </c>
      <c r="B160" t="b">
        <f>ISNUMBER(SEARCH(Table6[[#Headers],[1B]],Table1[[#This Row],[Actual Pos]]))</f>
        <v>0</v>
      </c>
      <c r="C160" t="b">
        <f>ISNUMBER(SEARCH(Table6[[#Headers],[2B]],Table1[[#This Row],[Actual Pos]]))</f>
        <v>0</v>
      </c>
      <c r="D160" t="b">
        <f>ISNUMBER(SEARCH(Table6[[#Headers],[SS]],Table1[[#This Row],[Actual Pos]]))</f>
        <v>1</v>
      </c>
      <c r="E160" t="b">
        <f>ISNUMBER(SEARCH(Table6[[#Headers],[3B]],Table1[[#This Row],[Actual Pos]]))</f>
        <v>0</v>
      </c>
      <c r="F160" t="b">
        <f>ISNUMBER(SEARCH(Table6[[#Headers],[OF]],Table1[[#This Row],[Actual Pos]]))</f>
        <v>0</v>
      </c>
    </row>
    <row r="161" spans="1:6" hidden="1" x14ac:dyDescent="0.25">
      <c r="A161" t="b">
        <f>ISNUMBER(SEARCH(Table6[[#Headers],[C]],Table1[[#This Row],[Actual Pos]]))</f>
        <v>0</v>
      </c>
      <c r="B161" t="b">
        <f>ISNUMBER(SEARCH(Table6[[#Headers],[1B]],Table1[[#This Row],[Actual Pos]]))</f>
        <v>0</v>
      </c>
      <c r="C161" t="b">
        <f>ISNUMBER(SEARCH(Table6[[#Headers],[2B]],Table1[[#This Row],[Actual Pos]]))</f>
        <v>0</v>
      </c>
      <c r="D161" t="b">
        <f>ISNUMBER(SEARCH(Table6[[#Headers],[SS]],Table1[[#This Row],[Actual Pos]]))</f>
        <v>1</v>
      </c>
      <c r="E161" t="b">
        <f>ISNUMBER(SEARCH(Table6[[#Headers],[3B]],Table1[[#This Row],[Actual Pos]]))</f>
        <v>0</v>
      </c>
      <c r="F161" t="b">
        <f>ISNUMBER(SEARCH(Table6[[#Headers],[OF]],Table1[[#This Row],[Actual Pos]]))</f>
        <v>0</v>
      </c>
    </row>
    <row r="162" spans="1:6" hidden="1" x14ac:dyDescent="0.25">
      <c r="A162" t="b">
        <f>ISNUMBER(SEARCH(Table6[[#Headers],[C]],Table1[[#This Row],[Actual Pos]]))</f>
        <v>0</v>
      </c>
      <c r="B162" t="b">
        <f>ISNUMBER(SEARCH(Table6[[#Headers],[1B]],Table1[[#This Row],[Actual Pos]]))</f>
        <v>0</v>
      </c>
      <c r="C162" t="b">
        <f>ISNUMBER(SEARCH(Table6[[#Headers],[2B]],Table1[[#This Row],[Actual Pos]]))</f>
        <v>0</v>
      </c>
      <c r="D162" t="b">
        <f>ISNUMBER(SEARCH(Table6[[#Headers],[SS]],Table1[[#This Row],[Actual Pos]]))</f>
        <v>1</v>
      </c>
      <c r="E162" t="b">
        <f>ISNUMBER(SEARCH(Table6[[#Headers],[3B]],Table1[[#This Row],[Actual Pos]]))</f>
        <v>0</v>
      </c>
      <c r="F162" t="b">
        <f>ISNUMBER(SEARCH(Table6[[#Headers],[OF]],Table1[[#This Row],[Actual Pos]]))</f>
        <v>0</v>
      </c>
    </row>
    <row r="163" spans="1:6" hidden="1" x14ac:dyDescent="0.25">
      <c r="A163" t="b">
        <f>ISNUMBER(SEARCH(Table6[[#Headers],[C]],Table1[[#This Row],[Actual Pos]]))</f>
        <v>0</v>
      </c>
      <c r="B163" t="b">
        <f>ISNUMBER(SEARCH(Table6[[#Headers],[1B]],Table1[[#This Row],[Actual Pos]]))</f>
        <v>0</v>
      </c>
      <c r="C163" t="b">
        <f>ISNUMBER(SEARCH(Table6[[#Headers],[2B]],Table1[[#This Row],[Actual Pos]]))</f>
        <v>1</v>
      </c>
      <c r="D163" t="b">
        <f>ISNUMBER(SEARCH(Table6[[#Headers],[SS]],Table1[[#This Row],[Actual Pos]]))</f>
        <v>0</v>
      </c>
      <c r="E163" t="b">
        <f>ISNUMBER(SEARCH(Table6[[#Headers],[3B]],Table1[[#This Row],[Actual Pos]]))</f>
        <v>0</v>
      </c>
      <c r="F163" t="b">
        <f>ISNUMBER(SEARCH(Table6[[#Headers],[OF]],Table1[[#This Row],[Actual Pos]]))</f>
        <v>0</v>
      </c>
    </row>
    <row r="164" spans="1:6" hidden="1" x14ac:dyDescent="0.25">
      <c r="A164" t="b">
        <f>ISNUMBER(SEARCH(Table6[[#Headers],[C]],Table1[[#This Row],[Actual Pos]]))</f>
        <v>0</v>
      </c>
      <c r="B164" t="b">
        <f>ISNUMBER(SEARCH(Table6[[#Headers],[1B]],Table1[[#This Row],[Actual Pos]]))</f>
        <v>0</v>
      </c>
      <c r="C164" t="b">
        <f>ISNUMBER(SEARCH(Table6[[#Headers],[2B]],Table1[[#This Row],[Actual Pos]]))</f>
        <v>1</v>
      </c>
      <c r="D164" t="b">
        <f>ISNUMBER(SEARCH(Table6[[#Headers],[SS]],Table1[[#This Row],[Actual Pos]]))</f>
        <v>0</v>
      </c>
      <c r="E164" t="b">
        <f>ISNUMBER(SEARCH(Table6[[#Headers],[3B]],Table1[[#This Row],[Actual Pos]]))</f>
        <v>0</v>
      </c>
      <c r="F164" t="b">
        <f>ISNUMBER(SEARCH(Table6[[#Headers],[OF]],Table1[[#This Row],[Actual Pos]]))</f>
        <v>0</v>
      </c>
    </row>
    <row r="165" spans="1:6" hidden="1" x14ac:dyDescent="0.25">
      <c r="A165" t="b">
        <f>ISNUMBER(SEARCH(Table6[[#Headers],[C]],Table1[[#This Row],[Actual Pos]]))</f>
        <v>0</v>
      </c>
      <c r="B165" t="b">
        <f>ISNUMBER(SEARCH(Table6[[#Headers],[1B]],Table1[[#This Row],[Actual Pos]]))</f>
        <v>0</v>
      </c>
      <c r="C165" t="b">
        <f>ISNUMBER(SEARCH(Table6[[#Headers],[2B]],Table1[[#This Row],[Actual Pos]]))</f>
        <v>0</v>
      </c>
      <c r="D165" t="b">
        <f>ISNUMBER(SEARCH(Table6[[#Headers],[SS]],Table1[[#This Row],[Actual Pos]]))</f>
        <v>1</v>
      </c>
      <c r="E165" t="b">
        <f>ISNUMBER(SEARCH(Table6[[#Headers],[3B]],Table1[[#This Row],[Actual Pos]]))</f>
        <v>0</v>
      </c>
      <c r="F165" t="b">
        <f>ISNUMBER(SEARCH(Table6[[#Headers],[OF]],Table1[[#This Row],[Actual Pos]]))</f>
        <v>0</v>
      </c>
    </row>
    <row r="166" spans="1:6" hidden="1" x14ac:dyDescent="0.25">
      <c r="A166" t="b">
        <f>ISNUMBER(SEARCH(Table6[[#Headers],[C]],Table1[[#This Row],[Actual Pos]]))</f>
        <v>0</v>
      </c>
      <c r="B166" t="b">
        <f>ISNUMBER(SEARCH(Table6[[#Headers],[1B]],Table1[[#This Row],[Actual Pos]]))</f>
        <v>0</v>
      </c>
      <c r="C166" t="b">
        <f>ISNUMBER(SEARCH(Table6[[#Headers],[2B]],Table1[[#This Row],[Actual Pos]]))</f>
        <v>0</v>
      </c>
      <c r="D166" t="b">
        <f>ISNUMBER(SEARCH(Table6[[#Headers],[SS]],Table1[[#This Row],[Actual Pos]]))</f>
        <v>1</v>
      </c>
      <c r="E166" t="b">
        <f>ISNUMBER(SEARCH(Table6[[#Headers],[3B]],Table1[[#This Row],[Actual Pos]]))</f>
        <v>0</v>
      </c>
      <c r="F166" t="b">
        <f>ISNUMBER(SEARCH(Table6[[#Headers],[OF]],Table1[[#This Row],[Actual Pos]]))</f>
        <v>0</v>
      </c>
    </row>
    <row r="167" spans="1:6" hidden="1" x14ac:dyDescent="0.25">
      <c r="A167" t="b">
        <f>ISNUMBER(SEARCH(Table6[[#Headers],[C]],Table1[[#This Row],[Actual Pos]]))</f>
        <v>0</v>
      </c>
      <c r="B167" t="b">
        <f>ISNUMBER(SEARCH(Table6[[#Headers],[1B]],Table1[[#This Row],[Actual Pos]]))</f>
        <v>0</v>
      </c>
      <c r="C167" t="b">
        <f>ISNUMBER(SEARCH(Table6[[#Headers],[2B]],Table1[[#This Row],[Actual Pos]]))</f>
        <v>0</v>
      </c>
      <c r="D167" t="b">
        <f>ISNUMBER(SEARCH(Table6[[#Headers],[SS]],Table1[[#This Row],[Actual Pos]]))</f>
        <v>1</v>
      </c>
      <c r="E167" t="b">
        <f>ISNUMBER(SEARCH(Table6[[#Headers],[3B]],Table1[[#This Row],[Actual Pos]]))</f>
        <v>0</v>
      </c>
      <c r="F167" t="b">
        <f>ISNUMBER(SEARCH(Table6[[#Headers],[OF]],Table1[[#This Row],[Actual Pos]]))</f>
        <v>0</v>
      </c>
    </row>
    <row r="168" spans="1:6" hidden="1" x14ac:dyDescent="0.25">
      <c r="A168" t="b">
        <f>ISNUMBER(SEARCH(Table6[[#Headers],[C]],Table1[[#This Row],[Actual Pos]]))</f>
        <v>0</v>
      </c>
      <c r="B168" t="b">
        <f>ISNUMBER(SEARCH(Table6[[#Headers],[1B]],Table1[[#This Row],[Actual Pos]]))</f>
        <v>0</v>
      </c>
      <c r="C168" t="b">
        <f>ISNUMBER(SEARCH(Table6[[#Headers],[2B]],Table1[[#This Row],[Actual Pos]]))</f>
        <v>0</v>
      </c>
      <c r="D168" t="b">
        <f>ISNUMBER(SEARCH(Table6[[#Headers],[SS]],Table1[[#This Row],[Actual Pos]]))</f>
        <v>1</v>
      </c>
      <c r="E168" t="b">
        <f>ISNUMBER(SEARCH(Table6[[#Headers],[3B]],Table1[[#This Row],[Actual Pos]]))</f>
        <v>0</v>
      </c>
      <c r="F168" t="b">
        <f>ISNUMBER(SEARCH(Table6[[#Headers],[OF]],Table1[[#This Row],[Actual Pos]]))</f>
        <v>0</v>
      </c>
    </row>
    <row r="169" spans="1:6" hidden="1" x14ac:dyDescent="0.25">
      <c r="A169" t="b">
        <f>ISNUMBER(SEARCH(Table6[[#Headers],[C]],Table1[[#This Row],[Actual Pos]]))</f>
        <v>0</v>
      </c>
      <c r="B169" t="b">
        <f>ISNUMBER(SEARCH(Table6[[#Headers],[1B]],Table1[[#This Row],[Actual Pos]]))</f>
        <v>0</v>
      </c>
      <c r="C169" t="b">
        <f>ISNUMBER(SEARCH(Table6[[#Headers],[2B]],Table1[[#This Row],[Actual Pos]]))</f>
        <v>0</v>
      </c>
      <c r="D169" t="b">
        <f>ISNUMBER(SEARCH(Table6[[#Headers],[SS]],Table1[[#This Row],[Actual Pos]]))</f>
        <v>1</v>
      </c>
      <c r="E169" t="b">
        <f>ISNUMBER(SEARCH(Table6[[#Headers],[3B]],Table1[[#This Row],[Actual Pos]]))</f>
        <v>0</v>
      </c>
      <c r="F169" t="b">
        <f>ISNUMBER(SEARCH(Table6[[#Headers],[OF]],Table1[[#This Row],[Actual Pos]]))</f>
        <v>0</v>
      </c>
    </row>
    <row r="170" spans="1:6" hidden="1" x14ac:dyDescent="0.25">
      <c r="A170" t="b">
        <f>ISNUMBER(SEARCH(Table6[[#Headers],[C]],Table1[[#This Row],[Actual Pos]]))</f>
        <v>0</v>
      </c>
      <c r="B170" t="b">
        <f>ISNUMBER(SEARCH(Table6[[#Headers],[1B]],Table1[[#This Row],[Actual Pos]]))</f>
        <v>0</v>
      </c>
      <c r="C170" t="b">
        <f>ISNUMBER(SEARCH(Table6[[#Headers],[2B]],Table1[[#This Row],[Actual Pos]]))</f>
        <v>1</v>
      </c>
      <c r="D170" t="b">
        <f>ISNUMBER(SEARCH(Table6[[#Headers],[SS]],Table1[[#This Row],[Actual Pos]]))</f>
        <v>0</v>
      </c>
      <c r="E170" t="b">
        <f>ISNUMBER(SEARCH(Table6[[#Headers],[3B]],Table1[[#This Row],[Actual Pos]]))</f>
        <v>0</v>
      </c>
      <c r="F170" t="b">
        <f>ISNUMBER(SEARCH(Table6[[#Headers],[OF]],Table1[[#This Row],[Actual Pos]]))</f>
        <v>0</v>
      </c>
    </row>
    <row r="171" spans="1:6" hidden="1" x14ac:dyDescent="0.25">
      <c r="A171" t="b">
        <f>ISNUMBER(SEARCH(Table6[[#Headers],[C]],Table1[[#This Row],[Actual Pos]]))</f>
        <v>0</v>
      </c>
      <c r="B171" t="b">
        <f>ISNUMBER(SEARCH(Table6[[#Headers],[1B]],Table1[[#This Row],[Actual Pos]]))</f>
        <v>0</v>
      </c>
      <c r="C171" t="b">
        <f>ISNUMBER(SEARCH(Table6[[#Headers],[2B]],Table1[[#This Row],[Actual Pos]]))</f>
        <v>1</v>
      </c>
      <c r="D171" t="b">
        <f>ISNUMBER(SEARCH(Table6[[#Headers],[SS]],Table1[[#This Row],[Actual Pos]]))</f>
        <v>0</v>
      </c>
      <c r="E171" t="b">
        <f>ISNUMBER(SEARCH(Table6[[#Headers],[3B]],Table1[[#This Row],[Actual Pos]]))</f>
        <v>0</v>
      </c>
      <c r="F171" t="b">
        <f>ISNUMBER(SEARCH(Table6[[#Headers],[OF]],Table1[[#This Row],[Actual Pos]]))</f>
        <v>0</v>
      </c>
    </row>
    <row r="172" spans="1:6" hidden="1" x14ac:dyDescent="0.25">
      <c r="A172" t="b">
        <f>ISNUMBER(SEARCH(Table6[[#Headers],[C]],Table1[[#This Row],[Actual Pos]]))</f>
        <v>0</v>
      </c>
      <c r="B172" t="b">
        <f>ISNUMBER(SEARCH(Table6[[#Headers],[1B]],Table1[[#This Row],[Actual Pos]]))</f>
        <v>0</v>
      </c>
      <c r="C172" t="b">
        <f>ISNUMBER(SEARCH(Table6[[#Headers],[2B]],Table1[[#This Row],[Actual Pos]]))</f>
        <v>0</v>
      </c>
      <c r="D172" t="b">
        <f>ISNUMBER(SEARCH(Table6[[#Headers],[SS]],Table1[[#This Row],[Actual Pos]]))</f>
        <v>1</v>
      </c>
      <c r="E172" t="b">
        <f>ISNUMBER(SEARCH(Table6[[#Headers],[3B]],Table1[[#This Row],[Actual Pos]]))</f>
        <v>0</v>
      </c>
      <c r="F172" t="b">
        <f>ISNUMBER(SEARCH(Table6[[#Headers],[OF]],Table1[[#This Row],[Actual Pos]]))</f>
        <v>0</v>
      </c>
    </row>
    <row r="173" spans="1:6" hidden="1" x14ac:dyDescent="0.25">
      <c r="A173" t="b">
        <f>ISNUMBER(SEARCH(Table6[[#Headers],[C]],Table1[[#This Row],[Actual Pos]]))</f>
        <v>0</v>
      </c>
      <c r="B173" t="b">
        <f>ISNUMBER(SEARCH(Table6[[#Headers],[1B]],Table1[[#This Row],[Actual Pos]]))</f>
        <v>0</v>
      </c>
      <c r="C173" t="b">
        <f>ISNUMBER(SEARCH(Table6[[#Headers],[2B]],Table1[[#This Row],[Actual Pos]]))</f>
        <v>0</v>
      </c>
      <c r="D173" t="b">
        <f>ISNUMBER(SEARCH(Table6[[#Headers],[SS]],Table1[[#This Row],[Actual Pos]]))</f>
        <v>1</v>
      </c>
      <c r="E173" t="b">
        <f>ISNUMBER(SEARCH(Table6[[#Headers],[3B]],Table1[[#This Row],[Actual Pos]]))</f>
        <v>0</v>
      </c>
      <c r="F173" t="b">
        <f>ISNUMBER(SEARCH(Table6[[#Headers],[OF]],Table1[[#This Row],[Actual Pos]]))</f>
        <v>0</v>
      </c>
    </row>
    <row r="174" spans="1:6" hidden="1" x14ac:dyDescent="0.25">
      <c r="A174" t="b">
        <f>ISNUMBER(SEARCH(Table6[[#Headers],[C]],Table1[[#This Row],[Actual Pos]]))</f>
        <v>0</v>
      </c>
      <c r="B174" t="b">
        <f>ISNUMBER(SEARCH(Table6[[#Headers],[1B]],Table1[[#This Row],[Actual Pos]]))</f>
        <v>0</v>
      </c>
      <c r="C174" t="b">
        <f>ISNUMBER(SEARCH(Table6[[#Headers],[2B]],Table1[[#This Row],[Actual Pos]]))</f>
        <v>0</v>
      </c>
      <c r="D174" t="b">
        <f>ISNUMBER(SEARCH(Table6[[#Headers],[SS]],Table1[[#This Row],[Actual Pos]]))</f>
        <v>1</v>
      </c>
      <c r="E174" t="b">
        <f>ISNUMBER(SEARCH(Table6[[#Headers],[3B]],Table1[[#This Row],[Actual Pos]]))</f>
        <v>0</v>
      </c>
      <c r="F174" t="b">
        <f>ISNUMBER(SEARCH(Table6[[#Headers],[OF]],Table1[[#This Row],[Actual Pos]]))</f>
        <v>0</v>
      </c>
    </row>
    <row r="175" spans="1:6" hidden="1" x14ac:dyDescent="0.25">
      <c r="A175" t="b">
        <f>ISNUMBER(SEARCH(Table6[[#Headers],[C]],Table1[[#This Row],[Actual Pos]]))</f>
        <v>0</v>
      </c>
      <c r="B175" t="b">
        <f>ISNUMBER(SEARCH(Table6[[#Headers],[1B]],Table1[[#This Row],[Actual Pos]]))</f>
        <v>0</v>
      </c>
      <c r="C175" t="b">
        <f>ISNUMBER(SEARCH(Table6[[#Headers],[2B]],Table1[[#This Row],[Actual Pos]]))</f>
        <v>0</v>
      </c>
      <c r="D175" t="b">
        <f>ISNUMBER(SEARCH(Table6[[#Headers],[SS]],Table1[[#This Row],[Actual Pos]]))</f>
        <v>1</v>
      </c>
      <c r="E175" t="b">
        <f>ISNUMBER(SEARCH(Table6[[#Headers],[3B]],Table1[[#This Row],[Actual Pos]]))</f>
        <v>0</v>
      </c>
      <c r="F175" t="b">
        <f>ISNUMBER(SEARCH(Table6[[#Headers],[OF]],Table1[[#This Row],[Actual Pos]]))</f>
        <v>0</v>
      </c>
    </row>
    <row r="176" spans="1:6" x14ac:dyDescent="0.25">
      <c r="A176" t="b">
        <f>ISNUMBER(SEARCH(Table6[[#Headers],[C]],Table1[[#This Row],[Actual Pos]]))</f>
        <v>0</v>
      </c>
      <c r="B176" t="b">
        <f>ISNUMBER(SEARCH(Table6[[#Headers],[1B]],Table1[[#This Row],[Actual Pos]]))</f>
        <v>0</v>
      </c>
      <c r="C176" t="b">
        <f>ISNUMBER(SEARCH(Table6[[#Headers],[2B]],Table1[[#This Row],[Actual Pos]]))</f>
        <v>1</v>
      </c>
      <c r="D176" t="b">
        <f>ISNUMBER(SEARCH(Table6[[#Headers],[SS]],Table1[[#This Row],[Actual Pos]]))</f>
        <v>0</v>
      </c>
      <c r="E176" t="b">
        <f>ISNUMBER(SEARCH(Table6[[#Headers],[3B]],Table1[[#This Row],[Actual Pos]]))</f>
        <v>0</v>
      </c>
      <c r="F176" t="b">
        <f>ISNUMBER(SEARCH(Table6[[#Headers],[OF]],Table1[[#This Row],[Actual Pos]]))</f>
        <v>0</v>
      </c>
    </row>
    <row r="177" spans="1:6" x14ac:dyDescent="0.25">
      <c r="A177" t="b">
        <f>ISNUMBER(SEARCH(Table6[[#Headers],[C]],Table1[[#This Row],[Actual Pos]]))</f>
        <v>0</v>
      </c>
      <c r="B177" t="b">
        <f>ISNUMBER(SEARCH(Table6[[#Headers],[1B]],Table1[[#This Row],[Actual Pos]]))</f>
        <v>0</v>
      </c>
      <c r="C177" t="b">
        <f>ISNUMBER(SEARCH(Table6[[#Headers],[2B]],Table1[[#This Row],[Actual Pos]]))</f>
        <v>0</v>
      </c>
      <c r="D177" t="b">
        <f>ISNUMBER(SEARCH(Table6[[#Headers],[SS]],Table1[[#This Row],[Actual Pos]]))</f>
        <v>1</v>
      </c>
      <c r="E177" t="b">
        <f>ISNUMBER(SEARCH(Table6[[#Headers],[3B]],Table1[[#This Row],[Actual Pos]]))</f>
        <v>0</v>
      </c>
      <c r="F177" t="b">
        <f>ISNUMBER(SEARCH(Table6[[#Headers],[OF]],Table1[[#This Row],[Actual Pos]]))</f>
        <v>0</v>
      </c>
    </row>
    <row r="178" spans="1:6" x14ac:dyDescent="0.25">
      <c r="A178" t="b">
        <f>ISNUMBER(SEARCH(Table6[[#Headers],[C]],Table1[[#This Row],[Actual Pos]]))</f>
        <v>0</v>
      </c>
      <c r="B178" t="b">
        <f>ISNUMBER(SEARCH(Table6[[#Headers],[1B]],Table1[[#This Row],[Actual Pos]]))</f>
        <v>0</v>
      </c>
      <c r="C178" t="b">
        <f>ISNUMBER(SEARCH(Table6[[#Headers],[2B]],Table1[[#This Row],[Actual Pos]]))</f>
        <v>0</v>
      </c>
      <c r="D178" t="b">
        <f>ISNUMBER(SEARCH(Table6[[#Headers],[SS]],Table1[[#This Row],[Actual Pos]]))</f>
        <v>1</v>
      </c>
      <c r="E178" t="b">
        <f>ISNUMBER(SEARCH(Table6[[#Headers],[3B]],Table1[[#This Row],[Actual Pos]]))</f>
        <v>0</v>
      </c>
      <c r="F178" t="b">
        <f>ISNUMBER(SEARCH(Table6[[#Headers],[OF]],Table1[[#This Row],[Actual Pos]]))</f>
        <v>0</v>
      </c>
    </row>
    <row r="179" spans="1:6" x14ac:dyDescent="0.25">
      <c r="A179" t="b">
        <f>ISNUMBER(SEARCH(Table6[[#Headers],[C]],Table1[[#This Row],[Actual Pos]]))</f>
        <v>0</v>
      </c>
      <c r="B179" t="b">
        <f>ISNUMBER(SEARCH(Table6[[#Headers],[1B]],Table1[[#This Row],[Actual Pos]]))</f>
        <v>0</v>
      </c>
      <c r="C179" t="b">
        <f>ISNUMBER(SEARCH(Table6[[#Headers],[2B]],Table1[[#This Row],[Actual Pos]]))</f>
        <v>1</v>
      </c>
      <c r="D179" t="b">
        <f>ISNUMBER(SEARCH(Table6[[#Headers],[SS]],Table1[[#This Row],[Actual Pos]]))</f>
        <v>0</v>
      </c>
      <c r="E179" t="b">
        <f>ISNUMBER(SEARCH(Table6[[#Headers],[3B]],Table1[[#This Row],[Actual Pos]]))</f>
        <v>0</v>
      </c>
      <c r="F179" t="b">
        <f>ISNUMBER(SEARCH(Table6[[#Headers],[OF]],Table1[[#This Row],[Actual Pos]]))</f>
        <v>0</v>
      </c>
    </row>
    <row r="180" spans="1:6" x14ac:dyDescent="0.25">
      <c r="A180" t="b">
        <f>ISNUMBER(SEARCH(Table6[[#Headers],[C]],Table1[[#This Row],[Actual Pos]]))</f>
        <v>0</v>
      </c>
      <c r="B180" t="b">
        <f>ISNUMBER(SEARCH(Table6[[#Headers],[1B]],Table1[[#This Row],[Actual Pos]]))</f>
        <v>0</v>
      </c>
      <c r="C180" t="b">
        <f>ISNUMBER(SEARCH(Table6[[#Headers],[2B]],Table1[[#This Row],[Actual Pos]]))</f>
        <v>0</v>
      </c>
      <c r="D180" t="b">
        <f>ISNUMBER(SEARCH(Table6[[#Headers],[SS]],Table1[[#This Row],[Actual Pos]]))</f>
        <v>1</v>
      </c>
      <c r="E180" t="b">
        <f>ISNUMBER(SEARCH(Table6[[#Headers],[3B]],Table1[[#This Row],[Actual Pos]]))</f>
        <v>0</v>
      </c>
      <c r="F180" t="b">
        <f>ISNUMBER(SEARCH(Table6[[#Headers],[OF]],Table1[[#This Row],[Actual Pos]]))</f>
        <v>0</v>
      </c>
    </row>
    <row r="181" spans="1:6" x14ac:dyDescent="0.25">
      <c r="A181" t="b">
        <f>ISNUMBER(SEARCH(Table6[[#Headers],[C]],Table1[[#This Row],[Actual Pos]]))</f>
        <v>0</v>
      </c>
      <c r="B181" t="b">
        <f>ISNUMBER(SEARCH(Table6[[#Headers],[1B]],Table1[[#This Row],[Actual Pos]]))</f>
        <v>0</v>
      </c>
      <c r="C181" t="b">
        <f>ISNUMBER(SEARCH(Table6[[#Headers],[2B]],Table1[[#This Row],[Actual Pos]]))</f>
        <v>1</v>
      </c>
      <c r="D181" t="b">
        <f>ISNUMBER(SEARCH(Table6[[#Headers],[SS]],Table1[[#This Row],[Actual Pos]]))</f>
        <v>0</v>
      </c>
      <c r="E181" t="b">
        <f>ISNUMBER(SEARCH(Table6[[#Headers],[3B]],Table1[[#This Row],[Actual Pos]]))</f>
        <v>0</v>
      </c>
      <c r="F181" t="b">
        <f>ISNUMBER(SEARCH(Table6[[#Headers],[OF]],Table1[[#This Row],[Actual Pos]]))</f>
        <v>0</v>
      </c>
    </row>
    <row r="182" spans="1:6" x14ac:dyDescent="0.25">
      <c r="A182" t="b">
        <f>ISNUMBER(SEARCH(Table6[[#Headers],[C]],Table1[[#This Row],[Actual Pos]]))</f>
        <v>0</v>
      </c>
      <c r="B182" t="b">
        <f>ISNUMBER(SEARCH(Table6[[#Headers],[1B]],Table1[[#This Row],[Actual Pos]]))</f>
        <v>0</v>
      </c>
      <c r="C182" t="b">
        <f>ISNUMBER(SEARCH(Table6[[#Headers],[2B]],Table1[[#This Row],[Actual Pos]]))</f>
        <v>0</v>
      </c>
      <c r="D182" t="b">
        <f>ISNUMBER(SEARCH(Table6[[#Headers],[SS]],Table1[[#This Row],[Actual Pos]]))</f>
        <v>1</v>
      </c>
      <c r="E182" t="b">
        <f>ISNUMBER(SEARCH(Table6[[#Headers],[3B]],Table1[[#This Row],[Actual Pos]]))</f>
        <v>0</v>
      </c>
      <c r="F182" t="b">
        <f>ISNUMBER(SEARCH(Table6[[#Headers],[OF]],Table1[[#This Row],[Actual Pos]]))</f>
        <v>0</v>
      </c>
    </row>
    <row r="183" spans="1:6" x14ac:dyDescent="0.25">
      <c r="A183" t="b">
        <f>ISNUMBER(SEARCH(Table6[[#Headers],[C]],Table1[[#This Row],[Actual Pos]]))</f>
        <v>0</v>
      </c>
      <c r="B183" t="b">
        <f>ISNUMBER(SEARCH(Table6[[#Headers],[1B]],Table1[[#This Row],[Actual Pos]]))</f>
        <v>0</v>
      </c>
      <c r="C183" t="b">
        <f>ISNUMBER(SEARCH(Table6[[#Headers],[2B]],Table1[[#This Row],[Actual Pos]]))</f>
        <v>1</v>
      </c>
      <c r="D183" t="b">
        <f>ISNUMBER(SEARCH(Table6[[#Headers],[SS]],Table1[[#This Row],[Actual Pos]]))</f>
        <v>0</v>
      </c>
      <c r="E183" t="b">
        <f>ISNUMBER(SEARCH(Table6[[#Headers],[3B]],Table1[[#This Row],[Actual Pos]]))</f>
        <v>0</v>
      </c>
      <c r="F183" t="b">
        <f>ISNUMBER(SEARCH(Table6[[#Headers],[OF]],Table1[[#This Row],[Actual Pos]]))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topLeftCell="D1" zoomScale="80" zoomScaleNormal="80" workbookViewId="0">
      <selection activeCell="F7" sqref="F7"/>
    </sheetView>
  </sheetViews>
  <sheetFormatPr defaultRowHeight="15" x14ac:dyDescent="0.25"/>
  <cols>
    <col min="1" max="1" width="12.85546875" customWidth="1"/>
    <col min="6" max="6" width="13.5703125" customWidth="1"/>
    <col min="9" max="10" width="12" customWidth="1"/>
    <col min="12" max="13" width="12" customWidth="1"/>
    <col min="15" max="16" width="12" customWidth="1"/>
    <col min="18" max="19" width="12" customWidth="1"/>
    <col min="22" max="22" width="13.28515625" customWidth="1"/>
    <col min="23" max="23" width="12" customWidth="1"/>
    <col min="24" max="24" width="13" customWidth="1"/>
    <col min="27" max="27" width="10.5703125" customWidth="1"/>
    <col min="28" max="28" width="10" customWidth="1"/>
  </cols>
  <sheetData>
    <row r="1" spans="1:29" x14ac:dyDescent="0.25">
      <c r="A1" s="27" t="s">
        <v>192</v>
      </c>
      <c r="B1" s="28" t="s">
        <v>176</v>
      </c>
      <c r="C1" s="27" t="s">
        <v>0</v>
      </c>
      <c r="D1" s="27" t="s">
        <v>1</v>
      </c>
      <c r="E1" s="27" t="s">
        <v>2</v>
      </c>
      <c r="F1" s="27" t="s">
        <v>326</v>
      </c>
      <c r="G1" s="27" t="s">
        <v>3</v>
      </c>
      <c r="H1" s="27" t="s">
        <v>4</v>
      </c>
      <c r="I1" s="27" t="s">
        <v>350</v>
      </c>
      <c r="J1" s="27" t="s">
        <v>351</v>
      </c>
      <c r="K1" s="27" t="s">
        <v>5</v>
      </c>
      <c r="L1" s="27" t="s">
        <v>352</v>
      </c>
      <c r="M1" s="27" t="s">
        <v>353</v>
      </c>
      <c r="N1" s="27" t="s">
        <v>6</v>
      </c>
      <c r="O1" s="27" t="s">
        <v>354</v>
      </c>
      <c r="P1" s="27" t="s">
        <v>355</v>
      </c>
      <c r="Q1" s="27" t="s">
        <v>7</v>
      </c>
      <c r="R1" s="27" t="s">
        <v>356</v>
      </c>
      <c r="S1" s="27" t="s">
        <v>357</v>
      </c>
      <c r="T1" s="27" t="s">
        <v>8</v>
      </c>
      <c r="U1" s="27" t="s">
        <v>216</v>
      </c>
      <c r="V1" s="27" t="s">
        <v>358</v>
      </c>
      <c r="W1" s="27" t="s">
        <v>359</v>
      </c>
      <c r="X1" s="27" t="s">
        <v>360</v>
      </c>
      <c r="Y1" s="27" t="s">
        <v>9</v>
      </c>
      <c r="Z1" s="31" t="s">
        <v>178</v>
      </c>
      <c r="AA1" s="31" t="s">
        <v>348</v>
      </c>
      <c r="AB1" s="31" t="s">
        <v>361</v>
      </c>
      <c r="AC1" s="31" t="s">
        <v>362</v>
      </c>
    </row>
    <row r="2" spans="1:29" x14ac:dyDescent="0.25">
      <c r="A2" s="32" t="b">
        <v>1</v>
      </c>
      <c r="B2" s="25">
        <v>1</v>
      </c>
      <c r="C2" s="36" t="s">
        <v>12</v>
      </c>
      <c r="D2" s="36" t="s">
        <v>13</v>
      </c>
      <c r="E2" s="36" t="s">
        <v>14</v>
      </c>
      <c r="F2" s="36" t="s">
        <v>14</v>
      </c>
      <c r="G2" s="37">
        <v>7</v>
      </c>
      <c r="H2" s="36">
        <v>4.6129999999999995</v>
      </c>
      <c r="I2" s="36">
        <v>2.4945362043638734E-2</v>
      </c>
      <c r="J2" s="36">
        <v>9.1300025079717759</v>
      </c>
      <c r="K2" s="36">
        <v>1.5230000000000001</v>
      </c>
      <c r="L2" s="36">
        <v>2.1329732398251797E-2</v>
      </c>
      <c r="M2" s="36">
        <v>8.958487607265754</v>
      </c>
      <c r="N2" s="36">
        <v>3.6080000000000005</v>
      </c>
      <c r="O2" s="36">
        <v>1.7821691596907746E-2</v>
      </c>
      <c r="P2" s="36">
        <v>6.7365994236311284</v>
      </c>
      <c r="Q2" s="36">
        <v>0.94300000000000006</v>
      </c>
      <c r="R2" s="36">
        <v>2.0775501211720643E-2</v>
      </c>
      <c r="S2" s="36">
        <v>5.6093853271645733</v>
      </c>
      <c r="T2" s="36">
        <v>0.39602136673420507</v>
      </c>
      <c r="U2" s="36">
        <v>12.900396021366728</v>
      </c>
      <c r="V2" s="36">
        <v>0.34828604681089215</v>
      </c>
      <c r="W2" s="36">
        <v>2.4349686773666012E-2</v>
      </c>
      <c r="X2" s="36">
        <v>8.9119853591617613</v>
      </c>
      <c r="Y2" s="36">
        <v>32.574999999999996</v>
      </c>
      <c r="Z2" s="34">
        <v>39.346460225194996</v>
      </c>
      <c r="AA2" s="34">
        <v>23.318946219034647</v>
      </c>
      <c r="AB2" s="33">
        <v>4.9409952005184749E-2</v>
      </c>
      <c r="AC2" s="34">
        <v>85.491017928865915</v>
      </c>
    </row>
    <row r="3" spans="1:29" x14ac:dyDescent="0.25">
      <c r="A3" s="32" t="b">
        <v>1</v>
      </c>
      <c r="B3" s="25">
        <v>2</v>
      </c>
      <c r="C3" s="36" t="s">
        <v>15</v>
      </c>
      <c r="D3" s="36" t="s">
        <v>13</v>
      </c>
      <c r="E3" s="36" t="s">
        <v>16</v>
      </c>
      <c r="F3" s="36" t="s">
        <v>16</v>
      </c>
      <c r="G3" s="37">
        <v>7</v>
      </c>
      <c r="H3" s="36">
        <v>4.407</v>
      </c>
      <c r="I3" s="36">
        <v>2.3100211386191848E-2</v>
      </c>
      <c r="J3" s="36">
        <v>8.4546773673462159</v>
      </c>
      <c r="K3" s="36">
        <v>1.149</v>
      </c>
      <c r="L3" s="36">
        <v>1.5899289976913353E-2</v>
      </c>
      <c r="M3" s="36">
        <v>6.6777017903036082</v>
      </c>
      <c r="N3" s="36">
        <v>4.3929999999999998</v>
      </c>
      <c r="O3" s="36">
        <v>2.5003430767119531E-2</v>
      </c>
      <c r="P3" s="36">
        <v>9.4512968299711826</v>
      </c>
      <c r="Q3" s="36">
        <v>0.57700000000000007</v>
      </c>
      <c r="R3" s="36">
        <v>1.2712051112579864E-2</v>
      </c>
      <c r="S3" s="36">
        <v>3.4322538003965635</v>
      </c>
      <c r="T3" s="36">
        <v>0.38130129878298058</v>
      </c>
      <c r="U3" s="36">
        <v>12.124237397402434</v>
      </c>
      <c r="V3" s="36">
        <v>0.34617576757560381</v>
      </c>
      <c r="W3" s="36">
        <v>2.0620578021588586E-2</v>
      </c>
      <c r="X3" s="36">
        <v>7.547131555901422</v>
      </c>
      <c r="Y3" s="36">
        <v>31.797000000000001</v>
      </c>
      <c r="Z3" s="34">
        <v>35.563061343918989</v>
      </c>
      <c r="AA3" s="34">
        <v>20.05532293687752</v>
      </c>
      <c r="AB3" s="33">
        <v>4.2494739447133625E-2</v>
      </c>
      <c r="AC3" s="34">
        <v>73.666004454598493</v>
      </c>
    </row>
    <row r="4" spans="1:29" x14ac:dyDescent="0.25">
      <c r="A4" s="32" t="b">
        <v>1</v>
      </c>
      <c r="B4" s="25">
        <v>3</v>
      </c>
      <c r="C4" s="36" t="s">
        <v>71</v>
      </c>
      <c r="D4" s="36" t="s">
        <v>72</v>
      </c>
      <c r="E4" s="36" t="s">
        <v>27</v>
      </c>
      <c r="F4" s="36" t="s">
        <v>16</v>
      </c>
      <c r="G4" s="37">
        <v>7</v>
      </c>
      <c r="H4" s="36">
        <v>3.8920000000000003</v>
      </c>
      <c r="I4" s="36">
        <v>1.8487334742574635E-2</v>
      </c>
      <c r="J4" s="36">
        <v>6.7663645157823167</v>
      </c>
      <c r="K4" s="36">
        <v>1.4790000000000003</v>
      </c>
      <c r="L4" s="36">
        <v>2.0690856819270808E-2</v>
      </c>
      <c r="M4" s="36">
        <v>8.6901598640937401</v>
      </c>
      <c r="N4" s="36">
        <v>3.9740000000000002</v>
      </c>
      <c r="O4" s="36">
        <v>2.1170120305566996E-2</v>
      </c>
      <c r="P4" s="36">
        <v>8.0023054755043237</v>
      </c>
      <c r="Q4" s="36">
        <v>0.74099999999999999</v>
      </c>
      <c r="R4" s="36">
        <v>1.6325181758096496E-2</v>
      </c>
      <c r="S4" s="36">
        <v>4.4077990746860536</v>
      </c>
      <c r="T4" s="36">
        <v>0.33648189855121174</v>
      </c>
      <c r="U4" s="36">
        <v>10.011009445695652</v>
      </c>
      <c r="V4" s="36">
        <v>0.3402550028515347</v>
      </c>
      <c r="W4" s="36">
        <v>1.0157898399713521E-2</v>
      </c>
      <c r="X4" s="36">
        <v>3.7177908142951486</v>
      </c>
      <c r="Y4" s="36">
        <v>29.752000000000002</v>
      </c>
      <c r="Z4" s="34">
        <v>31.584419744361583</v>
      </c>
      <c r="AA4" s="34">
        <v>16.076681337320114</v>
      </c>
      <c r="AB4" s="33">
        <v>3.406449184359929E-2</v>
      </c>
      <c r="AC4" s="34">
        <v>59.250281052554783</v>
      </c>
    </row>
    <row r="5" spans="1:29" x14ac:dyDescent="0.25">
      <c r="A5" s="32" t="b">
        <v>1</v>
      </c>
      <c r="B5" s="25">
        <v>4</v>
      </c>
      <c r="C5" s="36" t="s">
        <v>22</v>
      </c>
      <c r="D5" s="36" t="s">
        <v>23</v>
      </c>
      <c r="E5" s="36" t="s">
        <v>14</v>
      </c>
      <c r="F5" s="36" t="s">
        <v>14</v>
      </c>
      <c r="G5" s="37">
        <v>6</v>
      </c>
      <c r="H5" s="36">
        <v>3.5629999999999997</v>
      </c>
      <c r="I5" s="36">
        <v>1.5540467915875477E-2</v>
      </c>
      <c r="J5" s="36">
        <v>5.6878112572104245</v>
      </c>
      <c r="K5" s="36">
        <v>1.278</v>
      </c>
      <c r="L5" s="36">
        <v>1.7772357015289449E-2</v>
      </c>
      <c r="M5" s="36">
        <v>7.4643899464215684</v>
      </c>
      <c r="N5" s="36">
        <v>3.7570000000000001</v>
      </c>
      <c r="O5" s="36">
        <v>1.9184849732400172E-2</v>
      </c>
      <c r="P5" s="36">
        <v>7.2518731988472647</v>
      </c>
      <c r="Q5" s="36">
        <v>0.89800000000000002</v>
      </c>
      <c r="R5" s="36">
        <v>1.9784093412645958E-2</v>
      </c>
      <c r="S5" s="36">
        <v>5.3417052214144087</v>
      </c>
      <c r="T5" s="36">
        <v>0.41841249951051424</v>
      </c>
      <c r="U5" s="36">
        <v>10.684163175000981</v>
      </c>
      <c r="V5" s="36">
        <v>0.34929705799094879</v>
      </c>
      <c r="W5" s="36">
        <v>2.6136261070068174E-2</v>
      </c>
      <c r="X5" s="36">
        <v>9.5658715516449515</v>
      </c>
      <c r="Y5" s="36">
        <v>25.535</v>
      </c>
      <c r="Z5" s="34">
        <v>35.311651175538614</v>
      </c>
      <c r="AA5" s="34">
        <v>19.284137169378265</v>
      </c>
      <c r="AB5" s="33">
        <v>4.0860692548045356E-2</v>
      </c>
      <c r="AC5" s="34">
        <v>70.871784257157557</v>
      </c>
    </row>
    <row r="6" spans="1:29" x14ac:dyDescent="0.25">
      <c r="A6" s="32" t="b">
        <v>1</v>
      </c>
      <c r="B6" s="25">
        <v>5</v>
      </c>
      <c r="C6" s="36" t="s">
        <v>20</v>
      </c>
      <c r="D6" s="36" t="s">
        <v>13</v>
      </c>
      <c r="E6" s="36" t="s">
        <v>21</v>
      </c>
      <c r="F6" s="36" t="s">
        <v>21</v>
      </c>
      <c r="G6" s="37">
        <v>7</v>
      </c>
      <c r="H6" s="36">
        <v>4.5749999999999993</v>
      </c>
      <c r="I6" s="36">
        <v>2.4604994446633964E-2</v>
      </c>
      <c r="J6" s="36">
        <v>9.0054279674680302</v>
      </c>
      <c r="K6" s="36">
        <v>0.65499999999999992</v>
      </c>
      <c r="L6" s="36">
        <v>8.7264596128994731E-3</v>
      </c>
      <c r="M6" s="36">
        <v>3.6651130374177789</v>
      </c>
      <c r="N6" s="36">
        <v>2.46</v>
      </c>
      <c r="O6" s="36">
        <v>7.3189698549929114E-3</v>
      </c>
      <c r="P6" s="36">
        <v>2.7665706051873205</v>
      </c>
      <c r="Q6" s="36">
        <v>1.246</v>
      </c>
      <c r="R6" s="36">
        <v>2.7450980392156862E-2</v>
      </c>
      <c r="S6" s="36">
        <v>7.4117647058823533</v>
      </c>
      <c r="T6" s="36">
        <v>0.35143156947983817</v>
      </c>
      <c r="U6" s="36">
        <v>11.720945705291561</v>
      </c>
      <c r="V6" s="36">
        <v>0.34226793727576832</v>
      </c>
      <c r="W6" s="36">
        <v>1.3714987553245312E-2</v>
      </c>
      <c r="X6" s="36">
        <v>5.0196854444877843</v>
      </c>
      <c r="Y6" s="36">
        <v>33.351999999999997</v>
      </c>
      <c r="Z6" s="34">
        <v>27.868561760443267</v>
      </c>
      <c r="AA6" s="34">
        <v>12.676206215480223</v>
      </c>
      <c r="AB6" s="33">
        <v>2.6859307227332811E-2</v>
      </c>
      <c r="AC6" s="34">
        <v>46.929415358739107</v>
      </c>
    </row>
    <row r="7" spans="1:29" x14ac:dyDescent="0.25">
      <c r="A7" s="32" t="b">
        <v>1</v>
      </c>
      <c r="B7" s="25">
        <v>6</v>
      </c>
      <c r="C7" s="36" t="s">
        <v>93</v>
      </c>
      <c r="D7" s="36" t="s">
        <v>94</v>
      </c>
      <c r="E7" s="36" t="s">
        <v>21</v>
      </c>
      <c r="F7" s="36" t="s">
        <v>21</v>
      </c>
      <c r="G7" s="37">
        <v>6</v>
      </c>
      <c r="H7" s="36">
        <v>3.234</v>
      </c>
      <c r="I7" s="36">
        <v>1.2593601089176325E-2</v>
      </c>
      <c r="J7" s="36">
        <v>4.6092579986385349</v>
      </c>
      <c r="K7" s="36">
        <v>1.448</v>
      </c>
      <c r="L7" s="36">
        <v>2.0240739934079648E-2</v>
      </c>
      <c r="M7" s="36">
        <v>8.5011107723134511</v>
      </c>
      <c r="N7" s="36">
        <v>3.8559999999999999</v>
      </c>
      <c r="O7" s="36">
        <v>2.0090572251955537E-2</v>
      </c>
      <c r="P7" s="36">
        <v>7.5942363112391931</v>
      </c>
      <c r="Q7" s="36">
        <v>0.65300000000000002</v>
      </c>
      <c r="R7" s="36">
        <v>1.4386428728794889E-2</v>
      </c>
      <c r="S7" s="36">
        <v>3.88433575677462</v>
      </c>
      <c r="T7" s="36">
        <v>0.39714922391270935</v>
      </c>
      <c r="U7" s="36">
        <v>10.336602850776087</v>
      </c>
      <c r="V7" s="36">
        <v>0.347073783087474</v>
      </c>
      <c r="W7" s="36">
        <v>2.2207475835307938E-2</v>
      </c>
      <c r="X7" s="36">
        <v>8.1279361557227059</v>
      </c>
      <c r="Y7" s="36">
        <v>26.027000000000001</v>
      </c>
      <c r="Z7" s="34">
        <v>32.716876994688505</v>
      </c>
      <c r="AA7" s="34">
        <v>17.524521449725462</v>
      </c>
      <c r="AB7" s="33">
        <v>3.7132285293319377E-2</v>
      </c>
      <c r="AC7" s="34">
        <v>64.496207851576145</v>
      </c>
    </row>
    <row r="8" spans="1:29" x14ac:dyDescent="0.25">
      <c r="A8" s="32" t="b">
        <v>1</v>
      </c>
      <c r="B8" s="25">
        <v>7</v>
      </c>
      <c r="C8" s="36" t="s">
        <v>98</v>
      </c>
      <c r="D8" s="36" t="s">
        <v>72</v>
      </c>
      <c r="E8" s="36" t="s">
        <v>14</v>
      </c>
      <c r="F8" s="36" t="s">
        <v>14</v>
      </c>
      <c r="G8" s="37">
        <v>7</v>
      </c>
      <c r="H8" s="36">
        <v>3.8350000000000004</v>
      </c>
      <c r="I8" s="36">
        <v>1.7976783347067492E-2</v>
      </c>
      <c r="J8" s="36">
        <v>6.5795027050267025</v>
      </c>
      <c r="K8" s="36">
        <v>0.94700000000000006</v>
      </c>
      <c r="L8" s="36">
        <v>1.2966270273409703E-2</v>
      </c>
      <c r="M8" s="36">
        <v>5.4458335148320751</v>
      </c>
      <c r="N8" s="36">
        <v>2.8050000000000002</v>
      </c>
      <c r="O8" s="36">
        <v>1.0475275604958607E-2</v>
      </c>
      <c r="P8" s="36">
        <v>3.9596541786743535</v>
      </c>
      <c r="Q8" s="36">
        <v>0.36199999999999999</v>
      </c>
      <c r="R8" s="36">
        <v>7.9753249614452522E-3</v>
      </c>
      <c r="S8" s="36">
        <v>2.153337739590218</v>
      </c>
      <c r="T8" s="36">
        <v>0.40202437106918243</v>
      </c>
      <c r="U8" s="36">
        <v>12.27340202437107</v>
      </c>
      <c r="V8" s="36">
        <v>0.34864551445307029</v>
      </c>
      <c r="W8" s="36">
        <v>2.4984907889487686E-2</v>
      </c>
      <c r="X8" s="36">
        <v>9.144476287552493</v>
      </c>
      <c r="Y8" s="36">
        <v>30.528999999999996</v>
      </c>
      <c r="Z8" s="34">
        <v>27.282804425675842</v>
      </c>
      <c r="AA8" s="34">
        <v>11.255290419515493</v>
      </c>
      <c r="AB8" s="33">
        <v>2.384856306151293E-2</v>
      </c>
      <c r="AC8" s="34">
        <v>41.781042835187108</v>
      </c>
    </row>
    <row r="9" spans="1:29" x14ac:dyDescent="0.25">
      <c r="A9" s="32" t="b">
        <v>1</v>
      </c>
      <c r="B9" s="25">
        <v>8</v>
      </c>
      <c r="C9" s="36" t="s">
        <v>24</v>
      </c>
      <c r="D9" s="36" t="s">
        <v>25</v>
      </c>
      <c r="E9" s="36" t="s">
        <v>21</v>
      </c>
      <c r="F9" s="36" t="s">
        <v>21</v>
      </c>
      <c r="G9" s="37">
        <v>6</v>
      </c>
      <c r="H9" s="36">
        <v>3.508</v>
      </c>
      <c r="I9" s="36">
        <v>1.5047830604421214E-2</v>
      </c>
      <c r="J9" s="36">
        <v>5.5075060012181645</v>
      </c>
      <c r="K9" s="36">
        <v>0.97</v>
      </c>
      <c r="L9" s="36">
        <v>1.3300227962422494E-2</v>
      </c>
      <c r="M9" s="36">
        <v>5.586095744217447</v>
      </c>
      <c r="N9" s="36">
        <v>3.746</v>
      </c>
      <c r="O9" s="36">
        <v>1.908421389689402E-2</v>
      </c>
      <c r="P9" s="36">
        <v>7.2138328530259397</v>
      </c>
      <c r="Q9" s="36">
        <v>0.40300000000000002</v>
      </c>
      <c r="R9" s="36">
        <v>8.8786076228244103E-3</v>
      </c>
      <c r="S9" s="36">
        <v>2.3972240581625908</v>
      </c>
      <c r="T9" s="36">
        <v>0.40432984312702608</v>
      </c>
      <c r="U9" s="36">
        <v>10.851000000000001</v>
      </c>
      <c r="V9" s="36">
        <v>0.3480687989540785</v>
      </c>
      <c r="W9" s="36">
        <v>2.3965784553207893E-2</v>
      </c>
      <c r="X9" s="36">
        <v>8.7714771464740888</v>
      </c>
      <c r="Y9" s="36">
        <v>26.837000000000003</v>
      </c>
      <c r="Z9" s="34">
        <v>29.476135803098231</v>
      </c>
      <c r="AA9" s="34">
        <v>14.283780258135186</v>
      </c>
      <c r="AB9" s="33">
        <v>3.0265557044381827E-2</v>
      </c>
      <c r="AC9" s="34">
        <v>52.754102545892927</v>
      </c>
    </row>
    <row r="10" spans="1:29" x14ac:dyDescent="0.25">
      <c r="A10" s="32" t="b">
        <v>1</v>
      </c>
      <c r="B10" s="25">
        <v>9</v>
      </c>
      <c r="C10" s="36" t="s">
        <v>253</v>
      </c>
      <c r="D10" s="36" t="s">
        <v>13</v>
      </c>
      <c r="E10" s="36" t="s">
        <v>21</v>
      </c>
      <c r="F10" s="36" t="s">
        <v>21</v>
      </c>
      <c r="G10" s="37">
        <v>7</v>
      </c>
      <c r="H10" s="36">
        <v>3.6650000000000005</v>
      </c>
      <c r="I10" s="36">
        <v>1.6454086202572486E-2</v>
      </c>
      <c r="J10" s="36">
        <v>6.0221955501415296</v>
      </c>
      <c r="K10" s="36">
        <v>0.84699999999999998</v>
      </c>
      <c r="L10" s="36">
        <v>1.1514280321180173E-2</v>
      </c>
      <c r="M10" s="36">
        <v>4.8359977348956722</v>
      </c>
      <c r="N10" s="36">
        <v>4.4320000000000004</v>
      </c>
      <c r="O10" s="36">
        <v>2.536023054755044E-2</v>
      </c>
      <c r="P10" s="36">
        <v>9.5861671469740664</v>
      </c>
      <c r="Q10" s="36">
        <v>9.2999999999999999E-2</v>
      </c>
      <c r="R10" s="36">
        <v>2.048909451421018E-3</v>
      </c>
      <c r="S10" s="36">
        <v>0.55320555188367482</v>
      </c>
      <c r="T10" s="36">
        <v>0.32871280745301568</v>
      </c>
      <c r="U10" s="36">
        <v>10.196342574385092</v>
      </c>
      <c r="V10" s="36">
        <v>0.33922502975586927</v>
      </c>
      <c r="W10" s="36">
        <v>8.3378161938980119E-3</v>
      </c>
      <c r="X10" s="36">
        <v>3.0516407269666725</v>
      </c>
      <c r="Y10" s="36">
        <v>31.018999999999998</v>
      </c>
      <c r="Z10" s="34">
        <v>24.049206710861618</v>
      </c>
      <c r="AA10" s="34">
        <v>8.8568511658985738</v>
      </c>
      <c r="AB10" s="33">
        <v>1.8766568047869081E-2</v>
      </c>
      <c r="AC10" s="34">
        <v>33.090831361856125</v>
      </c>
    </row>
    <row r="11" spans="1:29" x14ac:dyDescent="0.25">
      <c r="A11" s="32" t="b">
        <v>1</v>
      </c>
      <c r="B11" s="25">
        <v>10</v>
      </c>
      <c r="C11" s="36" t="s">
        <v>75</v>
      </c>
      <c r="D11" s="36" t="s">
        <v>76</v>
      </c>
      <c r="E11" s="36" t="s">
        <v>21</v>
      </c>
      <c r="F11" s="36" t="s">
        <v>21</v>
      </c>
      <c r="G11" s="37">
        <v>6</v>
      </c>
      <c r="H11" s="36">
        <v>4.0920000000000005</v>
      </c>
      <c r="I11" s="36">
        <v>2.0278743147862877E-2</v>
      </c>
      <c r="J11" s="36">
        <v>7.4220199921178125</v>
      </c>
      <c r="K11" s="36">
        <v>1.1460000000000001</v>
      </c>
      <c r="L11" s="36">
        <v>1.5855730278346469E-2</v>
      </c>
      <c r="M11" s="36">
        <v>6.6594067169055169</v>
      </c>
      <c r="N11" s="36">
        <v>2.6579999999999999</v>
      </c>
      <c r="O11" s="36">
        <v>9.1304148941036573E-3</v>
      </c>
      <c r="P11" s="36">
        <v>3.4512968299711826</v>
      </c>
      <c r="Q11" s="36">
        <v>0.313</v>
      </c>
      <c r="R11" s="36">
        <v>6.8957920246750385E-3</v>
      </c>
      <c r="S11" s="36">
        <v>1.8618638466622603</v>
      </c>
      <c r="T11" s="36">
        <v>0.3708778365159851</v>
      </c>
      <c r="U11" s="36">
        <v>10.313741755673028</v>
      </c>
      <c r="V11" s="36">
        <v>0.34434937694850909</v>
      </c>
      <c r="W11" s="36">
        <v>1.739313344538277E-2</v>
      </c>
      <c r="X11" s="36">
        <v>6.3658868410100942</v>
      </c>
      <c r="Y11" s="36">
        <v>27.808999999999997</v>
      </c>
      <c r="Z11" s="34">
        <v>25.760474226666865</v>
      </c>
      <c r="AA11" s="34">
        <v>10.568118681703821</v>
      </c>
      <c r="AB11" s="33">
        <v>2.2392531461042101E-2</v>
      </c>
      <c r="AC11" s="34">
        <v>39.291228798381994</v>
      </c>
    </row>
    <row r="12" spans="1:29" x14ac:dyDescent="0.25">
      <c r="A12" s="32" t="b">
        <v>1</v>
      </c>
      <c r="B12" s="25">
        <v>11</v>
      </c>
      <c r="C12" s="36" t="s">
        <v>55</v>
      </c>
      <c r="D12" s="36" t="s">
        <v>56</v>
      </c>
      <c r="E12" s="36" t="s">
        <v>21</v>
      </c>
      <c r="F12" s="36" t="s">
        <v>21</v>
      </c>
      <c r="G12" s="37">
        <v>7</v>
      </c>
      <c r="H12" s="36">
        <v>3.0879999999999996</v>
      </c>
      <c r="I12" s="36">
        <v>1.1285872953315908E-2</v>
      </c>
      <c r="J12" s="36">
        <v>4.1306295009136225</v>
      </c>
      <c r="K12" s="36">
        <v>0.58099999999999996</v>
      </c>
      <c r="L12" s="36">
        <v>7.651987048249622E-3</v>
      </c>
      <c r="M12" s="36">
        <v>3.213834560264841</v>
      </c>
      <c r="N12" s="36">
        <v>3.5519999999999996</v>
      </c>
      <c r="O12" s="36">
        <v>1.7309363707058233E-2</v>
      </c>
      <c r="P12" s="36">
        <v>6.5429394812680117</v>
      </c>
      <c r="Q12" s="36">
        <v>1.5620000000000001</v>
      </c>
      <c r="R12" s="36">
        <v>3.4412866270103551E-2</v>
      </c>
      <c r="S12" s="36">
        <v>9.291473892927959</v>
      </c>
      <c r="T12" s="36">
        <v>0.339885752688172</v>
      </c>
      <c r="U12" s="36">
        <v>10.114999999999998</v>
      </c>
      <c r="V12" s="36">
        <v>0.34068165016909541</v>
      </c>
      <c r="W12" s="36">
        <v>1.0911833812317145E-2</v>
      </c>
      <c r="X12" s="36">
        <v>3.9937311753080751</v>
      </c>
      <c r="Y12" s="36">
        <v>29.759999999999998</v>
      </c>
      <c r="Z12" s="34">
        <v>27.172608610682506</v>
      </c>
      <c r="AA12" s="34">
        <v>11.980253065719461</v>
      </c>
      <c r="AB12" s="33">
        <v>2.5384668905148802E-2</v>
      </c>
      <c r="AC12" s="34">
        <v>44.407783827804451</v>
      </c>
    </row>
    <row r="13" spans="1:29" x14ac:dyDescent="0.25">
      <c r="A13" s="32" t="b">
        <v>1</v>
      </c>
      <c r="B13" s="25">
        <v>12</v>
      </c>
      <c r="C13" s="36" t="s">
        <v>41</v>
      </c>
      <c r="D13" s="36" t="s">
        <v>42</v>
      </c>
      <c r="E13" s="36" t="s">
        <v>43</v>
      </c>
      <c r="F13" s="36" t="s">
        <v>37</v>
      </c>
      <c r="G13" s="37">
        <v>6</v>
      </c>
      <c r="H13" s="36">
        <v>3.4380000000000002</v>
      </c>
      <c r="I13" s="36">
        <v>1.4420837662570331E-2</v>
      </c>
      <c r="J13" s="36">
        <v>5.2780265845007408</v>
      </c>
      <c r="K13" s="36">
        <v>1.0640000000000001</v>
      </c>
      <c r="L13" s="36">
        <v>1.4665098517518254E-2</v>
      </c>
      <c r="M13" s="36">
        <v>6.1593413773576664</v>
      </c>
      <c r="N13" s="36">
        <v>4.0829999999999993</v>
      </c>
      <c r="O13" s="36">
        <v>2.216732994830977E-2</v>
      </c>
      <c r="P13" s="36">
        <v>8.3792507204610924</v>
      </c>
      <c r="Q13" s="36">
        <v>5.3000000000000005E-2</v>
      </c>
      <c r="R13" s="36">
        <v>1.1676580744657415E-3</v>
      </c>
      <c r="S13" s="36">
        <v>0.31526768010575024</v>
      </c>
      <c r="T13" s="36">
        <v>0.36720774272214596</v>
      </c>
      <c r="U13" s="36">
        <v>9.6370000000000005</v>
      </c>
      <c r="V13" s="36">
        <v>0.34375994270229099</v>
      </c>
      <c r="W13" s="36">
        <v>1.6351534604058936E-2</v>
      </c>
      <c r="X13" s="36">
        <v>5.9846616650855706</v>
      </c>
      <c r="Y13" s="36">
        <v>26.244000000000003</v>
      </c>
      <c r="Z13" s="34">
        <v>26.116548027510824</v>
      </c>
      <c r="AA13" s="34">
        <v>14.918045831802283</v>
      </c>
      <c r="AB13" s="33">
        <v>3.1609487051298304E-2</v>
      </c>
      <c r="AC13" s="34">
        <v>55.052222857720103</v>
      </c>
    </row>
    <row r="14" spans="1:29" x14ac:dyDescent="0.25">
      <c r="A14" s="32" t="b">
        <v>1</v>
      </c>
      <c r="B14" s="25">
        <v>13</v>
      </c>
      <c r="C14" s="36" t="s">
        <v>31</v>
      </c>
      <c r="D14" s="36" t="s">
        <v>32</v>
      </c>
      <c r="E14" s="36" t="s">
        <v>21</v>
      </c>
      <c r="F14" s="36" t="s">
        <v>21</v>
      </c>
      <c r="G14" s="37">
        <v>6</v>
      </c>
      <c r="H14" s="36">
        <v>3.1670000000000007</v>
      </c>
      <c r="I14" s="36">
        <v>1.1993479273404771E-2</v>
      </c>
      <c r="J14" s="36">
        <v>4.3896134140661465</v>
      </c>
      <c r="K14" s="36">
        <v>1.2490000000000001</v>
      </c>
      <c r="L14" s="36">
        <v>1.7351279929142885E-2</v>
      </c>
      <c r="M14" s="36">
        <v>7.287537570240012</v>
      </c>
      <c r="N14" s="36">
        <v>3.5390000000000001</v>
      </c>
      <c r="O14" s="36">
        <v>1.7190430446914602E-2</v>
      </c>
      <c r="P14" s="36">
        <v>6.4979827089337192</v>
      </c>
      <c r="Q14" s="36">
        <v>0.22600000000000003</v>
      </c>
      <c r="R14" s="36">
        <v>4.9790702797973133E-3</v>
      </c>
      <c r="S14" s="36">
        <v>1.3443489755452747</v>
      </c>
      <c r="T14" s="36">
        <v>0.39310013607620264</v>
      </c>
      <c r="U14" s="36">
        <v>9.8227862002721533</v>
      </c>
      <c r="V14" s="36">
        <v>0.34641507433616003</v>
      </c>
      <c r="W14" s="36">
        <v>2.1043460889551592E-2</v>
      </c>
      <c r="X14" s="36">
        <v>7.7019066855758824</v>
      </c>
      <c r="Y14" s="36">
        <v>24.988000000000003</v>
      </c>
      <c r="Z14" s="34">
        <v>27.221389354361033</v>
      </c>
      <c r="AA14" s="34">
        <v>12.029033809397989</v>
      </c>
      <c r="AB14" s="33">
        <v>2.548802924490403E-2</v>
      </c>
      <c r="AC14" s="34">
        <v>44.58453000878589</v>
      </c>
    </row>
    <row r="15" spans="1:29" x14ac:dyDescent="0.25">
      <c r="A15" s="32" t="b">
        <v>1</v>
      </c>
      <c r="B15" s="25">
        <v>14</v>
      </c>
      <c r="C15" s="36" t="s">
        <v>126</v>
      </c>
      <c r="D15" s="36" t="s">
        <v>76</v>
      </c>
      <c r="E15" s="36" t="s">
        <v>119</v>
      </c>
      <c r="F15" s="36" t="s">
        <v>30</v>
      </c>
      <c r="G15" s="37">
        <v>6</v>
      </c>
      <c r="H15" s="36">
        <v>3.8149999999999999</v>
      </c>
      <c r="I15" s="36">
        <v>1.7797642506538661E-2</v>
      </c>
      <c r="J15" s="36">
        <v>6.5139371573931495</v>
      </c>
      <c r="K15" s="36">
        <v>0.48200000000000004</v>
      </c>
      <c r="L15" s="36">
        <v>6.2145169955423896E-3</v>
      </c>
      <c r="M15" s="36">
        <v>2.6100971381278035</v>
      </c>
      <c r="N15" s="36">
        <v>3.8880000000000003</v>
      </c>
      <c r="O15" s="36">
        <v>2.0383331046155265E-2</v>
      </c>
      <c r="P15" s="36">
        <v>7.7048991354466905</v>
      </c>
      <c r="Q15" s="36">
        <v>0.24900000000000003</v>
      </c>
      <c r="R15" s="36">
        <v>5.4857898215465968E-3</v>
      </c>
      <c r="S15" s="36">
        <v>1.4811632518175812</v>
      </c>
      <c r="T15" s="36">
        <v>0.37042810019211958</v>
      </c>
      <c r="U15" s="36">
        <v>10.219000000000005</v>
      </c>
      <c r="V15" s="36">
        <v>0.3442715823259897</v>
      </c>
      <c r="W15" s="36">
        <v>1.7255661302904918E-2</v>
      </c>
      <c r="X15" s="36">
        <v>6.3155720368632</v>
      </c>
      <c r="Y15" s="36">
        <v>27.587000000000003</v>
      </c>
      <c r="Z15" s="34">
        <v>24.625668719648424</v>
      </c>
      <c r="AA15" s="34">
        <v>12.142450736999264</v>
      </c>
      <c r="AB15" s="33">
        <v>2.5728345633848747E-2</v>
      </c>
      <c r="AC15" s="34">
        <v>44.995471033881358</v>
      </c>
    </row>
    <row r="16" spans="1:29" x14ac:dyDescent="0.25">
      <c r="A16" s="32" t="b">
        <v>1</v>
      </c>
      <c r="B16" s="25">
        <v>15</v>
      </c>
      <c r="C16" s="36" t="s">
        <v>124</v>
      </c>
      <c r="D16" s="36" t="s">
        <v>76</v>
      </c>
      <c r="E16" s="36" t="s">
        <v>14</v>
      </c>
      <c r="F16" s="36" t="s">
        <v>14</v>
      </c>
      <c r="G16" s="37">
        <v>6</v>
      </c>
      <c r="H16" s="36">
        <v>3.4889999999999999</v>
      </c>
      <c r="I16" s="36">
        <v>1.487764680591883E-2</v>
      </c>
      <c r="J16" s="36">
        <v>5.4452187309662916</v>
      </c>
      <c r="K16" s="36">
        <v>0.98100000000000009</v>
      </c>
      <c r="L16" s="36">
        <v>1.3459946857167745E-2</v>
      </c>
      <c r="M16" s="36">
        <v>5.6531776800104527</v>
      </c>
      <c r="N16" s="36">
        <v>4.1430000000000007</v>
      </c>
      <c r="O16" s="36">
        <v>2.2716252687434255E-2</v>
      </c>
      <c r="P16" s="36">
        <v>8.5867435158501486</v>
      </c>
      <c r="Q16" s="36">
        <v>3.4000000000000002E-2</v>
      </c>
      <c r="R16" s="36">
        <v>7.4906367041198505E-4</v>
      </c>
      <c r="S16" s="36">
        <v>0.20224719101123595</v>
      </c>
      <c r="T16" s="36">
        <v>0.34888558692421989</v>
      </c>
      <c r="U16" s="36">
        <v>9.392348885586923</v>
      </c>
      <c r="V16" s="36">
        <v>0.34172439386951148</v>
      </c>
      <c r="W16" s="36">
        <v>1.2754483161451202E-2</v>
      </c>
      <c r="X16" s="36">
        <v>4.6681408370911397</v>
      </c>
      <c r="Y16" s="36">
        <v>26.920999999999999</v>
      </c>
      <c r="Z16" s="34">
        <v>24.555527954929268</v>
      </c>
      <c r="AA16" s="34">
        <v>8.5280139487689191</v>
      </c>
      <c r="AB16" s="33">
        <v>1.8069802809711273E-2</v>
      </c>
      <c r="AC16" s="34">
        <v>31.899362804606277</v>
      </c>
    </row>
    <row r="17" spans="1:29" x14ac:dyDescent="0.25">
      <c r="A17" s="32" t="b">
        <v>1</v>
      </c>
      <c r="B17" s="25">
        <v>16</v>
      </c>
      <c r="C17" s="36" t="s">
        <v>127</v>
      </c>
      <c r="D17" s="36" t="s">
        <v>128</v>
      </c>
      <c r="E17" s="36" t="s">
        <v>14</v>
      </c>
      <c r="F17" s="36" t="s">
        <v>14</v>
      </c>
      <c r="G17" s="37">
        <v>6</v>
      </c>
      <c r="H17" s="36">
        <v>3.21</v>
      </c>
      <c r="I17" s="36">
        <v>1.2378632080541735E-2</v>
      </c>
      <c r="J17" s="36">
        <v>4.5305793414782753</v>
      </c>
      <c r="K17" s="36">
        <v>1.0369999999999999</v>
      </c>
      <c r="L17" s="36">
        <v>1.4273061230416278E-2</v>
      </c>
      <c r="M17" s="36">
        <v>5.9946857167748364</v>
      </c>
      <c r="N17" s="36">
        <v>3.6719999999999993</v>
      </c>
      <c r="O17" s="36">
        <v>1.8407209185307166E-2</v>
      </c>
      <c r="P17" s="36">
        <v>6.957925072046109</v>
      </c>
      <c r="Q17" s="36">
        <v>0</v>
      </c>
      <c r="R17" s="36">
        <v>0</v>
      </c>
      <c r="S17" s="36">
        <v>0</v>
      </c>
      <c r="T17" s="36">
        <v>0.37667332297906964</v>
      </c>
      <c r="U17" s="36">
        <v>10.185246653354042</v>
      </c>
      <c r="V17" s="36">
        <v>0.34493031046306488</v>
      </c>
      <c r="W17" s="36">
        <v>1.8419710505555145E-2</v>
      </c>
      <c r="X17" s="36">
        <v>6.7416140450331827</v>
      </c>
      <c r="Y17" s="36">
        <v>27.04</v>
      </c>
      <c r="Z17" s="34">
        <v>24.224804175332402</v>
      </c>
      <c r="AA17" s="34">
        <v>8.197290169172053</v>
      </c>
      <c r="AB17" s="33">
        <v>1.7369040179901027E-2</v>
      </c>
      <c r="AC17" s="34">
        <v>30.701058707630757</v>
      </c>
    </row>
    <row r="18" spans="1:29" x14ac:dyDescent="0.25">
      <c r="A18" s="32" t="b">
        <v>1</v>
      </c>
      <c r="B18" s="25">
        <v>17</v>
      </c>
      <c r="C18" s="36" t="s">
        <v>146</v>
      </c>
      <c r="D18" s="36" t="s">
        <v>72</v>
      </c>
      <c r="E18" s="36" t="s">
        <v>21</v>
      </c>
      <c r="F18" s="36" t="s">
        <v>21</v>
      </c>
      <c r="G18" s="37">
        <v>7</v>
      </c>
      <c r="H18" s="36">
        <v>3.339</v>
      </c>
      <c r="I18" s="36">
        <v>1.3534090501952652E-2</v>
      </c>
      <c r="J18" s="36">
        <v>4.9534771237146709</v>
      </c>
      <c r="K18" s="36">
        <v>1.0820000000000001</v>
      </c>
      <c r="L18" s="36">
        <v>1.492645670891957E-2</v>
      </c>
      <c r="M18" s="36">
        <v>6.2691118177462197</v>
      </c>
      <c r="N18" s="36">
        <v>3.7549999999999999</v>
      </c>
      <c r="O18" s="36">
        <v>1.9166552307762683E-2</v>
      </c>
      <c r="P18" s="36">
        <v>7.2449567723342945</v>
      </c>
      <c r="Q18" s="36">
        <v>0.501</v>
      </c>
      <c r="R18" s="36">
        <v>1.1037673496364838E-2</v>
      </c>
      <c r="S18" s="36">
        <v>2.9801718440185061</v>
      </c>
      <c r="T18" s="36">
        <v>0.30947121358553092</v>
      </c>
      <c r="U18" s="36">
        <v>8.9669284136407583</v>
      </c>
      <c r="V18" s="36">
        <v>0.33695919093847115</v>
      </c>
      <c r="W18" s="36">
        <v>4.3338155747090698E-3</v>
      </c>
      <c r="X18" s="36">
        <v>1.5861765003435195</v>
      </c>
      <c r="Y18" s="36">
        <v>28.974999999999998</v>
      </c>
      <c r="Z18" s="34">
        <v>23.033894058157212</v>
      </c>
      <c r="AA18" s="34">
        <v>7.8415385131941679</v>
      </c>
      <c r="AB18" s="33">
        <v>1.6615246587234987E-2</v>
      </c>
      <c r="AC18" s="34">
        <v>29.412071664171826</v>
      </c>
    </row>
    <row r="19" spans="1:29" x14ac:dyDescent="0.25">
      <c r="A19" s="32" t="b">
        <v>1</v>
      </c>
      <c r="B19" s="25">
        <v>18</v>
      </c>
      <c r="C19" s="36" t="s">
        <v>39</v>
      </c>
      <c r="D19" s="36" t="s">
        <v>25</v>
      </c>
      <c r="E19" s="36" t="s">
        <v>21</v>
      </c>
      <c r="F19" s="36" t="s">
        <v>21</v>
      </c>
      <c r="G19" s="37">
        <v>6</v>
      </c>
      <c r="H19" s="36">
        <v>2.9650000000000003</v>
      </c>
      <c r="I19" s="36">
        <v>1.0184156784063645E-2</v>
      </c>
      <c r="J19" s="36">
        <v>3.7274013829672943</v>
      </c>
      <c r="K19" s="36">
        <v>0.76600000000000001</v>
      </c>
      <c r="L19" s="36">
        <v>1.0338168459874253E-2</v>
      </c>
      <c r="M19" s="36">
        <v>4.3420307531471867</v>
      </c>
      <c r="N19" s="36">
        <v>3.6499999999999995</v>
      </c>
      <c r="O19" s="36">
        <v>1.8205937514294862E-2</v>
      </c>
      <c r="P19" s="36">
        <v>6.8818443804034581</v>
      </c>
      <c r="Q19" s="36">
        <v>1.171</v>
      </c>
      <c r="R19" s="36">
        <v>2.579863406036572E-2</v>
      </c>
      <c r="S19" s="36">
        <v>6.9656311962987445</v>
      </c>
      <c r="T19" s="36">
        <v>0.34824806083069043</v>
      </c>
      <c r="U19" s="36">
        <v>9.113999999999999</v>
      </c>
      <c r="V19" s="36">
        <v>0.34163004641320371</v>
      </c>
      <c r="W19" s="36">
        <v>1.2587760237219114E-2</v>
      </c>
      <c r="X19" s="36">
        <v>4.6071202468221957</v>
      </c>
      <c r="Y19" s="36">
        <v>26.170999999999999</v>
      </c>
      <c r="Z19" s="34">
        <v>26.524027959638879</v>
      </c>
      <c r="AA19" s="34">
        <v>11.331672414675834</v>
      </c>
      <c r="AB19" s="33">
        <v>2.401040702647958E-2</v>
      </c>
      <c r="AC19" s="34">
        <v>42.057796015280083</v>
      </c>
    </row>
    <row r="20" spans="1:29" x14ac:dyDescent="0.25">
      <c r="A20" s="32" t="b">
        <v>1</v>
      </c>
      <c r="B20" s="25">
        <v>19</v>
      </c>
      <c r="C20" s="36" t="s">
        <v>66</v>
      </c>
      <c r="D20" s="36" t="s">
        <v>67</v>
      </c>
      <c r="E20" s="36" t="s">
        <v>21</v>
      </c>
      <c r="F20" s="36" t="s">
        <v>21</v>
      </c>
      <c r="G20" s="37">
        <v>6</v>
      </c>
      <c r="H20" s="36">
        <v>2.9550000000000001</v>
      </c>
      <c r="I20" s="36">
        <v>1.0094586363799231E-2</v>
      </c>
      <c r="J20" s="36">
        <v>3.6946186091505187</v>
      </c>
      <c r="K20" s="36">
        <v>1.4789999999999999</v>
      </c>
      <c r="L20" s="36">
        <v>2.0690856819270801E-2</v>
      </c>
      <c r="M20" s="36">
        <v>8.6901598640937365</v>
      </c>
      <c r="N20" s="36">
        <v>3.4650000000000003</v>
      </c>
      <c r="O20" s="36">
        <v>1.6513425735327759E-2</v>
      </c>
      <c r="P20" s="36">
        <v>6.242074927953893</v>
      </c>
      <c r="Q20" s="36">
        <v>0.16900000000000001</v>
      </c>
      <c r="R20" s="36">
        <v>3.7232870676360435E-3</v>
      </c>
      <c r="S20" s="36">
        <v>1.0052875082617319</v>
      </c>
      <c r="T20" s="36">
        <v>0.34639681796911559</v>
      </c>
      <c r="U20" s="36">
        <v>8.88265360318203</v>
      </c>
      <c r="V20" s="36">
        <v>0.34141153616932707</v>
      </c>
      <c r="W20" s="36">
        <v>1.2201627232054214E-2</v>
      </c>
      <c r="X20" s="36">
        <v>4.4657955669318428</v>
      </c>
      <c r="Y20" s="36">
        <v>25.642999999999997</v>
      </c>
      <c r="Z20" s="34">
        <v>24.09793647639172</v>
      </c>
      <c r="AA20" s="34">
        <v>8.9055809314286751</v>
      </c>
      <c r="AB20" s="33">
        <v>1.8869820371256698E-2</v>
      </c>
      <c r="AC20" s="34">
        <v>33.267392834848955</v>
      </c>
    </row>
    <row r="21" spans="1:29" x14ac:dyDescent="0.25">
      <c r="A21" s="32" t="b">
        <v>1</v>
      </c>
      <c r="B21" s="25">
        <v>20</v>
      </c>
      <c r="C21" s="36" t="s">
        <v>254</v>
      </c>
      <c r="D21" s="36" t="s">
        <v>128</v>
      </c>
      <c r="E21" s="36" t="s">
        <v>116</v>
      </c>
      <c r="F21" s="36" t="s">
        <v>46</v>
      </c>
      <c r="G21" s="37">
        <v>6</v>
      </c>
      <c r="H21" s="36">
        <v>3.4260000000000002</v>
      </c>
      <c r="I21" s="36">
        <v>1.4313353158253037E-2</v>
      </c>
      <c r="J21" s="36">
        <v>5.2386872559206115</v>
      </c>
      <c r="K21" s="36">
        <v>0.20200000000000001</v>
      </c>
      <c r="L21" s="36">
        <v>2.1489451292997048E-3</v>
      </c>
      <c r="M21" s="36">
        <v>0.90255695430587601</v>
      </c>
      <c r="N21" s="36">
        <v>2.2429999999999999</v>
      </c>
      <c r="O21" s="36">
        <v>5.3336992818260841E-3</v>
      </c>
      <c r="P21" s="36">
        <v>2.0161383285302596</v>
      </c>
      <c r="Q21" s="36">
        <v>2.1360000000000001</v>
      </c>
      <c r="R21" s="36">
        <v>4.7058823529411764E-2</v>
      </c>
      <c r="S21" s="36">
        <v>12.705882352941176</v>
      </c>
      <c r="T21" s="36">
        <v>0.34841756537675334</v>
      </c>
      <c r="U21" s="36">
        <v>9.8856515824346225</v>
      </c>
      <c r="V21" s="36">
        <v>0.34171218426434596</v>
      </c>
      <c r="W21" s="36">
        <v>1.2732907369621972E-2</v>
      </c>
      <c r="X21" s="36">
        <v>4.6602440972816419</v>
      </c>
      <c r="Y21" s="36">
        <v>28.373000000000001</v>
      </c>
      <c r="Z21" s="34">
        <v>25.523508988979565</v>
      </c>
      <c r="AA21" s="34">
        <v>9.2689122241569564</v>
      </c>
      <c r="AB21" s="33">
        <v>1.9639674273189547E-2</v>
      </c>
      <c r="AC21" s="34">
        <v>34.583843007154123</v>
      </c>
    </row>
    <row r="22" spans="1:29" x14ac:dyDescent="0.25">
      <c r="A22" s="32" t="b">
        <v>1</v>
      </c>
      <c r="B22" s="25">
        <v>21</v>
      </c>
      <c r="C22" s="36" t="s">
        <v>60</v>
      </c>
      <c r="D22" s="36" t="s">
        <v>61</v>
      </c>
      <c r="E22" s="36" t="s">
        <v>30</v>
      </c>
      <c r="F22" s="36" t="s">
        <v>30</v>
      </c>
      <c r="G22" s="37">
        <v>6</v>
      </c>
      <c r="H22" s="36">
        <v>3.4260000000000002</v>
      </c>
      <c r="I22" s="36">
        <v>1.4313353158253037E-2</v>
      </c>
      <c r="J22" s="36">
        <v>5.2386872559206115</v>
      </c>
      <c r="K22" s="36">
        <v>0.98799999999999999</v>
      </c>
      <c r="L22" s="36">
        <v>1.356158615382381E-2</v>
      </c>
      <c r="M22" s="36">
        <v>5.6958661846060004</v>
      </c>
      <c r="N22" s="36">
        <v>3.4220000000000006</v>
      </c>
      <c r="O22" s="36">
        <v>1.6120031105621893E-2</v>
      </c>
      <c r="P22" s="36">
        <v>6.0933717579250759</v>
      </c>
      <c r="Q22" s="36">
        <v>2.4E-2</v>
      </c>
      <c r="R22" s="36">
        <v>5.2875082617316594E-4</v>
      </c>
      <c r="S22" s="36">
        <v>0.1427627230667548</v>
      </c>
      <c r="T22" s="36">
        <v>0.36385626780071001</v>
      </c>
      <c r="U22" s="36">
        <v>9.3249084311965955</v>
      </c>
      <c r="V22" s="36">
        <v>0.34332973731861055</v>
      </c>
      <c r="W22" s="36">
        <v>1.5591311674957165E-2</v>
      </c>
      <c r="X22" s="36">
        <v>5.7064200730343222</v>
      </c>
      <c r="Y22" s="36">
        <v>25.628</v>
      </c>
      <c r="Z22" s="34">
        <v>22.877107994552766</v>
      </c>
      <c r="AA22" s="34">
        <v>10.393890011903606</v>
      </c>
      <c r="AB22" s="33">
        <v>2.2023362540118531E-2</v>
      </c>
      <c r="AC22" s="34">
        <v>38.65994994360269</v>
      </c>
    </row>
    <row r="23" spans="1:29" x14ac:dyDescent="0.25">
      <c r="A23" s="32" t="b">
        <v>1</v>
      </c>
      <c r="B23" s="25">
        <v>22</v>
      </c>
      <c r="C23" s="36" t="s">
        <v>150</v>
      </c>
      <c r="D23" s="36" t="s">
        <v>42</v>
      </c>
      <c r="E23" s="36" t="s">
        <v>142</v>
      </c>
      <c r="F23" s="36" t="s">
        <v>30</v>
      </c>
      <c r="G23" s="37">
        <v>6</v>
      </c>
      <c r="H23" s="36">
        <v>3.879</v>
      </c>
      <c r="I23" s="36">
        <v>1.8370893196230902E-2</v>
      </c>
      <c r="J23" s="36">
        <v>6.7237469098205098</v>
      </c>
      <c r="K23" s="36">
        <v>0.79900000000000004</v>
      </c>
      <c r="L23" s="36">
        <v>1.0817325144109999E-2</v>
      </c>
      <c r="M23" s="36">
        <v>4.5432765605261993</v>
      </c>
      <c r="N23" s="36">
        <v>3.7010000000000005</v>
      </c>
      <c r="O23" s="36">
        <v>1.8672521842550669E-2</v>
      </c>
      <c r="P23" s="36">
        <v>7.0582132564841533</v>
      </c>
      <c r="Q23" s="36">
        <v>0.19900000000000001</v>
      </c>
      <c r="R23" s="36">
        <v>4.3842256003525006E-3</v>
      </c>
      <c r="S23" s="36">
        <v>1.1837409120951752</v>
      </c>
      <c r="T23" s="36">
        <v>0.31575818377735665</v>
      </c>
      <c r="U23" s="36">
        <v>8.4973684836324459</v>
      </c>
      <c r="V23" s="36">
        <v>0.3379225783844178</v>
      </c>
      <c r="W23" s="36">
        <v>6.0362331961525675E-3</v>
      </c>
      <c r="X23" s="36">
        <v>2.2092613497918396</v>
      </c>
      <c r="Y23" s="36">
        <v>26.911000000000005</v>
      </c>
      <c r="Z23" s="34">
        <v>21.718238988717879</v>
      </c>
      <c r="AA23" s="34">
        <v>9.2350210060687186</v>
      </c>
      <c r="AB23" s="33">
        <v>1.9567862989634626E-2</v>
      </c>
      <c r="AC23" s="34">
        <v>34.461045712275208</v>
      </c>
    </row>
    <row r="24" spans="1:29" x14ac:dyDescent="0.25">
      <c r="A24" s="32" t="b">
        <v>1</v>
      </c>
      <c r="B24" s="25">
        <v>23</v>
      </c>
      <c r="C24" s="36" t="s">
        <v>79</v>
      </c>
      <c r="D24" s="36" t="s">
        <v>23</v>
      </c>
      <c r="E24" s="36" t="s">
        <v>21</v>
      </c>
      <c r="F24" s="36" t="s">
        <v>21</v>
      </c>
      <c r="G24" s="37">
        <v>6</v>
      </c>
      <c r="H24" s="36">
        <v>3.6349999999999998</v>
      </c>
      <c r="I24" s="36">
        <v>1.6185374941779244E-2</v>
      </c>
      <c r="J24" s="36">
        <v>5.9238472286912032</v>
      </c>
      <c r="K24" s="36">
        <v>0.65600000000000003</v>
      </c>
      <c r="L24" s="36">
        <v>8.7409795124217711E-3</v>
      </c>
      <c r="M24" s="36">
        <v>3.6712113952171439</v>
      </c>
      <c r="N24" s="36">
        <v>2.1870000000000003</v>
      </c>
      <c r="O24" s="36">
        <v>4.8213713919765836E-3</v>
      </c>
      <c r="P24" s="36">
        <v>1.8224783861671485</v>
      </c>
      <c r="Q24" s="36">
        <v>1.446</v>
      </c>
      <c r="R24" s="36">
        <v>3.1857237276933244E-2</v>
      </c>
      <c r="S24" s="36">
        <v>8.6014540647719766</v>
      </c>
      <c r="T24" s="36">
        <v>0.33850619627107298</v>
      </c>
      <c r="U24" s="36">
        <v>9.0953229876074602</v>
      </c>
      <c r="V24" s="36">
        <v>0.34053337243047394</v>
      </c>
      <c r="W24" s="36">
        <v>1.0649809809244381E-2</v>
      </c>
      <c r="X24" s="36">
        <v>3.8978303901834437</v>
      </c>
      <c r="Y24" s="36">
        <v>26.869</v>
      </c>
      <c r="Z24" s="34">
        <v>23.916821465030914</v>
      </c>
      <c r="AA24" s="34">
        <v>8.7244659200678694</v>
      </c>
      <c r="AB24" s="33">
        <v>1.848606014750134E-2</v>
      </c>
      <c r="AC24" s="34">
        <v>32.611162852227295</v>
      </c>
    </row>
    <row r="25" spans="1:29" x14ac:dyDescent="0.25">
      <c r="A25" s="32" t="b">
        <v>1</v>
      </c>
      <c r="B25" s="25">
        <v>24</v>
      </c>
      <c r="C25" s="36" t="s">
        <v>74</v>
      </c>
      <c r="D25" s="36" t="s">
        <v>56</v>
      </c>
      <c r="E25" s="36" t="s">
        <v>16</v>
      </c>
      <c r="F25" s="36" t="s">
        <v>16</v>
      </c>
      <c r="G25" s="37">
        <v>7</v>
      </c>
      <c r="H25" s="36">
        <v>3.3739999999999997</v>
      </c>
      <c r="I25" s="36">
        <v>1.3847586972878091E-2</v>
      </c>
      <c r="J25" s="36">
        <v>5.0682168320733814</v>
      </c>
      <c r="K25" s="36">
        <v>0.86499999999999999</v>
      </c>
      <c r="L25" s="36">
        <v>1.1775638512581487E-2</v>
      </c>
      <c r="M25" s="36">
        <v>4.9457681752842246</v>
      </c>
      <c r="N25" s="36">
        <v>2.8180000000000001</v>
      </c>
      <c r="O25" s="36">
        <v>1.0594208865102241E-2</v>
      </c>
      <c r="P25" s="36">
        <v>4.0046109510086474</v>
      </c>
      <c r="Q25" s="36">
        <v>0.153</v>
      </c>
      <c r="R25" s="36">
        <v>3.3707865168539327E-3</v>
      </c>
      <c r="S25" s="36">
        <v>0.9101123595505618</v>
      </c>
      <c r="T25" s="36">
        <v>0.32235355751285161</v>
      </c>
      <c r="U25" s="36">
        <v>9.8437105857699496</v>
      </c>
      <c r="V25" s="36">
        <v>0.33843083800068002</v>
      </c>
      <c r="W25" s="36">
        <v>6.934387028894983E-3</v>
      </c>
      <c r="X25" s="36">
        <v>2.5379856525755637</v>
      </c>
      <c r="Y25" s="36">
        <v>30.536999999999999</v>
      </c>
      <c r="Z25" s="34">
        <v>17.466693970492379</v>
      </c>
      <c r="AA25" s="34">
        <v>1.9589555634509104</v>
      </c>
      <c r="AB25" s="33">
        <v>4.1507836358141443E-3</v>
      </c>
      <c r="AC25" s="34">
        <v>8.0978400172421878</v>
      </c>
    </row>
    <row r="26" spans="1:29" x14ac:dyDescent="0.25">
      <c r="A26" s="32" t="b">
        <v>1</v>
      </c>
      <c r="B26" s="25">
        <v>25</v>
      </c>
      <c r="C26" s="36" t="s">
        <v>168</v>
      </c>
      <c r="D26" s="36" t="s">
        <v>143</v>
      </c>
      <c r="E26" s="36" t="s">
        <v>14</v>
      </c>
      <c r="F26" s="36" t="s">
        <v>14</v>
      </c>
      <c r="G26" s="37">
        <v>6</v>
      </c>
      <c r="H26" s="36">
        <v>2.9020000000000001</v>
      </c>
      <c r="I26" s="36">
        <v>9.6198631363978489E-3</v>
      </c>
      <c r="J26" s="36">
        <v>3.5208699079216128</v>
      </c>
      <c r="K26" s="36">
        <v>1.1719999999999999</v>
      </c>
      <c r="L26" s="36">
        <v>1.6233247665926143E-2</v>
      </c>
      <c r="M26" s="36">
        <v>6.8179640196889801</v>
      </c>
      <c r="N26" s="36">
        <v>3.4560000000000004</v>
      </c>
      <c r="O26" s="36">
        <v>1.6431087324459089E-2</v>
      </c>
      <c r="P26" s="36">
        <v>6.2109510086455355</v>
      </c>
      <c r="Q26" s="36">
        <v>4.9000000000000002E-2</v>
      </c>
      <c r="R26" s="36">
        <v>1.0795329367702137E-3</v>
      </c>
      <c r="S26" s="36">
        <v>0.29147389292795772</v>
      </c>
      <c r="T26" s="36">
        <v>0.35787753149417956</v>
      </c>
      <c r="U26" s="36">
        <v>8.9770000000000003</v>
      </c>
      <c r="V26" s="36">
        <v>0.34263721933568836</v>
      </c>
      <c r="W26" s="36">
        <v>1.4367551886251622E-2</v>
      </c>
      <c r="X26" s="36">
        <v>5.2585239903680936</v>
      </c>
      <c r="Y26" s="36">
        <v>25.084</v>
      </c>
      <c r="Z26" s="34">
        <v>22.099782819552182</v>
      </c>
      <c r="AA26" s="34">
        <v>6.0722688133918332</v>
      </c>
      <c r="AB26" s="33">
        <v>1.2866383747107902E-2</v>
      </c>
      <c r="AC26" s="34">
        <v>23.001516207554513</v>
      </c>
    </row>
    <row r="27" spans="1:29" x14ac:dyDescent="0.25">
      <c r="A27" s="32" t="b">
        <v>1</v>
      </c>
      <c r="B27" s="25">
        <v>26</v>
      </c>
      <c r="C27" s="36" t="s">
        <v>255</v>
      </c>
      <c r="D27" s="36" t="s">
        <v>76</v>
      </c>
      <c r="E27" s="36" t="s">
        <v>46</v>
      </c>
      <c r="F27" s="36" t="s">
        <v>46</v>
      </c>
      <c r="G27" s="37">
        <v>6</v>
      </c>
      <c r="H27" s="36">
        <v>3.8770000000000002</v>
      </c>
      <c r="I27" s="36">
        <v>1.8352979112178019E-2</v>
      </c>
      <c r="J27" s="36">
        <v>6.7171903550571548</v>
      </c>
      <c r="K27" s="36">
        <v>0.39900000000000002</v>
      </c>
      <c r="L27" s="36">
        <v>5.0093653351918795E-3</v>
      </c>
      <c r="M27" s="36">
        <v>2.1039334407805894</v>
      </c>
      <c r="N27" s="36">
        <v>2.7199999999999998</v>
      </c>
      <c r="O27" s="36">
        <v>9.697635057865606E-3</v>
      </c>
      <c r="P27" s="36">
        <v>3.6657060518731992</v>
      </c>
      <c r="Q27" s="36">
        <v>0.29599999999999999</v>
      </c>
      <c r="R27" s="36">
        <v>6.5212601894690456E-3</v>
      </c>
      <c r="S27" s="36">
        <v>1.7607402511566423</v>
      </c>
      <c r="T27" s="36">
        <v>0.35221238938053095</v>
      </c>
      <c r="U27" s="36">
        <v>9.9510566371681417</v>
      </c>
      <c r="V27" s="36">
        <v>0.34216335952267768</v>
      </c>
      <c r="W27" s="36">
        <v>1.3530186505212627E-2</v>
      </c>
      <c r="X27" s="36">
        <v>4.9520482609078211</v>
      </c>
      <c r="Y27" s="36">
        <v>28.253</v>
      </c>
      <c r="Z27" s="34">
        <v>19.199618359775407</v>
      </c>
      <c r="AA27" s="34">
        <v>2.9450215949527987</v>
      </c>
      <c r="AB27" s="33">
        <v>6.2401351370702874E-3</v>
      </c>
      <c r="AC27" s="34">
        <v>11.670631084390191</v>
      </c>
    </row>
    <row r="28" spans="1:29" x14ac:dyDescent="0.25">
      <c r="A28" s="32" t="b">
        <v>1</v>
      </c>
      <c r="B28" s="25">
        <v>27</v>
      </c>
      <c r="C28" s="36" t="s">
        <v>97</v>
      </c>
      <c r="D28" s="36" t="s">
        <v>76</v>
      </c>
      <c r="E28" s="36" t="s">
        <v>21</v>
      </c>
      <c r="F28" s="36" t="s">
        <v>21</v>
      </c>
      <c r="G28" s="37">
        <v>6</v>
      </c>
      <c r="H28" s="36">
        <v>3.2239999999999998</v>
      </c>
      <c r="I28" s="36">
        <v>1.2504030668911911E-2</v>
      </c>
      <c r="J28" s="36">
        <v>4.5764752248217597</v>
      </c>
      <c r="K28" s="36">
        <v>0.70400000000000007</v>
      </c>
      <c r="L28" s="36">
        <v>9.4379346894919464E-3</v>
      </c>
      <c r="M28" s="36">
        <v>3.9639325695866177</v>
      </c>
      <c r="N28" s="36">
        <v>2.9369999999999998</v>
      </c>
      <c r="O28" s="36">
        <v>1.1682905631032433E-2</v>
      </c>
      <c r="P28" s="36">
        <v>4.41613832853026</v>
      </c>
      <c r="Q28" s="36">
        <v>0.24199999999999999</v>
      </c>
      <c r="R28" s="36">
        <v>5.3315708305794228E-3</v>
      </c>
      <c r="S28" s="36">
        <v>1.4395241242564443</v>
      </c>
      <c r="T28" s="36">
        <v>0.37036482133493148</v>
      </c>
      <c r="U28" s="36">
        <v>9.8880000000000017</v>
      </c>
      <c r="V28" s="36">
        <v>0.34416512522294451</v>
      </c>
      <c r="W28" s="36">
        <v>1.7067539225007311E-2</v>
      </c>
      <c r="X28" s="36">
        <v>6.2467193563526759</v>
      </c>
      <c r="Y28" s="36">
        <v>26.698</v>
      </c>
      <c r="Z28" s="34">
        <v>20.642789603547754</v>
      </c>
      <c r="AA28" s="34">
        <v>5.45043405858471</v>
      </c>
      <c r="AB28" s="33">
        <v>1.1548793102077128E-2</v>
      </c>
      <c r="AC28" s="34">
        <v>20.74843620455189</v>
      </c>
    </row>
    <row r="29" spans="1:29" x14ac:dyDescent="0.25">
      <c r="A29" s="32" t="b">
        <v>1</v>
      </c>
      <c r="B29" s="25">
        <v>28</v>
      </c>
      <c r="C29" s="36" t="s">
        <v>122</v>
      </c>
      <c r="D29" s="36" t="s">
        <v>90</v>
      </c>
      <c r="E29" s="36" t="s">
        <v>116</v>
      </c>
      <c r="F29" s="36" t="s">
        <v>46</v>
      </c>
      <c r="G29" s="37">
        <v>6</v>
      </c>
      <c r="H29" s="36">
        <v>3.4</v>
      </c>
      <c r="I29" s="36">
        <v>1.4080470065565563E-2</v>
      </c>
      <c r="J29" s="36">
        <v>5.153452043996996</v>
      </c>
      <c r="K29" s="36">
        <v>0.73799999999999999</v>
      </c>
      <c r="L29" s="36">
        <v>9.9316112732499851E-3</v>
      </c>
      <c r="M29" s="36">
        <v>4.1712767347649935</v>
      </c>
      <c r="N29" s="36">
        <v>2.4499999999999997</v>
      </c>
      <c r="O29" s="36">
        <v>7.2274827318054985E-3</v>
      </c>
      <c r="P29" s="36">
        <v>2.7319884726224783</v>
      </c>
      <c r="Q29" s="36">
        <v>0.90700000000000003</v>
      </c>
      <c r="R29" s="36">
        <v>1.9982374972460894E-2</v>
      </c>
      <c r="S29" s="36">
        <v>5.3952412425644409</v>
      </c>
      <c r="T29" s="36">
        <v>0.32971916103803772</v>
      </c>
      <c r="U29" s="36">
        <v>9.2753297191610393</v>
      </c>
      <c r="V29" s="36">
        <v>0.33947391224611639</v>
      </c>
      <c r="W29" s="36">
        <v>8.7776204895094277E-3</v>
      </c>
      <c r="X29" s="36">
        <v>3.2126090991604506</v>
      </c>
      <c r="Y29" s="36">
        <v>28.131</v>
      </c>
      <c r="Z29" s="34">
        <v>20.664567593109361</v>
      </c>
      <c r="AA29" s="34">
        <v>4.4099708282867525</v>
      </c>
      <c r="AB29" s="33">
        <v>9.3441806899511645E-3</v>
      </c>
      <c r="AC29" s="34">
        <v>16.978548979816491</v>
      </c>
    </row>
    <row r="30" spans="1:29" x14ac:dyDescent="0.25">
      <c r="A30" s="32" t="b">
        <v>1</v>
      </c>
      <c r="B30" s="25">
        <v>29</v>
      </c>
      <c r="C30" s="36" t="s">
        <v>64</v>
      </c>
      <c r="D30" s="36" t="s">
        <v>42</v>
      </c>
      <c r="E30" s="36" t="s">
        <v>46</v>
      </c>
      <c r="F30" s="36" t="s">
        <v>46</v>
      </c>
      <c r="G30" s="37">
        <v>6</v>
      </c>
      <c r="H30" s="36">
        <v>3.81</v>
      </c>
      <c r="I30" s="36">
        <v>1.7752857296406455E-2</v>
      </c>
      <c r="J30" s="36">
        <v>6.4975457704847628</v>
      </c>
      <c r="K30" s="36">
        <v>0.44</v>
      </c>
      <c r="L30" s="36">
        <v>5.6046812156059864E-3</v>
      </c>
      <c r="M30" s="36">
        <v>2.3539661105545142</v>
      </c>
      <c r="N30" s="36">
        <v>2.7090000000000001</v>
      </c>
      <c r="O30" s="36">
        <v>9.5969992223594557E-3</v>
      </c>
      <c r="P30" s="36">
        <v>3.6276657060518742</v>
      </c>
      <c r="Q30" s="36">
        <v>0.188</v>
      </c>
      <c r="R30" s="36">
        <v>4.1418814716897992E-3</v>
      </c>
      <c r="S30" s="36">
        <v>1.1183079973562458</v>
      </c>
      <c r="T30" s="36">
        <v>0.36079483646384802</v>
      </c>
      <c r="U30" s="36">
        <v>9.9500000000000011</v>
      </c>
      <c r="V30" s="36">
        <v>0.34314093718791416</v>
      </c>
      <c r="W30" s="36">
        <v>1.5257679893911344E-2</v>
      </c>
      <c r="X30" s="36">
        <v>5.5843108411715523</v>
      </c>
      <c r="Y30" s="36">
        <v>27.577999999999999</v>
      </c>
      <c r="Z30" s="34">
        <v>19.181796425618948</v>
      </c>
      <c r="AA30" s="34">
        <v>2.9271996607963402</v>
      </c>
      <c r="AB30" s="33">
        <v>6.2023726711750065E-3</v>
      </c>
      <c r="AC30" s="34">
        <v>11.606057267709261</v>
      </c>
    </row>
    <row r="31" spans="1:29" x14ac:dyDescent="0.25">
      <c r="A31" s="32" t="b">
        <v>1</v>
      </c>
      <c r="B31" s="25">
        <v>30</v>
      </c>
      <c r="C31" s="36" t="s">
        <v>256</v>
      </c>
      <c r="D31" s="36" t="s">
        <v>72</v>
      </c>
      <c r="E31" s="36" t="s">
        <v>21</v>
      </c>
      <c r="F31" s="36" t="s">
        <v>21</v>
      </c>
      <c r="G31" s="37">
        <v>7</v>
      </c>
      <c r="H31" s="36">
        <v>3.0169999999999999</v>
      </c>
      <c r="I31" s="36">
        <v>1.0649922969438584E-2</v>
      </c>
      <c r="J31" s="36">
        <v>3.8978718068145217</v>
      </c>
      <c r="K31" s="36">
        <v>1.1880000000000002</v>
      </c>
      <c r="L31" s="36">
        <v>1.6465566058282873E-2</v>
      </c>
      <c r="M31" s="36">
        <v>6.9155377444788062</v>
      </c>
      <c r="N31" s="36">
        <v>3.2809999999999997</v>
      </c>
      <c r="O31" s="36">
        <v>1.4830062668679384E-2</v>
      </c>
      <c r="P31" s="36">
        <v>5.6057636887608071</v>
      </c>
      <c r="Q31" s="36">
        <v>0.13100000000000001</v>
      </c>
      <c r="R31" s="36">
        <v>2.8860982595285307E-3</v>
      </c>
      <c r="S31" s="36">
        <v>0.77924653007270328</v>
      </c>
      <c r="T31" s="36">
        <v>0.31425328935702385</v>
      </c>
      <c r="U31" s="36">
        <v>8.8610000000000024</v>
      </c>
      <c r="V31" s="36">
        <v>0.3376217379705338</v>
      </c>
      <c r="W31" s="36">
        <v>5.5046132087909613E-3</v>
      </c>
      <c r="X31" s="36">
        <v>2.0146884344174918</v>
      </c>
      <c r="Y31" s="36">
        <v>28.197000000000003</v>
      </c>
      <c r="Z31" s="34">
        <v>19.213108204544334</v>
      </c>
      <c r="AA31" s="34">
        <v>4.020752659581289</v>
      </c>
      <c r="AB31" s="33">
        <v>8.5194757116625278E-3</v>
      </c>
      <c r="AC31" s="34">
        <v>15.568303466942922</v>
      </c>
    </row>
    <row r="32" spans="1:29" x14ac:dyDescent="0.25">
      <c r="A32" s="32" t="b">
        <v>1</v>
      </c>
      <c r="B32" s="25">
        <v>31</v>
      </c>
      <c r="C32" s="36" t="s">
        <v>68</v>
      </c>
      <c r="D32" s="36" t="s">
        <v>61</v>
      </c>
      <c r="E32" s="36" t="s">
        <v>21</v>
      </c>
      <c r="F32" s="36" t="s">
        <v>21</v>
      </c>
      <c r="G32" s="37">
        <v>6</v>
      </c>
      <c r="H32" s="36">
        <v>3.5970000000000004</v>
      </c>
      <c r="I32" s="36">
        <v>1.5845007344774484E-2</v>
      </c>
      <c r="J32" s="36">
        <v>5.799272688187461</v>
      </c>
      <c r="K32" s="36">
        <v>0.629</v>
      </c>
      <c r="L32" s="36">
        <v>8.3489422253197974E-3</v>
      </c>
      <c r="M32" s="36">
        <v>3.5065557346343148</v>
      </c>
      <c r="N32" s="36">
        <v>2.0049999999999999</v>
      </c>
      <c r="O32" s="36">
        <v>3.1563057499656927E-3</v>
      </c>
      <c r="P32" s="36">
        <v>1.1930835734870318</v>
      </c>
      <c r="Q32" s="36">
        <v>1.5569999999999999</v>
      </c>
      <c r="R32" s="36">
        <v>3.4302709847984135E-2</v>
      </c>
      <c r="S32" s="36">
        <v>9.2617316589557159</v>
      </c>
      <c r="T32" s="36">
        <v>0.32624981456757157</v>
      </c>
      <c r="U32" s="36">
        <v>8.7960212505562971</v>
      </c>
      <c r="V32" s="36">
        <v>0.33912379267867171</v>
      </c>
      <c r="W32" s="36">
        <v>8.1589185085589582E-3</v>
      </c>
      <c r="X32" s="36">
        <v>2.9861641741325786</v>
      </c>
      <c r="Y32" s="36">
        <v>26.960999999999999</v>
      </c>
      <c r="Z32" s="34">
        <v>22.746807829397103</v>
      </c>
      <c r="AA32" s="34">
        <v>7.554452284434058</v>
      </c>
      <c r="AB32" s="33">
        <v>1.6006946510072506E-2</v>
      </c>
      <c r="AC32" s="34">
        <v>28.371878532223985</v>
      </c>
    </row>
    <row r="33" spans="1:29" x14ac:dyDescent="0.25">
      <c r="A33" s="32" t="b">
        <v>1</v>
      </c>
      <c r="B33" s="25">
        <v>32</v>
      </c>
      <c r="C33" s="36" t="s">
        <v>133</v>
      </c>
      <c r="D33" s="36" t="s">
        <v>90</v>
      </c>
      <c r="E33" s="36" t="s">
        <v>14</v>
      </c>
      <c r="F33" s="36" t="s">
        <v>14</v>
      </c>
      <c r="G33" s="37">
        <v>6</v>
      </c>
      <c r="H33" s="36">
        <v>2.9659999999999997</v>
      </c>
      <c r="I33" s="36">
        <v>1.0193113826090082E-2</v>
      </c>
      <c r="J33" s="36">
        <v>3.73067966034897</v>
      </c>
      <c r="K33" s="36">
        <v>1.3010000000000002</v>
      </c>
      <c r="L33" s="36">
        <v>1.810631470430224E-2</v>
      </c>
      <c r="M33" s="36">
        <v>7.6046521758069403</v>
      </c>
      <c r="N33" s="36">
        <v>3.27</v>
      </c>
      <c r="O33" s="36">
        <v>1.4729426833173234E-2</v>
      </c>
      <c r="P33" s="36">
        <v>5.5677233429394821</v>
      </c>
      <c r="Q33" s="36">
        <v>0</v>
      </c>
      <c r="R33" s="36">
        <v>0</v>
      </c>
      <c r="S33" s="36">
        <v>0</v>
      </c>
      <c r="T33" s="36">
        <v>0.33245311902028318</v>
      </c>
      <c r="U33" s="36">
        <v>8.6866675468809778</v>
      </c>
      <c r="V33" s="36">
        <v>0.33986310250392626</v>
      </c>
      <c r="W33" s="36">
        <v>9.4653649227354631E-3</v>
      </c>
      <c r="X33" s="36">
        <v>3.4643235617211796</v>
      </c>
      <c r="Y33" s="36">
        <v>26.128999999999998</v>
      </c>
      <c r="Z33" s="34">
        <v>20.367378740816573</v>
      </c>
      <c r="AA33" s="34">
        <v>4.3398647346562242</v>
      </c>
      <c r="AB33" s="33">
        <v>9.1956345811768387E-3</v>
      </c>
      <c r="AC33" s="34">
        <v>16.724535133812395</v>
      </c>
    </row>
    <row r="34" spans="1:29" x14ac:dyDescent="0.25">
      <c r="A34" s="32" t="b">
        <v>1</v>
      </c>
      <c r="B34" s="25">
        <v>33</v>
      </c>
      <c r="C34" s="36" t="s">
        <v>162</v>
      </c>
      <c r="D34" s="36" t="s">
        <v>94</v>
      </c>
      <c r="E34" s="36" t="s">
        <v>14</v>
      </c>
      <c r="F34" s="36" t="s">
        <v>14</v>
      </c>
      <c r="G34" s="37">
        <v>6</v>
      </c>
      <c r="H34" s="36">
        <v>2.9320000000000004</v>
      </c>
      <c r="I34" s="36">
        <v>9.8885743971910862E-3</v>
      </c>
      <c r="J34" s="36">
        <v>3.6192182293719375</v>
      </c>
      <c r="K34" s="36">
        <v>1.278</v>
      </c>
      <c r="L34" s="36">
        <v>1.7772357015289449E-2</v>
      </c>
      <c r="M34" s="36">
        <v>7.4643899464215684</v>
      </c>
      <c r="N34" s="36">
        <v>3.3780000000000001</v>
      </c>
      <c r="O34" s="36">
        <v>1.5717487763597278E-2</v>
      </c>
      <c r="P34" s="36">
        <v>5.9412103746397706</v>
      </c>
      <c r="Q34" s="36">
        <v>0.114</v>
      </c>
      <c r="R34" s="36">
        <v>2.5115664243225383E-3</v>
      </c>
      <c r="S34" s="36">
        <v>0.67812293456708539</v>
      </c>
      <c r="T34" s="36">
        <v>0.33316246056782334</v>
      </c>
      <c r="U34" s="36">
        <v>8.4490000000000016</v>
      </c>
      <c r="V34" s="36">
        <v>0.33996478217614912</v>
      </c>
      <c r="W34" s="36">
        <v>9.6450447249407864E-3</v>
      </c>
      <c r="X34" s="36">
        <v>3.5300863693283278</v>
      </c>
      <c r="Y34" s="36">
        <v>25.360000000000003</v>
      </c>
      <c r="Z34" s="34">
        <v>21.233027854328689</v>
      </c>
      <c r="AA34" s="34">
        <v>5.2055138481683407</v>
      </c>
      <c r="AB34" s="33">
        <v>1.1029837582899575E-2</v>
      </c>
      <c r="AC34" s="34">
        <v>19.861022266758273</v>
      </c>
    </row>
    <row r="35" spans="1:29" x14ac:dyDescent="0.25">
      <c r="A35" s="32" t="b">
        <v>1</v>
      </c>
      <c r="B35" s="25">
        <v>34</v>
      </c>
      <c r="C35" s="36" t="s">
        <v>163</v>
      </c>
      <c r="D35" s="36" t="s">
        <v>128</v>
      </c>
      <c r="E35" s="36" t="s">
        <v>16</v>
      </c>
      <c r="F35" s="36" t="s">
        <v>16</v>
      </c>
      <c r="G35" s="37">
        <v>6</v>
      </c>
      <c r="H35" s="36">
        <v>2.8460000000000001</v>
      </c>
      <c r="I35" s="36">
        <v>9.1182687829171414E-3</v>
      </c>
      <c r="J35" s="36">
        <v>3.337286374547674</v>
      </c>
      <c r="K35" s="36">
        <v>0.81300000000000006</v>
      </c>
      <c r="L35" s="36">
        <v>1.1020603737422134E-2</v>
      </c>
      <c r="M35" s="36">
        <v>4.6286535697172964</v>
      </c>
      <c r="N35" s="36">
        <v>3.4399999999999995</v>
      </c>
      <c r="O35" s="36">
        <v>1.6284707927359223E-2</v>
      </c>
      <c r="P35" s="36">
        <v>6.1556195965417864</v>
      </c>
      <c r="Q35" s="36">
        <v>4.5000000000000005E-2</v>
      </c>
      <c r="R35" s="36">
        <v>9.9140779907468612E-4</v>
      </c>
      <c r="S35" s="36">
        <v>0.26768010575016526</v>
      </c>
      <c r="T35" s="36">
        <v>0.36165775603837264</v>
      </c>
      <c r="U35" s="36">
        <v>9.5376383422439623</v>
      </c>
      <c r="V35" s="36">
        <v>0.34314720426147227</v>
      </c>
      <c r="W35" s="36">
        <v>1.5268754541505202E-2</v>
      </c>
      <c r="X35" s="36">
        <v>5.5883641621909037</v>
      </c>
      <c r="Y35" s="36">
        <v>26.372</v>
      </c>
      <c r="Z35" s="34">
        <v>19.977603808747826</v>
      </c>
      <c r="AA35" s="34">
        <v>4.4698654017063575</v>
      </c>
      <c r="AB35" s="33">
        <v>9.4710898551525514E-3</v>
      </c>
      <c r="AC35" s="34">
        <v>17.195563652310863</v>
      </c>
    </row>
    <row r="36" spans="1:29" x14ac:dyDescent="0.25">
      <c r="A36" s="32" t="b">
        <v>1</v>
      </c>
      <c r="B36" s="25">
        <v>35</v>
      </c>
      <c r="C36" s="36" t="s">
        <v>257</v>
      </c>
      <c r="D36" s="36" t="s">
        <v>72</v>
      </c>
      <c r="E36" s="36" t="s">
        <v>46</v>
      </c>
      <c r="F36" s="36" t="s">
        <v>46</v>
      </c>
      <c r="G36" s="37">
        <v>7</v>
      </c>
      <c r="H36" s="36">
        <v>3.8940000000000001</v>
      </c>
      <c r="I36" s="36">
        <v>1.8505248826627515E-2</v>
      </c>
      <c r="J36" s="36">
        <v>6.7729210705456708</v>
      </c>
      <c r="K36" s="36">
        <v>0.53300000000000003</v>
      </c>
      <c r="L36" s="36">
        <v>6.9550318711794493E-3</v>
      </c>
      <c r="M36" s="36">
        <v>2.9211133858953686</v>
      </c>
      <c r="N36" s="36">
        <v>2.0909999999999997</v>
      </c>
      <c r="O36" s="36">
        <v>3.9430950093774291E-3</v>
      </c>
      <c r="P36" s="36">
        <v>1.4904899135446683</v>
      </c>
      <c r="Q36" s="36">
        <v>0.73899999999999999</v>
      </c>
      <c r="R36" s="36">
        <v>1.6281119189248731E-2</v>
      </c>
      <c r="S36" s="36">
        <v>4.3959021810971572</v>
      </c>
      <c r="T36" s="36">
        <v>0.30405621207282013</v>
      </c>
      <c r="U36" s="36">
        <v>9.5187837751517073</v>
      </c>
      <c r="V36" s="36">
        <v>0.33598141037855889</v>
      </c>
      <c r="W36" s="36">
        <v>2.605963647529492E-3</v>
      </c>
      <c r="X36" s="36">
        <v>0.95378269499579404</v>
      </c>
      <c r="Y36" s="36">
        <v>31.306000000000001</v>
      </c>
      <c r="Z36" s="34">
        <v>16.53420924607866</v>
      </c>
      <c r="AA36" s="34">
        <v>0.27961248125605209</v>
      </c>
      <c r="AB36" s="33">
        <v>5.9246413406257648E-4</v>
      </c>
      <c r="AC36" s="34">
        <v>2.013113669247006</v>
      </c>
    </row>
    <row r="37" spans="1:29" x14ac:dyDescent="0.25">
      <c r="A37" s="32" t="b">
        <v>1</v>
      </c>
      <c r="B37" s="25">
        <v>36</v>
      </c>
      <c r="C37" s="36" t="s">
        <v>100</v>
      </c>
      <c r="D37" s="36" t="s">
        <v>13</v>
      </c>
      <c r="E37" s="36" t="s">
        <v>30</v>
      </c>
      <c r="F37" s="36" t="s">
        <v>30</v>
      </c>
      <c r="G37" s="37">
        <v>7</v>
      </c>
      <c r="H37" s="36">
        <v>3.1630000000000003</v>
      </c>
      <c r="I37" s="36">
        <v>1.1957651105299002E-2</v>
      </c>
      <c r="J37" s="36">
        <v>4.3765003045394346</v>
      </c>
      <c r="K37" s="36">
        <v>0.53400000000000003</v>
      </c>
      <c r="L37" s="36">
        <v>6.9695517707017447E-3</v>
      </c>
      <c r="M37" s="36">
        <v>2.9272117436947327</v>
      </c>
      <c r="N37" s="36">
        <v>3.3680000000000003</v>
      </c>
      <c r="O37" s="36">
        <v>1.5626000640409868E-2</v>
      </c>
      <c r="P37" s="36">
        <v>5.9066282420749303</v>
      </c>
      <c r="Q37" s="36">
        <v>0.34299999999999997</v>
      </c>
      <c r="R37" s="36">
        <v>7.5567305573914952E-3</v>
      </c>
      <c r="S37" s="36">
        <v>2.0403172504957037</v>
      </c>
      <c r="T37" s="36">
        <v>0.31613010288748761</v>
      </c>
      <c r="U37" s="36">
        <v>9.5250000000000021</v>
      </c>
      <c r="V37" s="36">
        <v>0.33766959577478783</v>
      </c>
      <c r="W37" s="36">
        <v>5.5891835129073981E-3</v>
      </c>
      <c r="X37" s="36">
        <v>2.0456411657241076</v>
      </c>
      <c r="Y37" s="36">
        <v>30.130000000000003</v>
      </c>
      <c r="Z37" s="34">
        <v>17.296298706528908</v>
      </c>
      <c r="AA37" s="34">
        <v>4.8130807238797484</v>
      </c>
      <c r="AB37" s="33">
        <v>1.0198320512865063E-2</v>
      </c>
      <c r="AC37" s="34">
        <v>18.439128076999257</v>
      </c>
    </row>
    <row r="38" spans="1:29" x14ac:dyDescent="0.25">
      <c r="A38" s="32" t="b">
        <v>1</v>
      </c>
      <c r="B38" s="25">
        <v>37</v>
      </c>
      <c r="C38" s="36" t="s">
        <v>106</v>
      </c>
      <c r="D38" s="36" t="s">
        <v>107</v>
      </c>
      <c r="E38" s="36" t="s">
        <v>14</v>
      </c>
      <c r="F38" s="36" t="s">
        <v>14</v>
      </c>
      <c r="G38" s="37">
        <v>6</v>
      </c>
      <c r="H38" s="36">
        <v>2.72</v>
      </c>
      <c r="I38" s="36">
        <v>7.9896814875855503E-3</v>
      </c>
      <c r="J38" s="36">
        <v>2.9242234244563114</v>
      </c>
      <c r="K38" s="36">
        <v>1.1889999999999998</v>
      </c>
      <c r="L38" s="36">
        <v>1.6480085957805164E-2</v>
      </c>
      <c r="M38" s="36">
        <v>6.9216361022781685</v>
      </c>
      <c r="N38" s="36">
        <v>3.129</v>
      </c>
      <c r="O38" s="36">
        <v>1.3439458396230734E-2</v>
      </c>
      <c r="P38" s="36">
        <v>5.0801152737752169</v>
      </c>
      <c r="Q38" s="36">
        <v>0.10900000000000001</v>
      </c>
      <c r="R38" s="36">
        <v>2.4014100022031288E-3</v>
      </c>
      <c r="S38" s="36">
        <v>0.64838070059484476</v>
      </c>
      <c r="T38" s="36">
        <v>0.35700705062188071</v>
      </c>
      <c r="U38" s="36">
        <v>9.0126429929493792</v>
      </c>
      <c r="V38" s="36">
        <v>0.34255337945832226</v>
      </c>
      <c r="W38" s="36">
        <v>1.4219397075631832E-2</v>
      </c>
      <c r="X38" s="36">
        <v>5.204299329681251</v>
      </c>
      <c r="Y38" s="36">
        <v>25.245000000000001</v>
      </c>
      <c r="Z38" s="34">
        <v>20.778654830785793</v>
      </c>
      <c r="AA38" s="34">
        <v>4.7511408246254447</v>
      </c>
      <c r="AB38" s="33">
        <v>1.0067077556145906E-2</v>
      </c>
      <c r="AC38" s="34">
        <v>18.214702621009501</v>
      </c>
    </row>
    <row r="39" spans="1:29" x14ac:dyDescent="0.25">
      <c r="A39" s="32" t="b">
        <v>1</v>
      </c>
      <c r="B39" s="25">
        <v>38</v>
      </c>
      <c r="C39" s="36" t="s">
        <v>101</v>
      </c>
      <c r="D39" s="36" t="s">
        <v>25</v>
      </c>
      <c r="E39" s="36" t="s">
        <v>21</v>
      </c>
      <c r="F39" s="36" t="s">
        <v>21</v>
      </c>
      <c r="G39" s="37">
        <v>6</v>
      </c>
      <c r="H39" s="36">
        <v>3.665</v>
      </c>
      <c r="I39" s="36">
        <v>1.6454086202572483E-2</v>
      </c>
      <c r="J39" s="36">
        <v>6.0221955501415287</v>
      </c>
      <c r="K39" s="36">
        <v>0.47099999999999997</v>
      </c>
      <c r="L39" s="36">
        <v>6.0547981007971399E-3</v>
      </c>
      <c r="M39" s="36">
        <v>2.5430152023347987</v>
      </c>
      <c r="N39" s="36">
        <v>1.8670000000000002</v>
      </c>
      <c r="O39" s="36">
        <v>1.8937834499794185E-3</v>
      </c>
      <c r="P39" s="36">
        <v>0.71585014409222025</v>
      </c>
      <c r="Q39" s="36">
        <v>1.5779999999999998</v>
      </c>
      <c r="R39" s="36">
        <v>3.4765366820885657E-2</v>
      </c>
      <c r="S39" s="36">
        <v>9.3866490416391279</v>
      </c>
      <c r="T39" s="36">
        <v>0.31527758057645888</v>
      </c>
      <c r="U39" s="36">
        <v>8.8813694448388461</v>
      </c>
      <c r="V39" s="36">
        <v>0.33774679788603501</v>
      </c>
      <c r="W39" s="36">
        <v>5.7256086190812568E-3</v>
      </c>
      <c r="X39" s="36">
        <v>2.0955727545837401</v>
      </c>
      <c r="Y39" s="36">
        <v>28.169999999999998</v>
      </c>
      <c r="Z39" s="34">
        <v>20.763282692791414</v>
      </c>
      <c r="AA39" s="34">
        <v>5.5709271478283693</v>
      </c>
      <c r="AB39" s="33">
        <v>1.1804102999040908E-2</v>
      </c>
      <c r="AC39" s="34">
        <v>21.185016128359951</v>
      </c>
    </row>
    <row r="40" spans="1:29" x14ac:dyDescent="0.25">
      <c r="A40" s="32" t="b">
        <v>1</v>
      </c>
      <c r="B40" s="25">
        <v>39</v>
      </c>
      <c r="C40" s="36" t="s">
        <v>82</v>
      </c>
      <c r="D40" s="36" t="s">
        <v>56</v>
      </c>
      <c r="E40" s="36" t="s">
        <v>14</v>
      </c>
      <c r="F40" s="36" t="s">
        <v>14</v>
      </c>
      <c r="G40" s="37">
        <v>7</v>
      </c>
      <c r="H40" s="36">
        <v>2.8519999999999999</v>
      </c>
      <c r="I40" s="36">
        <v>9.1720110350757868E-3</v>
      </c>
      <c r="J40" s="36">
        <v>3.3569560388377377</v>
      </c>
      <c r="K40" s="36">
        <v>0.67199999999999993</v>
      </c>
      <c r="L40" s="36">
        <v>8.9732979047784933E-3</v>
      </c>
      <c r="M40" s="36">
        <v>3.7687851200069673</v>
      </c>
      <c r="N40" s="36">
        <v>3.319</v>
      </c>
      <c r="O40" s="36">
        <v>1.517771373679155E-2</v>
      </c>
      <c r="P40" s="36">
        <v>5.7371757925072062</v>
      </c>
      <c r="Q40" s="36">
        <v>0.32799999999999996</v>
      </c>
      <c r="R40" s="36">
        <v>7.2262612910332664E-3</v>
      </c>
      <c r="S40" s="36">
        <v>1.951090548578982</v>
      </c>
      <c r="T40" s="36">
        <v>0.32744401118050998</v>
      </c>
      <c r="U40" s="36">
        <v>9.4899823320335415</v>
      </c>
      <c r="V40" s="36">
        <v>0.33916010963617449</v>
      </c>
      <c r="W40" s="36">
        <v>8.2230947947147266E-3</v>
      </c>
      <c r="X40" s="36">
        <v>3.00965269486559</v>
      </c>
      <c r="Y40" s="36">
        <v>28.982000000000003</v>
      </c>
      <c r="Z40" s="34">
        <v>17.823660194796481</v>
      </c>
      <c r="AA40" s="34">
        <v>1.7961461886361327</v>
      </c>
      <c r="AB40" s="33">
        <v>3.8058107832662082E-3</v>
      </c>
      <c r="AC40" s="34">
        <v>7.5079364393852162</v>
      </c>
    </row>
    <row r="41" spans="1:29" x14ac:dyDescent="0.25">
      <c r="A41" s="32" t="b">
        <v>1</v>
      </c>
      <c r="B41" s="25">
        <v>40</v>
      </c>
      <c r="C41" s="36" t="s">
        <v>65</v>
      </c>
      <c r="D41" s="36" t="s">
        <v>26</v>
      </c>
      <c r="E41" s="36" t="s">
        <v>14</v>
      </c>
      <c r="F41" s="36" t="s">
        <v>14</v>
      </c>
      <c r="G41" s="37">
        <v>6</v>
      </c>
      <c r="H41" s="36">
        <v>2.7949999999999999</v>
      </c>
      <c r="I41" s="36">
        <v>8.6614596395686375E-3</v>
      </c>
      <c r="J41" s="36">
        <v>3.1700942280821214</v>
      </c>
      <c r="K41" s="36">
        <v>0.74099999999999999</v>
      </c>
      <c r="L41" s="36">
        <v>9.9751709718168702E-3</v>
      </c>
      <c r="M41" s="36">
        <v>4.1895718081630857</v>
      </c>
      <c r="N41" s="36">
        <v>3.2810000000000001</v>
      </c>
      <c r="O41" s="36">
        <v>1.4830062668679388E-2</v>
      </c>
      <c r="P41" s="36">
        <v>5.6057636887608089</v>
      </c>
      <c r="Q41" s="36">
        <v>3.5999999999999997E-2</v>
      </c>
      <c r="R41" s="36">
        <v>7.9312623925974874E-4</v>
      </c>
      <c r="S41" s="36">
        <v>0.21414408460013215</v>
      </c>
      <c r="T41" s="36">
        <v>0.37879378949832243</v>
      </c>
      <c r="U41" s="36">
        <v>9.7099999999999973</v>
      </c>
      <c r="V41" s="36">
        <v>0.34497200854885629</v>
      </c>
      <c r="W41" s="36">
        <v>1.8493395871012654E-2</v>
      </c>
      <c r="X41" s="36">
        <v>6.7685828887906316</v>
      </c>
      <c r="Y41" s="36">
        <v>25.634</v>
      </c>
      <c r="Z41" s="34">
        <v>19.94815669839678</v>
      </c>
      <c r="AA41" s="34">
        <v>3.9206426922364308</v>
      </c>
      <c r="AB41" s="33">
        <v>8.307355119450157E-3</v>
      </c>
      <c r="AC41" s="34">
        <v>15.205577254259769</v>
      </c>
    </row>
    <row r="42" spans="1:29" x14ac:dyDescent="0.25">
      <c r="A42" s="32" t="b">
        <v>1</v>
      </c>
      <c r="B42" s="25">
        <v>41</v>
      </c>
      <c r="C42" s="36" t="s">
        <v>84</v>
      </c>
      <c r="D42" s="36" t="s">
        <v>85</v>
      </c>
      <c r="E42" s="36" t="s">
        <v>16</v>
      </c>
      <c r="F42" s="36" t="s">
        <v>16</v>
      </c>
      <c r="G42" s="37">
        <v>6</v>
      </c>
      <c r="H42" s="36">
        <v>3.0279999999999996</v>
      </c>
      <c r="I42" s="36">
        <v>1.0748450431729435E-2</v>
      </c>
      <c r="J42" s="36">
        <v>3.9339328580129731</v>
      </c>
      <c r="K42" s="36">
        <v>0.96300000000000008</v>
      </c>
      <c r="L42" s="36">
        <v>1.3198588665766429E-2</v>
      </c>
      <c r="M42" s="36">
        <v>5.5434072396219003</v>
      </c>
      <c r="N42" s="36">
        <v>3.2810000000000006</v>
      </c>
      <c r="O42" s="36">
        <v>1.4830062668679393E-2</v>
      </c>
      <c r="P42" s="36">
        <v>5.6057636887608107</v>
      </c>
      <c r="Q42" s="36">
        <v>0.192</v>
      </c>
      <c r="R42" s="36">
        <v>4.2300066093853275E-3</v>
      </c>
      <c r="S42" s="36">
        <v>1.1421017845340384</v>
      </c>
      <c r="T42" s="36">
        <v>0.32725694444444442</v>
      </c>
      <c r="U42" s="36">
        <v>8.6706727430555546</v>
      </c>
      <c r="V42" s="36">
        <v>0.3392634083954586</v>
      </c>
      <c r="W42" s="36">
        <v>8.4056357119940833E-3</v>
      </c>
      <c r="X42" s="36">
        <v>3.0764626705898346</v>
      </c>
      <c r="Y42" s="36">
        <v>26.494999999999997</v>
      </c>
      <c r="Z42" s="34">
        <v>19.301668241519554</v>
      </c>
      <c r="AA42" s="34">
        <v>3.7939298344780852</v>
      </c>
      <c r="AB42" s="33">
        <v>8.0388663051842255E-3</v>
      </c>
      <c r="AC42" s="34">
        <v>14.746461381865025</v>
      </c>
    </row>
    <row r="43" spans="1:29" x14ac:dyDescent="0.25">
      <c r="A43" s="32" t="b">
        <v>1</v>
      </c>
      <c r="B43" s="25">
        <v>42</v>
      </c>
      <c r="C43" s="36" t="s">
        <v>258</v>
      </c>
      <c r="D43" s="36" t="s">
        <v>42</v>
      </c>
      <c r="E43" s="36" t="s">
        <v>21</v>
      </c>
      <c r="F43" s="36" t="s">
        <v>21</v>
      </c>
      <c r="G43" s="37">
        <v>6</v>
      </c>
      <c r="H43" s="36">
        <v>3.109</v>
      </c>
      <c r="I43" s="36">
        <v>1.1473970835871174E-2</v>
      </c>
      <c r="J43" s="36">
        <v>4.1994733259288495</v>
      </c>
      <c r="K43" s="36">
        <v>0.90400000000000003</v>
      </c>
      <c r="L43" s="36">
        <v>1.2341914593951005E-2</v>
      </c>
      <c r="M43" s="36">
        <v>5.1836041294594226</v>
      </c>
      <c r="N43" s="36">
        <v>3.3149999999999995</v>
      </c>
      <c r="O43" s="36">
        <v>1.5141118887516581E-2</v>
      </c>
      <c r="P43" s="36">
        <v>5.7233429394812676</v>
      </c>
      <c r="Q43" s="36">
        <v>0.30499999999999999</v>
      </c>
      <c r="R43" s="36">
        <v>6.7195417492839828E-3</v>
      </c>
      <c r="S43" s="36">
        <v>1.8142762723066754</v>
      </c>
      <c r="T43" s="36">
        <v>0.32933265569412412</v>
      </c>
      <c r="U43" s="36">
        <v>8.4236706673443074</v>
      </c>
      <c r="V43" s="36">
        <v>0.33953831763844167</v>
      </c>
      <c r="W43" s="36">
        <v>8.8914323055880422E-3</v>
      </c>
      <c r="X43" s="36">
        <v>3.2542642238452233</v>
      </c>
      <c r="Y43" s="36">
        <v>25.578000000000003</v>
      </c>
      <c r="Z43" s="34">
        <v>20.174960891021435</v>
      </c>
      <c r="AA43" s="34">
        <v>4.9826053460583903</v>
      </c>
      <c r="AB43" s="33">
        <v>1.0557522140883164E-2</v>
      </c>
      <c r="AC43" s="34">
        <v>19.053362860910212</v>
      </c>
    </row>
    <row r="44" spans="1:29" x14ac:dyDescent="0.25">
      <c r="A44" s="32" t="b">
        <v>1</v>
      </c>
      <c r="B44" s="25">
        <v>43</v>
      </c>
      <c r="C44" s="36" t="s">
        <v>89</v>
      </c>
      <c r="D44" s="36" t="s">
        <v>90</v>
      </c>
      <c r="E44" s="36" t="s">
        <v>91</v>
      </c>
      <c r="F44" s="36" t="s">
        <v>30</v>
      </c>
      <c r="G44" s="37">
        <v>6</v>
      </c>
      <c r="H44" s="36">
        <v>2.5880000000000001</v>
      </c>
      <c r="I44" s="36">
        <v>6.8073519400953112E-3</v>
      </c>
      <c r="J44" s="36">
        <v>2.4914908100748838</v>
      </c>
      <c r="K44" s="36">
        <v>1.1579999999999999</v>
      </c>
      <c r="L44" s="36">
        <v>1.602996907261401E-2</v>
      </c>
      <c r="M44" s="36">
        <v>6.732587010497884</v>
      </c>
      <c r="N44" s="36">
        <v>2.9660000000000002</v>
      </c>
      <c r="O44" s="36">
        <v>1.1948218288275929E-2</v>
      </c>
      <c r="P44" s="36">
        <v>4.5164265129683017</v>
      </c>
      <c r="Q44" s="36">
        <v>0.36699999999999999</v>
      </c>
      <c r="R44" s="36">
        <v>8.0854813835646612E-3</v>
      </c>
      <c r="S44" s="36">
        <v>2.1830799735624584</v>
      </c>
      <c r="T44" s="36">
        <v>0.34893767427247385</v>
      </c>
      <c r="U44" s="36">
        <v>8.8850000000000016</v>
      </c>
      <c r="V44" s="36">
        <v>0.34168528528291764</v>
      </c>
      <c r="W44" s="36">
        <v>1.2685373742133747E-2</v>
      </c>
      <c r="X44" s="36">
        <v>4.6428467896209513</v>
      </c>
      <c r="Y44" s="36">
        <v>25.463000000000001</v>
      </c>
      <c r="Z44" s="34">
        <v>20.566431096724479</v>
      </c>
      <c r="AA44" s="34">
        <v>8.0832131140753187</v>
      </c>
      <c r="AB44" s="33">
        <v>1.7127325062747854E-2</v>
      </c>
      <c r="AC44" s="34">
        <v>30.287725857298831</v>
      </c>
    </row>
    <row r="45" spans="1:29" x14ac:dyDescent="0.25">
      <c r="A45" s="32" t="b">
        <v>1</v>
      </c>
      <c r="B45" s="25">
        <v>44</v>
      </c>
      <c r="C45" s="36" t="s">
        <v>147</v>
      </c>
      <c r="D45" s="36" t="s">
        <v>143</v>
      </c>
      <c r="E45" s="36" t="s">
        <v>21</v>
      </c>
      <c r="F45" s="36" t="s">
        <v>21</v>
      </c>
      <c r="G45" s="37">
        <v>6</v>
      </c>
      <c r="H45" s="36">
        <v>3.2749999999999999</v>
      </c>
      <c r="I45" s="36">
        <v>1.2960839812260413E-2</v>
      </c>
      <c r="J45" s="36">
        <v>4.7436673712873114</v>
      </c>
      <c r="K45" s="36">
        <v>0.52799999999999991</v>
      </c>
      <c r="L45" s="36">
        <v>6.8824323735679717E-3</v>
      </c>
      <c r="M45" s="36">
        <v>2.8906215968985483</v>
      </c>
      <c r="N45" s="36">
        <v>2.1390000000000002</v>
      </c>
      <c r="O45" s="36">
        <v>4.3822332006770081E-3</v>
      </c>
      <c r="P45" s="36">
        <v>1.6564841498559091</v>
      </c>
      <c r="Q45" s="36">
        <v>0.75600000000000001</v>
      </c>
      <c r="R45" s="36">
        <v>1.6655651024454727E-2</v>
      </c>
      <c r="S45" s="36">
        <v>4.4970257766027766</v>
      </c>
      <c r="T45" s="36">
        <v>0.36696321770334933</v>
      </c>
      <c r="U45" s="36">
        <v>9.816266073564595</v>
      </c>
      <c r="V45" s="36">
        <v>0.34378265901894212</v>
      </c>
      <c r="W45" s="36">
        <v>1.639167697660477E-2</v>
      </c>
      <c r="X45" s="36">
        <v>5.9993537734373454</v>
      </c>
      <c r="Y45" s="36">
        <v>26.75</v>
      </c>
      <c r="Z45" s="34">
        <v>19.787152668081891</v>
      </c>
      <c r="AA45" s="34">
        <v>4.5947971231188465</v>
      </c>
      <c r="AB45" s="33">
        <v>9.7358046626286037E-3</v>
      </c>
      <c r="AC45" s="34">
        <v>17.648225973094913</v>
      </c>
    </row>
    <row r="46" spans="1:29" x14ac:dyDescent="0.25">
      <c r="A46" s="32" t="b">
        <v>1</v>
      </c>
      <c r="B46" s="25">
        <v>45</v>
      </c>
      <c r="C46" s="36" t="s">
        <v>77</v>
      </c>
      <c r="D46" s="36" t="s">
        <v>25</v>
      </c>
      <c r="E46" s="36" t="s">
        <v>46</v>
      </c>
      <c r="F46" s="36" t="s">
        <v>46</v>
      </c>
      <c r="G46" s="37">
        <v>6</v>
      </c>
      <c r="H46" s="36">
        <v>3.5749999999999997</v>
      </c>
      <c r="I46" s="36">
        <v>1.5647952420192773E-2</v>
      </c>
      <c r="J46" s="36">
        <v>5.7271505857905547</v>
      </c>
      <c r="K46" s="36">
        <v>0.83500000000000008</v>
      </c>
      <c r="L46" s="36">
        <v>1.134004152691263E-2</v>
      </c>
      <c r="M46" s="36">
        <v>4.7628174413033051</v>
      </c>
      <c r="N46" s="36">
        <v>2.4780000000000002</v>
      </c>
      <c r="O46" s="36">
        <v>7.4836466767302543E-3</v>
      </c>
      <c r="P46" s="36">
        <v>2.8288184438040362</v>
      </c>
      <c r="Q46" s="36">
        <v>0.14099999999999999</v>
      </c>
      <c r="R46" s="36">
        <v>3.1064111037673492E-3</v>
      </c>
      <c r="S46" s="36">
        <v>0.83873099801718431</v>
      </c>
      <c r="T46" s="36">
        <v>0.32946736956916922</v>
      </c>
      <c r="U46" s="36">
        <v>9.0616705326304299</v>
      </c>
      <c r="V46" s="36">
        <v>0.339470471013603</v>
      </c>
      <c r="W46" s="36">
        <v>8.7715394315768906E-3</v>
      </c>
      <c r="X46" s="36">
        <v>3.2103834319571418</v>
      </c>
      <c r="Y46" s="36">
        <v>27.503999999999998</v>
      </c>
      <c r="Z46" s="34">
        <v>17.367900900872218</v>
      </c>
      <c r="AA46" s="34">
        <v>1.1133041360496101</v>
      </c>
      <c r="AB46" s="33">
        <v>2.3589532482596949E-3</v>
      </c>
      <c r="AC46" s="34">
        <v>5.0338100545240785</v>
      </c>
    </row>
    <row r="47" spans="1:29" x14ac:dyDescent="0.25">
      <c r="A47" s="32" t="b">
        <v>1</v>
      </c>
      <c r="B47" s="25">
        <v>46</v>
      </c>
      <c r="C47" s="36" t="s">
        <v>52</v>
      </c>
      <c r="D47" s="36" t="s">
        <v>53</v>
      </c>
      <c r="E47" s="36" t="s">
        <v>21</v>
      </c>
      <c r="F47" s="36" t="s">
        <v>21</v>
      </c>
      <c r="G47" s="37">
        <v>6</v>
      </c>
      <c r="H47" s="36">
        <v>2.6970000000000001</v>
      </c>
      <c r="I47" s="36">
        <v>7.7836695209774018E-3</v>
      </c>
      <c r="J47" s="36">
        <v>2.848823044677729</v>
      </c>
      <c r="K47" s="36">
        <v>0.98499999999999999</v>
      </c>
      <c r="L47" s="36">
        <v>1.3518026455256925E-2</v>
      </c>
      <c r="M47" s="36">
        <v>5.6775711112079081</v>
      </c>
      <c r="N47" s="36">
        <v>3.0179999999999998</v>
      </c>
      <c r="O47" s="36">
        <v>1.2423951328850465E-2</v>
      </c>
      <c r="P47" s="36">
        <v>4.6962536023054762</v>
      </c>
      <c r="Q47" s="36">
        <v>0.91400000000000003</v>
      </c>
      <c r="R47" s="36">
        <v>2.0136593963428068E-2</v>
      </c>
      <c r="S47" s="36">
        <v>5.4368803701255786</v>
      </c>
      <c r="T47" s="36">
        <v>0.33512471283229406</v>
      </c>
      <c r="U47" s="36">
        <v>8.1676595011486715</v>
      </c>
      <c r="V47" s="36">
        <v>0.34019991821692763</v>
      </c>
      <c r="W47" s="36">
        <v>1.0060557446164237E-2</v>
      </c>
      <c r="X47" s="36">
        <v>3.6821640252961108</v>
      </c>
      <c r="Y47" s="36">
        <v>24.372</v>
      </c>
      <c r="Z47" s="34">
        <v>22.341692153612801</v>
      </c>
      <c r="AA47" s="34">
        <v>7.1493366086497563</v>
      </c>
      <c r="AB47" s="33">
        <v>1.5148556687949618E-2</v>
      </c>
      <c r="AC47" s="34">
        <v>26.904031936393846</v>
      </c>
    </row>
    <row r="48" spans="1:29" x14ac:dyDescent="0.25">
      <c r="A48" s="32" t="b">
        <v>1</v>
      </c>
      <c r="B48" s="25">
        <v>47</v>
      </c>
      <c r="C48" s="36" t="s">
        <v>96</v>
      </c>
      <c r="D48" s="36" t="s">
        <v>81</v>
      </c>
      <c r="E48" s="36" t="s">
        <v>21</v>
      </c>
      <c r="F48" s="36" t="s">
        <v>21</v>
      </c>
      <c r="G48" s="37">
        <v>6</v>
      </c>
      <c r="H48" s="36">
        <v>3.6160000000000001</v>
      </c>
      <c r="I48" s="36">
        <v>1.6015191143276864E-2</v>
      </c>
      <c r="J48" s="36">
        <v>5.8615599584393321</v>
      </c>
      <c r="K48" s="36">
        <v>0.84899999999999998</v>
      </c>
      <c r="L48" s="36">
        <v>1.1543320120224763E-2</v>
      </c>
      <c r="M48" s="36">
        <v>4.8481944504944003</v>
      </c>
      <c r="N48" s="36">
        <v>2.0169999999999999</v>
      </c>
      <c r="O48" s="36">
        <v>3.2660902977905866E-3</v>
      </c>
      <c r="P48" s="36">
        <v>1.2345821325648418</v>
      </c>
      <c r="Q48" s="36">
        <v>0.26499999999999996</v>
      </c>
      <c r="R48" s="36">
        <v>5.8382903723287055E-3</v>
      </c>
      <c r="S48" s="36">
        <v>1.5763384005287504</v>
      </c>
      <c r="T48" s="36">
        <v>0.33637122835045929</v>
      </c>
      <c r="U48" s="36">
        <v>9.2646727424566997</v>
      </c>
      <c r="V48" s="36">
        <v>0.34027748544314901</v>
      </c>
      <c r="W48" s="36">
        <v>1.0197627752946165E-2</v>
      </c>
      <c r="X48" s="36">
        <v>3.7323317575782964</v>
      </c>
      <c r="Y48" s="36">
        <v>27.542999999999999</v>
      </c>
      <c r="Z48" s="34">
        <v>17.253006699605624</v>
      </c>
      <c r="AA48" s="34">
        <v>2.0606511546425796</v>
      </c>
      <c r="AB48" s="33">
        <v>4.3662639681036749E-3</v>
      </c>
      <c r="AC48" s="34">
        <v>8.4663113854572849</v>
      </c>
    </row>
    <row r="49" spans="1:29" x14ac:dyDescent="0.25">
      <c r="A49" s="32" t="b">
        <v>1</v>
      </c>
      <c r="B49" s="25">
        <v>48</v>
      </c>
      <c r="C49" s="36" t="s">
        <v>134</v>
      </c>
      <c r="D49" s="36" t="s">
        <v>26</v>
      </c>
      <c r="E49" s="36" t="s">
        <v>21</v>
      </c>
      <c r="F49" s="36" t="s">
        <v>21</v>
      </c>
      <c r="G49" s="37">
        <v>6</v>
      </c>
      <c r="H49" s="36">
        <v>2.6919999999999997</v>
      </c>
      <c r="I49" s="36">
        <v>7.738884310845193E-3</v>
      </c>
      <c r="J49" s="36">
        <v>2.8324316577693405</v>
      </c>
      <c r="K49" s="36">
        <v>1.1310000000000002</v>
      </c>
      <c r="L49" s="36">
        <v>1.5637931785512042E-2</v>
      </c>
      <c r="M49" s="36">
        <v>6.5679313499150576</v>
      </c>
      <c r="N49" s="36">
        <v>3.2290000000000001</v>
      </c>
      <c r="O49" s="36">
        <v>1.4354329628104848E-2</v>
      </c>
      <c r="P49" s="36">
        <v>5.4259365994236326</v>
      </c>
      <c r="Q49" s="36">
        <v>0.158</v>
      </c>
      <c r="R49" s="36">
        <v>3.4809429389733421E-3</v>
      </c>
      <c r="S49" s="36">
        <v>0.93985459352280232</v>
      </c>
      <c r="T49" s="36">
        <v>0.33315977089758481</v>
      </c>
      <c r="U49" s="36">
        <v>8.3176668402291014</v>
      </c>
      <c r="V49" s="36">
        <v>0.33997601759916735</v>
      </c>
      <c r="W49" s="36">
        <v>9.6648990236563072E-3</v>
      </c>
      <c r="X49" s="36">
        <v>3.5373530426582085</v>
      </c>
      <c r="Y49" s="36">
        <v>24.965999999999998</v>
      </c>
      <c r="Z49" s="34">
        <v>19.30350724328904</v>
      </c>
      <c r="AA49" s="34">
        <v>4.1111516983259957</v>
      </c>
      <c r="AB49" s="33">
        <v>8.7110200517770409E-3</v>
      </c>
      <c r="AC49" s="34">
        <v>15.89584428853874</v>
      </c>
    </row>
    <row r="50" spans="1:29" x14ac:dyDescent="0.25">
      <c r="A50" s="32" t="b">
        <v>1</v>
      </c>
      <c r="B50" s="25">
        <v>49</v>
      </c>
      <c r="C50" s="36" t="s">
        <v>99</v>
      </c>
      <c r="D50" s="36" t="s">
        <v>61</v>
      </c>
      <c r="E50" s="36" t="s">
        <v>21</v>
      </c>
      <c r="F50" s="36" t="s">
        <v>21</v>
      </c>
      <c r="G50" s="37">
        <v>6</v>
      </c>
      <c r="H50" s="36">
        <v>2.9880000000000004</v>
      </c>
      <c r="I50" s="36">
        <v>1.0390168750671794E-2</v>
      </c>
      <c r="J50" s="36">
        <v>3.8028017627458763</v>
      </c>
      <c r="K50" s="36">
        <v>0.97399999999999998</v>
      </c>
      <c r="L50" s="36">
        <v>1.3358307560511675E-2</v>
      </c>
      <c r="M50" s="36">
        <v>5.6104891754149033</v>
      </c>
      <c r="N50" s="36">
        <v>3.4740000000000002</v>
      </c>
      <c r="O50" s="36">
        <v>1.6595764146196429E-2</v>
      </c>
      <c r="P50" s="36">
        <v>6.2731988472622504</v>
      </c>
      <c r="Q50" s="36">
        <v>0.13400000000000001</v>
      </c>
      <c r="R50" s="36">
        <v>2.9521921128001765E-3</v>
      </c>
      <c r="S50" s="36">
        <v>0.79709187045604768</v>
      </c>
      <c r="T50" s="36">
        <v>0.3191762160429521</v>
      </c>
      <c r="U50" s="36">
        <v>7.9672767048641715</v>
      </c>
      <c r="V50" s="36">
        <v>0.33847520506071826</v>
      </c>
      <c r="W50" s="36">
        <v>7.0127887821444506E-3</v>
      </c>
      <c r="X50" s="36">
        <v>2.566680694264869</v>
      </c>
      <c r="Y50" s="36">
        <v>24.962000000000003</v>
      </c>
      <c r="Z50" s="34">
        <v>19.050262350143946</v>
      </c>
      <c r="AA50" s="34">
        <v>3.8579068051809013</v>
      </c>
      <c r="AB50" s="33">
        <v>8.1744255634016022E-3</v>
      </c>
      <c r="AC50" s="34">
        <v>14.97826771341674</v>
      </c>
    </row>
    <row r="51" spans="1:29" x14ac:dyDescent="0.25">
      <c r="A51" s="32" t="b">
        <v>1</v>
      </c>
      <c r="B51" s="25">
        <v>50</v>
      </c>
      <c r="C51" s="36" t="s">
        <v>138</v>
      </c>
      <c r="D51" s="36" t="s">
        <v>61</v>
      </c>
      <c r="E51" s="36" t="s">
        <v>16</v>
      </c>
      <c r="F51" s="36" t="s">
        <v>16</v>
      </c>
      <c r="G51" s="37">
        <v>6</v>
      </c>
      <c r="H51" s="36">
        <v>3.5120000000000005</v>
      </c>
      <c r="I51" s="36">
        <v>1.5083658772526983E-2</v>
      </c>
      <c r="J51" s="36">
        <v>5.5206191107448754</v>
      </c>
      <c r="K51" s="36">
        <v>1.0170000000000001</v>
      </c>
      <c r="L51" s="36">
        <v>1.3982663239970376E-2</v>
      </c>
      <c r="M51" s="36">
        <v>5.8727185607875576</v>
      </c>
      <c r="N51" s="36">
        <v>2.5860000000000003</v>
      </c>
      <c r="O51" s="36">
        <v>8.4717076071542975E-3</v>
      </c>
      <c r="P51" s="36">
        <v>3.2023054755043243</v>
      </c>
      <c r="Q51" s="36">
        <v>9.8000000000000004E-2</v>
      </c>
      <c r="R51" s="36">
        <v>2.1590658735404274E-3</v>
      </c>
      <c r="S51" s="36">
        <v>0.58294778585591545</v>
      </c>
      <c r="T51" s="36">
        <v>0.31143987221419328</v>
      </c>
      <c r="U51" s="36">
        <v>8.1889999999999965</v>
      </c>
      <c r="V51" s="36">
        <v>0.33749558690031967</v>
      </c>
      <c r="W51" s="36">
        <v>5.2816896012641244E-3</v>
      </c>
      <c r="X51" s="36">
        <v>1.9330983940626696</v>
      </c>
      <c r="Y51" s="36">
        <v>26.293999999999997</v>
      </c>
      <c r="Z51" s="34">
        <v>17.111689326955343</v>
      </c>
      <c r="AA51" s="34">
        <v>1.6039509199138742</v>
      </c>
      <c r="AB51" s="33">
        <v>3.3985728697691242E-3</v>
      </c>
      <c r="AC51" s="34">
        <v>6.8115596073052025</v>
      </c>
    </row>
    <row r="52" spans="1:29" x14ac:dyDescent="0.25">
      <c r="A52" s="32" t="b">
        <v>1</v>
      </c>
      <c r="B52" s="25">
        <v>51</v>
      </c>
      <c r="C52" s="36" t="s">
        <v>129</v>
      </c>
      <c r="D52" s="36" t="s">
        <v>67</v>
      </c>
      <c r="E52" s="36" t="s">
        <v>19</v>
      </c>
      <c r="F52" s="36" t="s">
        <v>14</v>
      </c>
      <c r="G52" s="37">
        <v>6</v>
      </c>
      <c r="H52" s="36">
        <v>3.2710000000000004</v>
      </c>
      <c r="I52" s="36">
        <v>1.2925011644154653E-2</v>
      </c>
      <c r="J52" s="36">
        <v>4.7305542617606031</v>
      </c>
      <c r="K52" s="36">
        <v>0.99400000000000011</v>
      </c>
      <c r="L52" s="36">
        <v>1.3648705550957584E-2</v>
      </c>
      <c r="M52" s="36">
        <v>5.7324563314021857</v>
      </c>
      <c r="N52" s="36">
        <v>2.2989999999999999</v>
      </c>
      <c r="O52" s="36">
        <v>5.846027171675588E-3</v>
      </c>
      <c r="P52" s="36">
        <v>2.2097982708933723</v>
      </c>
      <c r="Q52" s="36">
        <v>0.39600000000000002</v>
      </c>
      <c r="R52" s="36">
        <v>8.724388631857238E-3</v>
      </c>
      <c r="S52" s="36">
        <v>2.3555849306014545</v>
      </c>
      <c r="T52" s="36">
        <v>0.31446330206937617</v>
      </c>
      <c r="U52" s="36">
        <v>8.4486855366979299</v>
      </c>
      <c r="V52" s="36">
        <v>0.33777835970913178</v>
      </c>
      <c r="W52" s="36">
        <v>5.7813820299045908E-3</v>
      </c>
      <c r="X52" s="36">
        <v>2.1159858229450803</v>
      </c>
      <c r="Y52" s="36">
        <v>26.867000000000001</v>
      </c>
      <c r="Z52" s="34">
        <v>17.144379617602695</v>
      </c>
      <c r="AA52" s="34">
        <v>1.1168656114423463</v>
      </c>
      <c r="AB52" s="33">
        <v>2.3664995724619049E-3</v>
      </c>
      <c r="AC52" s="34">
        <v>5.0467142689098576</v>
      </c>
    </row>
    <row r="53" spans="1:29" x14ac:dyDescent="0.25">
      <c r="A53" s="32" t="b">
        <v>1</v>
      </c>
      <c r="B53" s="25">
        <v>52</v>
      </c>
      <c r="C53" s="36" t="s">
        <v>259</v>
      </c>
      <c r="D53" s="36" t="s">
        <v>94</v>
      </c>
      <c r="E53" s="36" t="s">
        <v>21</v>
      </c>
      <c r="F53" s="36" t="s">
        <v>21</v>
      </c>
      <c r="G53" s="37">
        <v>6</v>
      </c>
      <c r="H53" s="36">
        <v>3.1780000000000004</v>
      </c>
      <c r="I53" s="36">
        <v>1.2092006735695621E-2</v>
      </c>
      <c r="J53" s="36">
        <v>4.4256744652645974</v>
      </c>
      <c r="K53" s="36">
        <v>0.81400000000000006</v>
      </c>
      <c r="L53" s="36">
        <v>1.1035123636944429E-2</v>
      </c>
      <c r="M53" s="36">
        <v>4.6347519275166604</v>
      </c>
      <c r="N53" s="36">
        <v>2.6680000000000001</v>
      </c>
      <c r="O53" s="36">
        <v>9.2219020172910702E-3</v>
      </c>
      <c r="P53" s="36">
        <v>3.4858789625360247</v>
      </c>
      <c r="Q53" s="36">
        <v>0.249</v>
      </c>
      <c r="R53" s="36">
        <v>5.485789821546596E-3</v>
      </c>
      <c r="S53" s="36">
        <v>1.481163251817581</v>
      </c>
      <c r="T53" s="36">
        <v>0.32521726101288595</v>
      </c>
      <c r="U53" s="36">
        <v>8.6813495654779764</v>
      </c>
      <c r="V53" s="36">
        <v>0.33902082055209942</v>
      </c>
      <c r="W53" s="36">
        <v>7.9769547892560612E-3</v>
      </c>
      <c r="X53" s="36">
        <v>2.9195654528677184</v>
      </c>
      <c r="Y53" s="36">
        <v>26.693999999999996</v>
      </c>
      <c r="Z53" s="34">
        <v>16.947034060002583</v>
      </c>
      <c r="AA53" s="34">
        <v>1.7546785150395383</v>
      </c>
      <c r="AB53" s="33">
        <v>3.7179459311014085E-3</v>
      </c>
      <c r="AC53" s="34">
        <v>7.3576875421834087</v>
      </c>
    </row>
    <row r="54" spans="1:29" x14ac:dyDescent="0.25">
      <c r="A54" s="32" t="b">
        <v>1</v>
      </c>
      <c r="B54" s="25">
        <v>55</v>
      </c>
      <c r="C54" s="36" t="s">
        <v>86</v>
      </c>
      <c r="D54" s="36" t="s">
        <v>42</v>
      </c>
      <c r="E54" s="36" t="s">
        <v>19</v>
      </c>
      <c r="F54" s="36" t="s">
        <v>14</v>
      </c>
      <c r="G54" s="37">
        <v>6</v>
      </c>
      <c r="H54" s="36">
        <v>2.6249999999999996</v>
      </c>
      <c r="I54" s="36">
        <v>7.1387624950736313E-3</v>
      </c>
      <c r="J54" s="36">
        <v>2.6127870731969489</v>
      </c>
      <c r="K54" s="36">
        <v>0.9</v>
      </c>
      <c r="L54" s="36">
        <v>1.2283834995861824E-2</v>
      </c>
      <c r="M54" s="36">
        <v>5.1592106982619663</v>
      </c>
      <c r="N54" s="36">
        <v>2.9650000000000003</v>
      </c>
      <c r="O54" s="36">
        <v>1.193906957595719E-2</v>
      </c>
      <c r="P54" s="36">
        <v>4.5129682997118179</v>
      </c>
      <c r="Q54" s="36">
        <v>0.33999999999999997</v>
      </c>
      <c r="R54" s="36">
        <v>7.4906367041198494E-3</v>
      </c>
      <c r="S54" s="36">
        <v>2.0224719101123592</v>
      </c>
      <c r="T54" s="36">
        <v>0.35168307206221894</v>
      </c>
      <c r="U54" s="36">
        <v>8.6830550492161862</v>
      </c>
      <c r="V54" s="36">
        <v>0.34195295967291511</v>
      </c>
      <c r="W54" s="36">
        <v>1.3158385509370407E-2</v>
      </c>
      <c r="X54" s="36">
        <v>4.8159690964295692</v>
      </c>
      <c r="Y54" s="36">
        <v>24.69</v>
      </c>
      <c r="Z54" s="34">
        <v>19.12340707771266</v>
      </c>
      <c r="AA54" s="34">
        <v>3.095893071552311</v>
      </c>
      <c r="AB54" s="33">
        <v>6.5598130653828583E-3</v>
      </c>
      <c r="AC54" s="34">
        <v>12.217280341804688</v>
      </c>
    </row>
    <row r="55" spans="1:29" x14ac:dyDescent="0.25">
      <c r="A55" s="32" t="b">
        <v>1</v>
      </c>
      <c r="B55" s="25">
        <v>56</v>
      </c>
      <c r="C55" s="36" t="s">
        <v>69</v>
      </c>
      <c r="D55" s="36" t="s">
        <v>70</v>
      </c>
      <c r="E55" s="36" t="s">
        <v>16</v>
      </c>
      <c r="F55" s="36" t="s">
        <v>16</v>
      </c>
      <c r="G55" s="37">
        <v>6</v>
      </c>
      <c r="H55" s="36">
        <v>3.0219999999999998</v>
      </c>
      <c r="I55" s="36">
        <v>1.0694708179570789E-2</v>
      </c>
      <c r="J55" s="36">
        <v>3.9142631937229089</v>
      </c>
      <c r="K55" s="36">
        <v>1.0859999999999999</v>
      </c>
      <c r="L55" s="36">
        <v>1.4984536307008748E-2</v>
      </c>
      <c r="M55" s="36">
        <v>6.2935052489436742</v>
      </c>
      <c r="N55" s="36">
        <v>3.0830000000000002</v>
      </c>
      <c r="O55" s="36">
        <v>1.3018617629568643E-2</v>
      </c>
      <c r="P55" s="36">
        <v>4.9210374639769476</v>
      </c>
      <c r="Q55" s="36">
        <v>9.1999999999999998E-2</v>
      </c>
      <c r="R55" s="36">
        <v>2.0268781669971359E-3</v>
      </c>
      <c r="S55" s="36">
        <v>0.54725710508922665</v>
      </c>
      <c r="T55" s="36">
        <v>0.31522433338655592</v>
      </c>
      <c r="U55" s="36">
        <v>7.8966847756666132</v>
      </c>
      <c r="V55" s="36">
        <v>0.33804229601369751</v>
      </c>
      <c r="W55" s="36">
        <v>6.2477881655895393E-3</v>
      </c>
      <c r="X55" s="36">
        <v>2.2866904686057712</v>
      </c>
      <c r="Y55" s="36">
        <v>25.051000000000002</v>
      </c>
      <c r="Z55" s="34">
        <v>17.962753480338527</v>
      </c>
      <c r="AA55" s="34">
        <v>2.4550150732970586</v>
      </c>
      <c r="AB55" s="33">
        <v>5.2018721516925576E-3</v>
      </c>
      <c r="AC55" s="34">
        <v>9.8952013793942726</v>
      </c>
    </row>
    <row r="56" spans="1:29" x14ac:dyDescent="0.25">
      <c r="A56" s="32" t="b">
        <v>1</v>
      </c>
      <c r="B56" s="25">
        <v>57</v>
      </c>
      <c r="C56" s="36" t="s">
        <v>135</v>
      </c>
      <c r="D56" s="36" t="s">
        <v>81</v>
      </c>
      <c r="E56" s="36" t="s">
        <v>114</v>
      </c>
      <c r="F56" s="36" t="s">
        <v>46</v>
      </c>
      <c r="G56" s="37">
        <v>6</v>
      </c>
      <c r="H56" s="36">
        <v>2.9870000000000001</v>
      </c>
      <c r="I56" s="36">
        <v>1.038121170864535E-2</v>
      </c>
      <c r="J56" s="36">
        <v>3.7995234853641984</v>
      </c>
      <c r="K56" s="36">
        <v>0.42100000000000004</v>
      </c>
      <c r="L56" s="36">
        <v>5.3288031246823764E-3</v>
      </c>
      <c r="M56" s="36">
        <v>2.2380973123665981</v>
      </c>
      <c r="N56" s="36">
        <v>3.1460000000000008</v>
      </c>
      <c r="O56" s="36">
        <v>1.359498650564934E-2</v>
      </c>
      <c r="P56" s="36">
        <v>5.1389048991354507</v>
      </c>
      <c r="Q56" s="36">
        <v>0.17899999999999999</v>
      </c>
      <c r="R56" s="36">
        <v>3.943599911874862E-3</v>
      </c>
      <c r="S56" s="36">
        <v>1.0647719762062127</v>
      </c>
      <c r="T56" s="36">
        <v>0.34927658919501292</v>
      </c>
      <c r="U56" s="36">
        <v>9.0769999999999964</v>
      </c>
      <c r="V56" s="36">
        <v>0.34173929185703128</v>
      </c>
      <c r="W56" s="36">
        <v>1.278080963745467E-2</v>
      </c>
      <c r="X56" s="36">
        <v>4.6777763273084094</v>
      </c>
      <c r="Y56" s="36">
        <v>25.988</v>
      </c>
      <c r="Z56" s="34">
        <v>16.919074000380867</v>
      </c>
      <c r="AA56" s="34">
        <v>0.66447723555825888</v>
      </c>
      <c r="AB56" s="33">
        <v>1.4079447677044549E-3</v>
      </c>
      <c r="AC56" s="34">
        <v>3.4075855527746177</v>
      </c>
    </row>
    <row r="57" spans="1:29" x14ac:dyDescent="0.25">
      <c r="A57" s="32" t="b">
        <v>1</v>
      </c>
      <c r="B57" s="25">
        <v>58</v>
      </c>
      <c r="C57" s="36" t="s">
        <v>117</v>
      </c>
      <c r="D57" s="36" t="s">
        <v>67</v>
      </c>
      <c r="E57" s="36" t="s">
        <v>46</v>
      </c>
      <c r="F57" s="36" t="s">
        <v>46</v>
      </c>
      <c r="G57" s="37">
        <v>6</v>
      </c>
      <c r="H57" s="36">
        <v>2.843</v>
      </c>
      <c r="I57" s="36">
        <v>9.0913976568378161E-3</v>
      </c>
      <c r="J57" s="36">
        <v>3.3274515424026405</v>
      </c>
      <c r="K57" s="36">
        <v>0.5079999999999999</v>
      </c>
      <c r="L57" s="36">
        <v>6.5920343831220654E-3</v>
      </c>
      <c r="M57" s="36">
        <v>2.7686544409112677</v>
      </c>
      <c r="N57" s="36">
        <v>3.1139999999999999</v>
      </c>
      <c r="O57" s="36">
        <v>1.3302227711449616E-2</v>
      </c>
      <c r="P57" s="36">
        <v>5.0282420749279551</v>
      </c>
      <c r="Q57" s="36">
        <v>0.21700000000000003</v>
      </c>
      <c r="R57" s="36">
        <v>4.7807887199823752E-3</v>
      </c>
      <c r="S57" s="36">
        <v>1.2908129543952414</v>
      </c>
      <c r="T57" s="36">
        <v>0.34497567649741573</v>
      </c>
      <c r="U57" s="36">
        <v>9.0770000000000035</v>
      </c>
      <c r="V57" s="36">
        <v>0.34126593402351713</v>
      </c>
      <c r="W57" s="36">
        <v>1.1944331312546708E-2</v>
      </c>
      <c r="X57" s="36">
        <v>4.3716252603920953</v>
      </c>
      <c r="Y57" s="36">
        <v>26.312000000000001</v>
      </c>
      <c r="Z57" s="34">
        <v>16.7867862730292</v>
      </c>
      <c r="AA57" s="34">
        <v>0.53218950820659217</v>
      </c>
      <c r="AB57" s="33">
        <v>1.1276434968869348E-3</v>
      </c>
      <c r="AC57" s="34">
        <v>2.9282703796766585</v>
      </c>
    </row>
    <row r="58" spans="1:29" x14ac:dyDescent="0.25">
      <c r="A58" s="32" t="b">
        <v>1</v>
      </c>
      <c r="B58" s="25">
        <v>59</v>
      </c>
      <c r="C58" s="36" t="s">
        <v>17</v>
      </c>
      <c r="D58" s="36" t="s">
        <v>18</v>
      </c>
      <c r="E58" s="36" t="s">
        <v>19</v>
      </c>
      <c r="F58" s="36" t="s">
        <v>14</v>
      </c>
      <c r="G58" s="37">
        <v>5</v>
      </c>
      <c r="H58" s="36">
        <v>2.6300000000000003</v>
      </c>
      <c r="I58" s="36">
        <v>7.1835477052058444E-3</v>
      </c>
      <c r="J58" s="36">
        <v>2.6291784601053392</v>
      </c>
      <c r="K58" s="36">
        <v>0.98799999999999999</v>
      </c>
      <c r="L58" s="36">
        <v>1.356158615382381E-2</v>
      </c>
      <c r="M58" s="36">
        <v>5.6958661846060004</v>
      </c>
      <c r="N58" s="36">
        <v>2.9110000000000005</v>
      </c>
      <c r="O58" s="36">
        <v>1.1445039110745171E-2</v>
      </c>
      <c r="P58" s="36">
        <v>4.3262247838616741</v>
      </c>
      <c r="Q58" s="36">
        <v>0.215</v>
      </c>
      <c r="R58" s="36">
        <v>4.736726151134611E-3</v>
      </c>
      <c r="S58" s="36">
        <v>1.278916060806345</v>
      </c>
      <c r="T58" s="36">
        <v>0.38396028782220604</v>
      </c>
      <c r="U58" s="36">
        <v>8.430616039712179</v>
      </c>
      <c r="V58" s="36">
        <v>0.34492443021391955</v>
      </c>
      <c r="W58" s="36">
        <v>1.8409319421671289E-2</v>
      </c>
      <c r="X58" s="36">
        <v>6.7378109083316913</v>
      </c>
      <c r="Y58" s="36">
        <v>21.957000000000001</v>
      </c>
      <c r="Z58" s="34">
        <v>20.66799639771105</v>
      </c>
      <c r="AA58" s="34">
        <v>4.6404823915507016</v>
      </c>
      <c r="AB58" s="33">
        <v>9.8326060746374948E-3</v>
      </c>
      <c r="AC58" s="34">
        <v>17.813756387630114</v>
      </c>
    </row>
    <row r="59" spans="1:29" x14ac:dyDescent="0.25">
      <c r="A59" s="32" t="b">
        <v>1</v>
      </c>
      <c r="B59" s="25">
        <v>61</v>
      </c>
      <c r="C59" s="36" t="s">
        <v>80</v>
      </c>
      <c r="D59" s="36" t="s">
        <v>81</v>
      </c>
      <c r="E59" s="36" t="s">
        <v>14</v>
      </c>
      <c r="F59" s="36" t="s">
        <v>14</v>
      </c>
      <c r="G59" s="37">
        <v>6</v>
      </c>
      <c r="H59" s="36">
        <v>2.7010000000000001</v>
      </c>
      <c r="I59" s="36">
        <v>7.8194976890831672E-3</v>
      </c>
      <c r="J59" s="36">
        <v>2.861936154204439</v>
      </c>
      <c r="K59" s="36">
        <v>0.92</v>
      </c>
      <c r="L59" s="36">
        <v>1.2574232986307731E-2</v>
      </c>
      <c r="M59" s="36">
        <v>5.2811778542492469</v>
      </c>
      <c r="N59" s="36">
        <v>2.9159999999999995</v>
      </c>
      <c r="O59" s="36">
        <v>1.1490782672338867E-2</v>
      </c>
      <c r="P59" s="36">
        <v>4.3435158501440911</v>
      </c>
      <c r="Q59" s="36">
        <v>0</v>
      </c>
      <c r="R59" s="36">
        <v>0</v>
      </c>
      <c r="S59" s="36">
        <v>0</v>
      </c>
      <c r="T59" s="36">
        <v>0.34445778311324532</v>
      </c>
      <c r="U59" s="36">
        <v>8.6059332533013198</v>
      </c>
      <c r="V59" s="36">
        <v>0.34118912016238251</v>
      </c>
      <c r="W59" s="36">
        <v>1.1808592289460115E-2</v>
      </c>
      <c r="X59" s="36">
        <v>4.3219447779424023</v>
      </c>
      <c r="Y59" s="36">
        <v>24.983999999999998</v>
      </c>
      <c r="Z59" s="34">
        <v>16.808574636540179</v>
      </c>
      <c r="AA59" s="34">
        <v>0.7810606303798302</v>
      </c>
      <c r="AB59" s="33">
        <v>1.6549705075740077E-3</v>
      </c>
      <c r="AC59" s="34">
        <v>3.8299995679515533</v>
      </c>
    </row>
    <row r="60" spans="1:29" x14ac:dyDescent="0.25">
      <c r="A60" s="32" t="b">
        <v>1</v>
      </c>
      <c r="B60" s="25">
        <v>62</v>
      </c>
      <c r="C60" s="36" t="s">
        <v>123</v>
      </c>
      <c r="D60" s="36" t="s">
        <v>26</v>
      </c>
      <c r="E60" s="36" t="s">
        <v>21</v>
      </c>
      <c r="F60" s="36" t="s">
        <v>21</v>
      </c>
      <c r="G60" s="37">
        <v>6</v>
      </c>
      <c r="H60" s="36">
        <v>3.052</v>
      </c>
      <c r="I60" s="36">
        <v>1.0963419440364027E-2</v>
      </c>
      <c r="J60" s="36">
        <v>4.0126115151732336</v>
      </c>
      <c r="K60" s="36">
        <v>0.97900000000000009</v>
      </c>
      <c r="L60" s="36">
        <v>1.3430907058123154E-2</v>
      </c>
      <c r="M60" s="36">
        <v>5.6409809644117246</v>
      </c>
      <c r="N60" s="36">
        <v>2.6399999999999997</v>
      </c>
      <c r="O60" s="36">
        <v>8.9657380723663135E-3</v>
      </c>
      <c r="P60" s="36">
        <v>3.3890489913544664</v>
      </c>
      <c r="Q60" s="36">
        <v>0.30199999999999999</v>
      </c>
      <c r="R60" s="36">
        <v>6.6534478960123371E-3</v>
      </c>
      <c r="S60" s="36">
        <v>1.7964309319233309</v>
      </c>
      <c r="T60" s="36">
        <v>0.3033195178523897</v>
      </c>
      <c r="U60" s="36">
        <v>7.9776066390357023</v>
      </c>
      <c r="V60" s="36">
        <v>0.33658170929351622</v>
      </c>
      <c r="W60" s="36">
        <v>3.6667616216535651E-3</v>
      </c>
      <c r="X60" s="36">
        <v>1.3420347535252048</v>
      </c>
      <c r="Y60" s="36">
        <v>26.301000000000002</v>
      </c>
      <c r="Z60" s="34">
        <v>16.181107156387959</v>
      </c>
      <c r="AA60" s="34">
        <v>0.98875161142491486</v>
      </c>
      <c r="AB60" s="33">
        <v>2.0950419116999267E-3</v>
      </c>
      <c r="AC60" s="34">
        <v>4.5825216690068746</v>
      </c>
    </row>
    <row r="61" spans="1:29" x14ac:dyDescent="0.25">
      <c r="A61" s="32" t="b">
        <v>1</v>
      </c>
      <c r="B61" s="25">
        <v>63</v>
      </c>
      <c r="C61" s="36" t="s">
        <v>140</v>
      </c>
      <c r="D61" s="36" t="s">
        <v>67</v>
      </c>
      <c r="E61" s="36" t="s">
        <v>16</v>
      </c>
      <c r="F61" s="36" t="s">
        <v>16</v>
      </c>
      <c r="G61" s="37">
        <v>6</v>
      </c>
      <c r="H61" s="36">
        <v>2.5590000000000002</v>
      </c>
      <c r="I61" s="36">
        <v>6.5475977213285174E-3</v>
      </c>
      <c r="J61" s="36">
        <v>2.3964207660062375</v>
      </c>
      <c r="K61" s="36">
        <v>0.96800000000000008</v>
      </c>
      <c r="L61" s="36">
        <v>1.3271188163377905E-2</v>
      </c>
      <c r="M61" s="36">
        <v>5.5738990286187198</v>
      </c>
      <c r="N61" s="36">
        <v>2.867</v>
      </c>
      <c r="O61" s="36">
        <v>1.1042495768720555E-2</v>
      </c>
      <c r="P61" s="36">
        <v>4.1740634005763697</v>
      </c>
      <c r="Q61" s="36">
        <v>0.14899999999999999</v>
      </c>
      <c r="R61" s="36">
        <v>3.2826613791584048E-3</v>
      </c>
      <c r="S61" s="36">
        <v>0.88631857237276934</v>
      </c>
      <c r="T61" s="36">
        <v>0.33773773773773774</v>
      </c>
      <c r="U61" s="36">
        <v>8.4356754754754739</v>
      </c>
      <c r="V61" s="36">
        <v>0.34046733646044353</v>
      </c>
      <c r="W61" s="36">
        <v>1.0533116572788081E-2</v>
      </c>
      <c r="X61" s="36">
        <v>3.8551206656404378</v>
      </c>
      <c r="Y61" s="36">
        <v>24.976999999999997</v>
      </c>
      <c r="Z61" s="34">
        <v>16.885822433214535</v>
      </c>
      <c r="AA61" s="34">
        <v>1.3780840261730667</v>
      </c>
      <c r="AB61" s="33">
        <v>2.9199889631694432E-3</v>
      </c>
      <c r="AC61" s="34">
        <v>5.9931811270197475</v>
      </c>
    </row>
    <row r="62" spans="1:29" x14ac:dyDescent="0.25">
      <c r="A62" s="32" t="b">
        <v>1</v>
      </c>
      <c r="B62" s="25">
        <v>65</v>
      </c>
      <c r="C62" s="36" t="s">
        <v>148</v>
      </c>
      <c r="D62" s="36" t="s">
        <v>23</v>
      </c>
      <c r="E62" s="36" t="s">
        <v>149</v>
      </c>
      <c r="F62" s="36" t="s">
        <v>16</v>
      </c>
      <c r="G62" s="37">
        <v>6</v>
      </c>
      <c r="H62" s="36">
        <v>2.827</v>
      </c>
      <c r="I62" s="36">
        <v>8.9480849844147566E-3</v>
      </c>
      <c r="J62" s="36">
        <v>3.2749991042958011</v>
      </c>
      <c r="K62" s="36">
        <v>0.54799999999999993</v>
      </c>
      <c r="L62" s="36">
        <v>7.1728303640138779E-3</v>
      </c>
      <c r="M62" s="36">
        <v>3.0125887528858288</v>
      </c>
      <c r="N62" s="36">
        <v>3.3460000000000001</v>
      </c>
      <c r="O62" s="36">
        <v>1.5424728969397563E-2</v>
      </c>
      <c r="P62" s="36">
        <v>5.8305475504322786</v>
      </c>
      <c r="Q62" s="36">
        <v>0.41600000000000004</v>
      </c>
      <c r="R62" s="36">
        <v>9.1650143203348758E-3</v>
      </c>
      <c r="S62" s="36">
        <v>2.4745538664904165</v>
      </c>
      <c r="T62" s="36">
        <v>0.31523924406915965</v>
      </c>
      <c r="U62" s="36">
        <v>7.8396847607559312</v>
      </c>
      <c r="V62" s="36">
        <v>0.33806175540591854</v>
      </c>
      <c r="W62" s="36">
        <v>6.2821751740138754E-3</v>
      </c>
      <c r="X62" s="36">
        <v>2.2992761136890785</v>
      </c>
      <c r="Y62" s="36">
        <v>24.869</v>
      </c>
      <c r="Z62" s="34">
        <v>16.891965387793405</v>
      </c>
      <c r="AA62" s="34">
        <v>1.3842269807519365</v>
      </c>
      <c r="AB62" s="33">
        <v>2.9330051212780044E-3</v>
      </c>
      <c r="AC62" s="34">
        <v>6.0154387573853878</v>
      </c>
    </row>
    <row r="63" spans="1:29" x14ac:dyDescent="0.25">
      <c r="A63" s="32" t="b">
        <v>1</v>
      </c>
      <c r="B63" s="25">
        <v>67</v>
      </c>
      <c r="C63" s="36" t="s">
        <v>57</v>
      </c>
      <c r="D63" s="36" t="s">
        <v>58</v>
      </c>
      <c r="E63" s="36" t="s">
        <v>21</v>
      </c>
      <c r="F63" s="36" t="s">
        <v>21</v>
      </c>
      <c r="G63" s="37">
        <v>5</v>
      </c>
      <c r="H63" s="36">
        <v>2.5060000000000002</v>
      </c>
      <c r="I63" s="36">
        <v>6.0728744939271342E-3</v>
      </c>
      <c r="J63" s="36">
        <v>2.2226720647773313</v>
      </c>
      <c r="K63" s="36">
        <v>0.47699999999999998</v>
      </c>
      <c r="L63" s="36">
        <v>6.141917497930912E-3</v>
      </c>
      <c r="M63" s="36">
        <v>2.5796053491309832</v>
      </c>
      <c r="N63" s="36">
        <v>2.9510000000000001</v>
      </c>
      <c r="O63" s="36">
        <v>1.1810987603494812E-2</v>
      </c>
      <c r="P63" s="36">
        <v>4.464553314121039</v>
      </c>
      <c r="Q63" s="36">
        <v>0.70900000000000007</v>
      </c>
      <c r="R63" s="36">
        <v>1.5620180656532277E-2</v>
      </c>
      <c r="S63" s="36">
        <v>4.2174487772637148</v>
      </c>
      <c r="T63" s="36">
        <v>0.36919774617654966</v>
      </c>
      <c r="U63" s="36">
        <v>8.2552616045076501</v>
      </c>
      <c r="V63" s="36">
        <v>0.34355740742625424</v>
      </c>
      <c r="W63" s="36">
        <v>1.599363122433399E-2</v>
      </c>
      <c r="X63" s="36">
        <v>5.85366902810624</v>
      </c>
      <c r="Y63" s="36">
        <v>22.36</v>
      </c>
      <c r="Z63" s="34">
        <v>19.337948533399306</v>
      </c>
      <c r="AA63" s="34">
        <v>4.1455929884362615</v>
      </c>
      <c r="AB63" s="33">
        <v>8.7839968696555339E-3</v>
      </c>
      <c r="AC63" s="34">
        <v>16.020634647110963</v>
      </c>
    </row>
    <row r="64" spans="1:29" x14ac:dyDescent="0.25">
      <c r="A64" s="32" t="b">
        <v>1</v>
      </c>
      <c r="B64" s="25">
        <v>68</v>
      </c>
      <c r="C64" s="36" t="s">
        <v>137</v>
      </c>
      <c r="D64" s="36" t="s">
        <v>67</v>
      </c>
      <c r="E64" s="36" t="s">
        <v>21</v>
      </c>
      <c r="F64" s="36" t="s">
        <v>21</v>
      </c>
      <c r="G64" s="37">
        <v>6</v>
      </c>
      <c r="H64" s="36">
        <v>3.0100000000000002</v>
      </c>
      <c r="I64" s="36">
        <v>1.0587223675253499E-2</v>
      </c>
      <c r="J64" s="36">
        <v>3.8749238651427804</v>
      </c>
      <c r="K64" s="36">
        <v>0.40300000000000002</v>
      </c>
      <c r="L64" s="36">
        <v>5.06744493328106E-3</v>
      </c>
      <c r="M64" s="36">
        <v>2.1283268719780453</v>
      </c>
      <c r="N64" s="36">
        <v>2.36</v>
      </c>
      <c r="O64" s="36">
        <v>6.4040986231187966E-3</v>
      </c>
      <c r="P64" s="36">
        <v>2.4207492795389052</v>
      </c>
      <c r="Q64" s="36">
        <v>1.0150000000000001</v>
      </c>
      <c r="R64" s="36">
        <v>2.2361753690240144E-2</v>
      </c>
      <c r="S64" s="36">
        <v>6.0376734963648389</v>
      </c>
      <c r="T64" s="36">
        <v>0.30273937057493416</v>
      </c>
      <c r="U64" s="36">
        <v>8.1676054787411481</v>
      </c>
      <c r="V64" s="36">
        <v>0.3364188483921125</v>
      </c>
      <c r="W64" s="36">
        <v>3.3789674744904596E-3</v>
      </c>
      <c r="X64" s="36">
        <v>1.2367020956635082</v>
      </c>
      <c r="Y64" s="36">
        <v>26.978999999999999</v>
      </c>
      <c r="Z64" s="34">
        <v>15.698375608688078</v>
      </c>
      <c r="AA64" s="34">
        <v>0.50602006372503361</v>
      </c>
      <c r="AB64" s="33">
        <v>1.0721936929510825E-3</v>
      </c>
      <c r="AC64" s="34">
        <v>2.8334512149463511</v>
      </c>
    </row>
    <row r="65" spans="1:29" x14ac:dyDescent="0.25">
      <c r="A65" s="32" t="b">
        <v>1</v>
      </c>
      <c r="B65" s="25">
        <v>69</v>
      </c>
      <c r="C65" s="36" t="s">
        <v>261</v>
      </c>
      <c r="D65" s="36" t="s">
        <v>32</v>
      </c>
      <c r="E65" s="36" t="s">
        <v>21</v>
      </c>
      <c r="F65" s="36" t="s">
        <v>21</v>
      </c>
      <c r="G65" s="37">
        <v>6</v>
      </c>
      <c r="H65" s="36">
        <v>3.4349999999999996</v>
      </c>
      <c r="I65" s="36">
        <v>1.4393966536491002E-2</v>
      </c>
      <c r="J65" s="36">
        <v>5.2681917523557065</v>
      </c>
      <c r="K65" s="36">
        <v>0.67699999999999994</v>
      </c>
      <c r="L65" s="36">
        <v>9.045897402389971E-3</v>
      </c>
      <c r="M65" s="36">
        <v>3.7992769090037877</v>
      </c>
      <c r="N65" s="36">
        <v>1.83</v>
      </c>
      <c r="O65" s="36">
        <v>1.5552810941859951E-3</v>
      </c>
      <c r="P65" s="36">
        <v>0.58789625360230613</v>
      </c>
      <c r="Q65" s="36">
        <v>0.91200000000000003</v>
      </c>
      <c r="R65" s="36">
        <v>2.0092531394580306E-2</v>
      </c>
      <c r="S65" s="36">
        <v>5.4249834765366831</v>
      </c>
      <c r="T65" s="36">
        <v>0.28864775253381558</v>
      </c>
      <c r="U65" s="36">
        <v>7.6612886477525333</v>
      </c>
      <c r="V65" s="36">
        <v>0.33488429428604105</v>
      </c>
      <c r="W65" s="36">
        <v>6.6723196015910501E-4</v>
      </c>
      <c r="X65" s="36">
        <v>0.24420689741823243</v>
      </c>
      <c r="Y65" s="36">
        <v>26.542000000000002</v>
      </c>
      <c r="Z65" s="34">
        <v>15.324555288916716</v>
      </c>
      <c r="AA65" s="34">
        <v>0.13219974395367196</v>
      </c>
      <c r="AB65" s="33">
        <v>2.8011484492025446E-4</v>
      </c>
      <c r="AC65" s="34">
        <v>1.4789963848136352</v>
      </c>
    </row>
    <row r="66" spans="1:29" x14ac:dyDescent="0.25">
      <c r="A66" s="32" t="b">
        <v>1</v>
      </c>
      <c r="B66" s="25">
        <v>70</v>
      </c>
      <c r="C66" s="36" t="s">
        <v>262</v>
      </c>
      <c r="D66" s="36" t="s">
        <v>85</v>
      </c>
      <c r="E66" s="36" t="s">
        <v>37</v>
      </c>
      <c r="F66" s="36" t="s">
        <v>37</v>
      </c>
      <c r="G66" s="37">
        <v>6</v>
      </c>
      <c r="H66" s="36">
        <v>2.9059999999999997</v>
      </c>
      <c r="I66" s="36">
        <v>9.6556913045036091E-3</v>
      </c>
      <c r="J66" s="36">
        <v>3.5339830174483211</v>
      </c>
      <c r="K66" s="36">
        <v>0.55099999999999993</v>
      </c>
      <c r="L66" s="36">
        <v>7.216390062580764E-3</v>
      </c>
      <c r="M66" s="36">
        <v>3.0308838262839211</v>
      </c>
      <c r="N66" s="36">
        <v>2.1229999999999998</v>
      </c>
      <c r="O66" s="36">
        <v>4.2358538035771462E-3</v>
      </c>
      <c r="P66" s="36">
        <v>1.6011527377521613</v>
      </c>
      <c r="Q66" s="36">
        <v>0.21800000000000003</v>
      </c>
      <c r="R66" s="36">
        <v>4.8028200044062577E-3</v>
      </c>
      <c r="S66" s="36">
        <v>1.2967614011896895</v>
      </c>
      <c r="T66" s="36">
        <v>0.37689605290349243</v>
      </c>
      <c r="U66" s="36">
        <v>9.1186231039470957</v>
      </c>
      <c r="V66" s="36">
        <v>0.34456381128992314</v>
      </c>
      <c r="W66" s="36">
        <v>1.7772063857027481E-2</v>
      </c>
      <c r="X66" s="36">
        <v>6.5045753716720585</v>
      </c>
      <c r="Y66" s="36">
        <v>24.193999999999999</v>
      </c>
      <c r="Z66" s="34">
        <v>15.967356354346151</v>
      </c>
      <c r="AA66" s="34">
        <v>4.7688541586376108</v>
      </c>
      <c r="AB66" s="33">
        <v>1.0104609911818073E-2</v>
      </c>
      <c r="AC66" s="34">
        <v>18.278882949208906</v>
      </c>
    </row>
    <row r="67" spans="1:29" x14ac:dyDescent="0.25">
      <c r="A67" s="32" t="b">
        <v>1</v>
      </c>
      <c r="B67" s="25">
        <v>71</v>
      </c>
      <c r="C67" s="36" t="s">
        <v>170</v>
      </c>
      <c r="D67" s="36" t="s">
        <v>25</v>
      </c>
      <c r="E67" s="36" t="s">
        <v>27</v>
      </c>
      <c r="F67" s="36" t="s">
        <v>16</v>
      </c>
      <c r="G67" s="37">
        <v>6</v>
      </c>
      <c r="H67" s="36">
        <v>2.6349999999999998</v>
      </c>
      <c r="I67" s="36">
        <v>7.2283329153380455E-3</v>
      </c>
      <c r="J67" s="36">
        <v>2.6455698470137246</v>
      </c>
      <c r="K67" s="36">
        <v>1.1589999999999998</v>
      </c>
      <c r="L67" s="36">
        <v>1.6044488972136305E-2</v>
      </c>
      <c r="M67" s="36">
        <v>6.7386853682972481</v>
      </c>
      <c r="N67" s="36">
        <v>2.6310000000000002</v>
      </c>
      <c r="O67" s="36">
        <v>8.8833996614976485E-3</v>
      </c>
      <c r="P67" s="36">
        <v>3.3579250720461111</v>
      </c>
      <c r="Q67" s="36">
        <v>0.20100000000000001</v>
      </c>
      <c r="R67" s="36">
        <v>4.4282881692002648E-3</v>
      </c>
      <c r="S67" s="36">
        <v>1.1956378056840715</v>
      </c>
      <c r="T67" s="36">
        <v>0.30465762247896616</v>
      </c>
      <c r="U67" s="36">
        <v>7.5670860271325617</v>
      </c>
      <c r="V67" s="36">
        <v>0.3369340563105695</v>
      </c>
      <c r="W67" s="36">
        <v>4.2893997650280957E-3</v>
      </c>
      <c r="X67" s="36">
        <v>1.5699203140002831</v>
      </c>
      <c r="Y67" s="36">
        <v>24.838000000000001</v>
      </c>
      <c r="Z67" s="34">
        <v>15.507738407041439</v>
      </c>
      <c r="AA67" s="34">
        <v>-3.0198066269804258E-14</v>
      </c>
      <c r="AB67" s="33">
        <v>-6.3985953354207179E-17</v>
      </c>
      <c r="AC67" s="34">
        <v>0.99999999999989053</v>
      </c>
    </row>
    <row r="68" spans="1:29" x14ac:dyDescent="0.25">
      <c r="A68" s="32" t="b">
        <v>1</v>
      </c>
      <c r="B68" s="25">
        <v>74</v>
      </c>
      <c r="C68" s="36" t="s">
        <v>155</v>
      </c>
      <c r="D68" s="36" t="s">
        <v>25</v>
      </c>
      <c r="E68" s="36" t="s">
        <v>111</v>
      </c>
      <c r="F68" s="36" t="s">
        <v>30</v>
      </c>
      <c r="G68" s="37">
        <v>6</v>
      </c>
      <c r="H68" s="36">
        <v>2.6350000000000002</v>
      </c>
      <c r="I68" s="36">
        <v>7.2283329153380489E-3</v>
      </c>
      <c r="J68" s="36">
        <v>2.6455698470137259</v>
      </c>
      <c r="K68" s="36">
        <v>0.53</v>
      </c>
      <c r="L68" s="36">
        <v>6.9114721726125632E-3</v>
      </c>
      <c r="M68" s="36">
        <v>2.9028183124972764</v>
      </c>
      <c r="N68" s="36">
        <v>2.79</v>
      </c>
      <c r="O68" s="36">
        <v>1.0338044920177487E-2</v>
      </c>
      <c r="P68" s="36">
        <v>3.9077809798270904</v>
      </c>
      <c r="Q68" s="36">
        <v>0.54099999999999993</v>
      </c>
      <c r="R68" s="36">
        <v>1.1918924873320113E-2</v>
      </c>
      <c r="S68" s="36">
        <v>3.2181097157964307</v>
      </c>
      <c r="T68" s="36">
        <v>0.32280963212801</v>
      </c>
      <c r="U68" s="36">
        <v>8.2332596674248943</v>
      </c>
      <c r="V68" s="36">
        <v>0.33882779867155566</v>
      </c>
      <c r="W68" s="36">
        <v>7.6358626854047687E-3</v>
      </c>
      <c r="X68" s="36">
        <v>2.7947257428581453</v>
      </c>
      <c r="Y68" s="36">
        <v>25.504999999999999</v>
      </c>
      <c r="Z68" s="34">
        <v>15.469004597992669</v>
      </c>
      <c r="AA68" s="34">
        <v>2.9857866153435086</v>
      </c>
      <c r="AB68" s="33">
        <v>6.3265111543257847E-3</v>
      </c>
      <c r="AC68" s="34">
        <v>11.818334073897091</v>
      </c>
    </row>
    <row r="69" spans="1:29" x14ac:dyDescent="0.25">
      <c r="A69" s="32" t="b">
        <v>1</v>
      </c>
      <c r="B69" s="25">
        <v>75</v>
      </c>
      <c r="C69" s="36" t="s">
        <v>92</v>
      </c>
      <c r="D69" s="36" t="s">
        <v>70</v>
      </c>
      <c r="E69" s="36" t="s">
        <v>21</v>
      </c>
      <c r="F69" s="36" t="s">
        <v>21</v>
      </c>
      <c r="G69" s="37">
        <v>6</v>
      </c>
      <c r="H69" s="36">
        <v>2.9300000000000006</v>
      </c>
      <c r="I69" s="36">
        <v>9.8706603131382062E-3</v>
      </c>
      <c r="J69" s="36">
        <v>3.6126616746085833</v>
      </c>
      <c r="K69" s="36">
        <v>5.3999999999999999E-2</v>
      </c>
      <c r="L69" s="36">
        <v>0</v>
      </c>
      <c r="M69" s="36">
        <v>0</v>
      </c>
      <c r="N69" s="36">
        <v>1.6720000000000002</v>
      </c>
      <c r="O69" s="36">
        <v>1.097845478248958E-4</v>
      </c>
      <c r="P69" s="36">
        <v>4.1498559077810616E-2</v>
      </c>
      <c r="Q69" s="36">
        <v>1.7249999999999999</v>
      </c>
      <c r="R69" s="36">
        <v>3.8003965631196297E-2</v>
      </c>
      <c r="S69" s="36">
        <v>10.261070720423</v>
      </c>
      <c r="T69" s="36">
        <v>0.32739539114614913</v>
      </c>
      <c r="U69" s="36">
        <v>8.6376726046088521</v>
      </c>
      <c r="V69" s="36">
        <v>0.33928476630596427</v>
      </c>
      <c r="W69" s="36">
        <v>8.4433776229511422E-3</v>
      </c>
      <c r="X69" s="36">
        <v>3.090276210000118</v>
      </c>
      <c r="Y69" s="36">
        <v>26.382999999999999</v>
      </c>
      <c r="Z69" s="34">
        <v>17.00550716410951</v>
      </c>
      <c r="AA69" s="34">
        <v>1.8131516191464652</v>
      </c>
      <c r="AB69" s="33">
        <v>3.8418431793037773E-3</v>
      </c>
      <c r="AC69" s="34">
        <v>7.5695518366094587</v>
      </c>
    </row>
    <row r="70" spans="1:29" x14ac:dyDescent="0.25">
      <c r="A70" s="32" t="b">
        <v>1</v>
      </c>
      <c r="B70" s="25">
        <v>77</v>
      </c>
      <c r="C70" s="36" t="s">
        <v>36</v>
      </c>
      <c r="D70" s="36" t="s">
        <v>13</v>
      </c>
      <c r="E70" s="36" t="s">
        <v>37</v>
      </c>
      <c r="F70" s="36" t="s">
        <v>37</v>
      </c>
      <c r="G70" s="37">
        <v>7</v>
      </c>
      <c r="H70" s="36">
        <v>2.6429999999999998</v>
      </c>
      <c r="I70" s="36">
        <v>7.2999892515495744E-3</v>
      </c>
      <c r="J70" s="36">
        <v>2.6717960660671443</v>
      </c>
      <c r="K70" s="36">
        <v>0.60499999999999998</v>
      </c>
      <c r="L70" s="36">
        <v>8.0004646367847106E-3</v>
      </c>
      <c r="M70" s="36">
        <v>3.3601951474495784</v>
      </c>
      <c r="N70" s="36">
        <v>2.6010000000000004</v>
      </c>
      <c r="O70" s="36">
        <v>8.6089382919354168E-3</v>
      </c>
      <c r="P70" s="36">
        <v>3.2541786743515875</v>
      </c>
      <c r="Q70" s="36">
        <v>5.6000000000000001E-2</v>
      </c>
      <c r="R70" s="36">
        <v>1.2337519277373871E-3</v>
      </c>
      <c r="S70" s="36">
        <v>0.33311302048909452</v>
      </c>
      <c r="T70" s="36">
        <v>0.33560366804916109</v>
      </c>
      <c r="U70" s="36">
        <v>8.8206712073361011</v>
      </c>
      <c r="V70" s="36">
        <v>0.34021227344048827</v>
      </c>
      <c r="W70" s="36">
        <v>1.0082390562627394E-2</v>
      </c>
      <c r="X70" s="36">
        <v>3.6901549459216265</v>
      </c>
      <c r="Y70" s="36">
        <v>26.283000000000001</v>
      </c>
      <c r="Z70" s="34">
        <v>13.309437854279031</v>
      </c>
      <c r="AA70" s="34">
        <v>2.1109356585704901</v>
      </c>
      <c r="AB70" s="33">
        <v>4.4728105891364252E-3</v>
      </c>
      <c r="AC70" s="34">
        <v>8.6485061074232874</v>
      </c>
    </row>
    <row r="71" spans="1:29" x14ac:dyDescent="0.25">
      <c r="A71" s="32" t="b">
        <v>1</v>
      </c>
      <c r="B71" s="25">
        <v>78</v>
      </c>
      <c r="C71" s="36" t="s">
        <v>102</v>
      </c>
      <c r="D71" s="36" t="s">
        <v>83</v>
      </c>
      <c r="E71" s="36" t="s">
        <v>46</v>
      </c>
      <c r="F71" s="36" t="s">
        <v>46</v>
      </c>
      <c r="G71" s="37">
        <v>5</v>
      </c>
      <c r="H71" s="36">
        <v>2.6360000000000001</v>
      </c>
      <c r="I71" s="36">
        <v>7.2372899573644889E-3</v>
      </c>
      <c r="J71" s="36">
        <v>2.648848124395403</v>
      </c>
      <c r="K71" s="36">
        <v>0.30099999999999999</v>
      </c>
      <c r="L71" s="36">
        <v>3.5864151820069394E-3</v>
      </c>
      <c r="M71" s="36">
        <v>1.5062943764429146</v>
      </c>
      <c r="N71" s="36">
        <v>1.9380000000000002</v>
      </c>
      <c r="O71" s="36">
        <v>2.5433420246100389E-3</v>
      </c>
      <c r="P71" s="36">
        <v>0.96138328530259476</v>
      </c>
      <c r="Q71" s="36">
        <v>1.6730000000000003</v>
      </c>
      <c r="R71" s="36">
        <v>3.6858338841154442E-2</v>
      </c>
      <c r="S71" s="36">
        <v>9.9517514871117001</v>
      </c>
      <c r="T71" s="36">
        <v>0.35573865926290804</v>
      </c>
      <c r="U71" s="36">
        <v>7.9439999999999991</v>
      </c>
      <c r="V71" s="36">
        <v>0.34224701450870898</v>
      </c>
      <c r="W71" s="36">
        <v>1.3678014591348164E-2</v>
      </c>
      <c r="X71" s="36">
        <v>5.0061533404334275</v>
      </c>
      <c r="Y71" s="36">
        <v>22.331</v>
      </c>
      <c r="Z71" s="34">
        <v>20.07443061368604</v>
      </c>
      <c r="AA71" s="34">
        <v>3.819833848863432</v>
      </c>
      <c r="AB71" s="33">
        <v>8.0937536956991896E-3</v>
      </c>
      <c r="AC71" s="34">
        <v>14.840318819645614</v>
      </c>
    </row>
    <row r="72" spans="1:29" x14ac:dyDescent="0.25">
      <c r="A72" s="32" t="b">
        <v>1</v>
      </c>
      <c r="B72" s="25">
        <v>79</v>
      </c>
      <c r="C72" s="36" t="s">
        <v>33</v>
      </c>
      <c r="D72" s="36" t="s">
        <v>34</v>
      </c>
      <c r="E72" s="36" t="s">
        <v>21</v>
      </c>
      <c r="F72" s="36" t="s">
        <v>21</v>
      </c>
      <c r="G72" s="37">
        <v>5</v>
      </c>
      <c r="H72" s="36">
        <v>2.8120000000000003</v>
      </c>
      <c r="I72" s="36">
        <v>8.8137293540181422E-3</v>
      </c>
      <c r="J72" s="36">
        <v>3.2258249435706401</v>
      </c>
      <c r="K72" s="36">
        <v>0.81300000000000006</v>
      </c>
      <c r="L72" s="36">
        <v>1.1020603737422134E-2</v>
      </c>
      <c r="M72" s="36">
        <v>4.6286535697172964</v>
      </c>
      <c r="N72" s="36">
        <v>2.7719999999999998</v>
      </c>
      <c r="O72" s="36">
        <v>1.0173368098440145E-2</v>
      </c>
      <c r="P72" s="36">
        <v>3.845533141210375</v>
      </c>
      <c r="Q72" s="36">
        <v>0.55300000000000005</v>
      </c>
      <c r="R72" s="36">
        <v>1.2183300286406698E-2</v>
      </c>
      <c r="S72" s="36">
        <v>3.2894910773298083</v>
      </c>
      <c r="T72" s="36">
        <v>0.3318372939008834</v>
      </c>
      <c r="U72" s="36">
        <v>7.0243318372938992</v>
      </c>
      <c r="V72" s="36">
        <v>0.33996681133460277</v>
      </c>
      <c r="W72" s="36">
        <v>9.6486304838405267E-3</v>
      </c>
      <c r="X72" s="36">
        <v>3.5313987570856327</v>
      </c>
      <c r="Y72" s="36">
        <v>21.167999999999999</v>
      </c>
      <c r="Z72" s="34">
        <v>18.520901488913751</v>
      </c>
      <c r="AA72" s="34">
        <v>3.3285459439507061</v>
      </c>
      <c r="AB72" s="33">
        <v>7.0527756182828562E-3</v>
      </c>
      <c r="AC72" s="34">
        <v>13.060246307263684</v>
      </c>
    </row>
    <row r="73" spans="1:29" x14ac:dyDescent="0.25">
      <c r="A73" s="32" t="b">
        <v>1</v>
      </c>
      <c r="B73" s="25">
        <v>84</v>
      </c>
      <c r="C73" s="36" t="s">
        <v>62</v>
      </c>
      <c r="D73" s="36" t="s">
        <v>58</v>
      </c>
      <c r="E73" s="36" t="s">
        <v>46</v>
      </c>
      <c r="F73" s="36" t="s">
        <v>46</v>
      </c>
      <c r="G73" s="37">
        <v>5</v>
      </c>
      <c r="H73" s="36">
        <v>2.9159999999999999</v>
      </c>
      <c r="I73" s="36">
        <v>9.7452617247680232E-3</v>
      </c>
      <c r="J73" s="36">
        <v>3.5667657912650963</v>
      </c>
      <c r="K73" s="36">
        <v>0.43499999999999994</v>
      </c>
      <c r="L73" s="36">
        <v>5.5320817179945088E-3</v>
      </c>
      <c r="M73" s="36">
        <v>2.3234743215576938</v>
      </c>
      <c r="N73" s="36">
        <v>2.089</v>
      </c>
      <c r="O73" s="36">
        <v>3.924797584739949E-3</v>
      </c>
      <c r="P73" s="36">
        <v>1.4835734870317008</v>
      </c>
      <c r="Q73" s="36">
        <v>0.64300000000000002</v>
      </c>
      <c r="R73" s="36">
        <v>1.4166115884556069E-2</v>
      </c>
      <c r="S73" s="36">
        <v>3.8248512888301387</v>
      </c>
      <c r="T73" s="36">
        <v>0.35584050438783343</v>
      </c>
      <c r="U73" s="36">
        <v>8.352288318991226</v>
      </c>
      <c r="V73" s="36">
        <v>0.34232397997563985</v>
      </c>
      <c r="W73" s="36">
        <v>1.3814021519502581E-2</v>
      </c>
      <c r="X73" s="36">
        <v>5.0559318761379446</v>
      </c>
      <c r="Y73" s="36">
        <v>23.472000000000001</v>
      </c>
      <c r="Z73" s="34">
        <v>16.254596764822573</v>
      </c>
      <c r="AA73" s="34">
        <v>-3.5527136788005009E-14</v>
      </c>
      <c r="AB73" s="33">
        <v>-7.5277592181420214E-17</v>
      </c>
      <c r="AC73" s="34">
        <v>0.99999999999987133</v>
      </c>
    </row>
    <row r="74" spans="1:29" x14ac:dyDescent="0.25">
      <c r="A74" s="32" t="b">
        <v>1</v>
      </c>
      <c r="B74" s="25">
        <v>85</v>
      </c>
      <c r="C74" s="36" t="s">
        <v>268</v>
      </c>
      <c r="D74" s="36" t="s">
        <v>269</v>
      </c>
      <c r="E74" s="36" t="s">
        <v>16</v>
      </c>
      <c r="F74" s="36" t="s">
        <v>16</v>
      </c>
      <c r="G74" s="37">
        <v>5</v>
      </c>
      <c r="H74" s="36">
        <v>2.4510000000000001</v>
      </c>
      <c r="I74" s="36">
        <v>5.5802371824728667E-3</v>
      </c>
      <c r="J74" s="36">
        <v>2.042366808785069</v>
      </c>
      <c r="K74" s="36">
        <v>0.90600000000000014</v>
      </c>
      <c r="L74" s="36">
        <v>1.2370954392995598E-2</v>
      </c>
      <c r="M74" s="36">
        <v>5.1958008450581508</v>
      </c>
      <c r="N74" s="36">
        <v>2.7330000000000001</v>
      </c>
      <c r="O74" s="36">
        <v>9.8165683180092434E-3</v>
      </c>
      <c r="P74" s="36">
        <v>3.7106628242074939</v>
      </c>
      <c r="Q74" s="36">
        <v>0.161</v>
      </c>
      <c r="R74" s="36">
        <v>3.5470367922449879E-3</v>
      </c>
      <c r="S74" s="36">
        <v>0.95769993390614672</v>
      </c>
      <c r="T74" s="36">
        <v>0.35899930507296735</v>
      </c>
      <c r="U74" s="36">
        <v>7.7486410006949287</v>
      </c>
      <c r="V74" s="36">
        <v>0.34251012111548446</v>
      </c>
      <c r="W74" s="36">
        <v>1.4142954554576186E-2</v>
      </c>
      <c r="X74" s="36">
        <v>5.176321366974884</v>
      </c>
      <c r="Y74" s="36">
        <v>21.584000000000003</v>
      </c>
      <c r="Z74" s="34">
        <v>17.082851778931747</v>
      </c>
      <c r="AA74" s="34">
        <v>1.5751133718902786</v>
      </c>
      <c r="AB74" s="33">
        <v>3.3374696856711228E-3</v>
      </c>
      <c r="AC74" s="34">
        <v>6.7070731624976201</v>
      </c>
    </row>
    <row r="75" spans="1:29" x14ac:dyDescent="0.25">
      <c r="A75" s="32" t="b">
        <v>1</v>
      </c>
      <c r="B75" s="25">
        <v>86</v>
      </c>
      <c r="C75" s="36" t="s">
        <v>35</v>
      </c>
      <c r="D75" s="36" t="s">
        <v>18</v>
      </c>
      <c r="E75" s="36" t="s">
        <v>16</v>
      </c>
      <c r="F75" s="36" t="s">
        <v>16</v>
      </c>
      <c r="G75" s="37">
        <v>5</v>
      </c>
      <c r="H75" s="36">
        <v>2.7190000000000003</v>
      </c>
      <c r="I75" s="36">
        <v>7.9807244455591102E-3</v>
      </c>
      <c r="J75" s="36">
        <v>2.9209451470746344</v>
      </c>
      <c r="K75" s="36">
        <v>0.98499999999999999</v>
      </c>
      <c r="L75" s="36">
        <v>1.3518026455256925E-2</v>
      </c>
      <c r="M75" s="36">
        <v>5.6775711112079081</v>
      </c>
      <c r="N75" s="36">
        <v>2.3359999999999999</v>
      </c>
      <c r="O75" s="36">
        <v>6.1845295274690097E-3</v>
      </c>
      <c r="P75" s="36">
        <v>2.3377521613832855</v>
      </c>
      <c r="Q75" s="36">
        <v>0.13100000000000001</v>
      </c>
      <c r="R75" s="36">
        <v>2.8860982595285307E-3</v>
      </c>
      <c r="S75" s="36">
        <v>0.77924653007270328</v>
      </c>
      <c r="T75" s="36">
        <v>0.33965616809559768</v>
      </c>
      <c r="U75" s="36">
        <v>7.6463396561680952</v>
      </c>
      <c r="V75" s="36">
        <v>0.34068425872322572</v>
      </c>
      <c r="W75" s="36">
        <v>1.0916443430738701E-2</v>
      </c>
      <c r="X75" s="36">
        <v>3.9954182956503645</v>
      </c>
      <c r="Y75" s="36">
        <v>22.512</v>
      </c>
      <c r="Z75" s="34">
        <v>15.710933245388894</v>
      </c>
      <c r="AA75" s="34">
        <v>0.20319483834742513</v>
      </c>
      <c r="AB75" s="33">
        <v>4.3054463594295204E-4</v>
      </c>
      <c r="AC75" s="34">
        <v>1.7362313274624479</v>
      </c>
    </row>
    <row r="76" spans="1:29" x14ac:dyDescent="0.25">
      <c r="A76" s="32" t="b">
        <v>1</v>
      </c>
      <c r="B76" s="25">
        <v>87</v>
      </c>
      <c r="C76" s="36" t="s">
        <v>112</v>
      </c>
      <c r="D76" s="36" t="s">
        <v>53</v>
      </c>
      <c r="E76" s="36" t="s">
        <v>37</v>
      </c>
      <c r="F76" s="36" t="s">
        <v>37</v>
      </c>
      <c r="G76" s="37">
        <v>6</v>
      </c>
      <c r="H76" s="36">
        <v>2.9609999999999999</v>
      </c>
      <c r="I76" s="36">
        <v>1.0148328615957877E-2</v>
      </c>
      <c r="J76" s="36">
        <v>3.7142882734405829</v>
      </c>
      <c r="K76" s="36">
        <v>0.79500000000000004</v>
      </c>
      <c r="L76" s="36">
        <v>1.0759245546020818E-2</v>
      </c>
      <c r="M76" s="36">
        <v>4.518883129328743</v>
      </c>
      <c r="N76" s="36">
        <v>2.0960000000000001</v>
      </c>
      <c r="O76" s="36">
        <v>3.9888385709711382E-3</v>
      </c>
      <c r="P76" s="36">
        <v>1.5077809798270903</v>
      </c>
      <c r="Q76" s="36">
        <v>6.4000000000000001E-2</v>
      </c>
      <c r="R76" s="36">
        <v>1.4100022031284425E-3</v>
      </c>
      <c r="S76" s="36">
        <v>0.3807005948446795</v>
      </c>
      <c r="T76" s="36">
        <v>0.32014755513695942</v>
      </c>
      <c r="U76" s="36">
        <v>8.1579999999999995</v>
      </c>
      <c r="V76" s="36">
        <v>0.33853834276102707</v>
      </c>
      <c r="W76" s="36">
        <v>7.1243604390467301E-3</v>
      </c>
      <c r="X76" s="36">
        <v>2.6075159206911032</v>
      </c>
      <c r="Y76" s="36">
        <v>25.481999999999999</v>
      </c>
      <c r="Z76" s="34">
        <v>12.729168898132199</v>
      </c>
      <c r="AA76" s="34">
        <v>1.5306667024236589</v>
      </c>
      <c r="AB76" s="33">
        <v>3.2432927110982598E-3</v>
      </c>
      <c r="AC76" s="34">
        <v>6.5460305359780238</v>
      </c>
    </row>
    <row r="77" spans="1:29" x14ac:dyDescent="0.25">
      <c r="A77" s="32" t="b">
        <v>1</v>
      </c>
      <c r="B77" s="25">
        <v>89</v>
      </c>
      <c r="C77" s="36" t="s">
        <v>270</v>
      </c>
      <c r="D77" s="36" t="s">
        <v>72</v>
      </c>
      <c r="E77" s="36" t="s">
        <v>21</v>
      </c>
      <c r="F77" s="36" t="s">
        <v>21</v>
      </c>
      <c r="G77" s="37">
        <v>7</v>
      </c>
      <c r="H77" s="36">
        <v>1.8280000000000001</v>
      </c>
      <c r="I77" s="36">
        <v>0</v>
      </c>
      <c r="J77" s="36">
        <v>0</v>
      </c>
      <c r="K77" s="36">
        <v>0.253</v>
      </c>
      <c r="L77" s="36">
        <v>2.8894600049367649E-3</v>
      </c>
      <c r="M77" s="36">
        <v>1.2135732020734413</v>
      </c>
      <c r="N77" s="36">
        <v>1.66</v>
      </c>
      <c r="O77" s="36">
        <v>0</v>
      </c>
      <c r="P77" s="36">
        <v>0</v>
      </c>
      <c r="Q77" s="36">
        <v>3.1880000000000006</v>
      </c>
      <c r="R77" s="36">
        <v>7.0235734743335554E-2</v>
      </c>
      <c r="S77" s="36">
        <v>18.963648380700601</v>
      </c>
      <c r="T77" s="36">
        <v>0.28402938901778807</v>
      </c>
      <c r="U77" s="36">
        <v>7.3464201469450892</v>
      </c>
      <c r="V77" s="36">
        <v>0.33450671190798353</v>
      </c>
      <c r="W77" s="36">
        <v>0</v>
      </c>
      <c r="X77" s="36">
        <v>0</v>
      </c>
      <c r="Y77" s="36">
        <v>25.865000000000002</v>
      </c>
      <c r="Z77" s="34">
        <v>20.177221582774042</v>
      </c>
      <c r="AA77" s="34">
        <v>4.9848660378109972</v>
      </c>
      <c r="AB77" s="33">
        <v>1.0562312266043435E-2</v>
      </c>
      <c r="AC77" s="34">
        <v>19.061553974934274</v>
      </c>
    </row>
    <row r="78" spans="1:29" x14ac:dyDescent="0.25">
      <c r="A78" s="32" t="b">
        <v>1</v>
      </c>
      <c r="B78" s="25">
        <v>90</v>
      </c>
      <c r="C78" s="36" t="s">
        <v>120</v>
      </c>
      <c r="D78" s="36" t="s">
        <v>42</v>
      </c>
      <c r="E78" s="36" t="s">
        <v>30</v>
      </c>
      <c r="F78" s="36" t="s">
        <v>30</v>
      </c>
      <c r="G78" s="37">
        <v>6</v>
      </c>
      <c r="H78" s="36">
        <v>2.431</v>
      </c>
      <c r="I78" s="36">
        <v>5.4010963419440427E-3</v>
      </c>
      <c r="J78" s="36">
        <v>1.9768012611515196</v>
      </c>
      <c r="K78" s="36">
        <v>0.66899999999999993</v>
      </c>
      <c r="L78" s="36">
        <v>8.9297382062116081E-3</v>
      </c>
      <c r="M78" s="36">
        <v>3.7504900466088755</v>
      </c>
      <c r="N78" s="36">
        <v>2.6509999999999998</v>
      </c>
      <c r="O78" s="36">
        <v>9.0663739078724673E-3</v>
      </c>
      <c r="P78" s="36">
        <v>3.4270893371757927</v>
      </c>
      <c r="Q78" s="36">
        <v>0.312</v>
      </c>
      <c r="R78" s="36">
        <v>6.8737607402511568E-3</v>
      </c>
      <c r="S78" s="36">
        <v>1.8559153998678124</v>
      </c>
      <c r="T78" s="36">
        <v>0.32887798896382586</v>
      </c>
      <c r="U78" s="36">
        <v>8.0466577559779271</v>
      </c>
      <c r="V78" s="36">
        <v>0.33953924047795059</v>
      </c>
      <c r="W78" s="36">
        <v>8.893063070290615E-3</v>
      </c>
      <c r="X78" s="36">
        <v>3.254861083726365</v>
      </c>
      <c r="Y78" s="36">
        <v>24.466999999999999</v>
      </c>
      <c r="Z78" s="34">
        <v>14.265157128530365</v>
      </c>
      <c r="AA78" s="34">
        <v>1.7819391458812053</v>
      </c>
      <c r="AB78" s="33">
        <v>3.7757078234642093E-3</v>
      </c>
      <c r="AC78" s="34">
        <v>7.4564603781237979</v>
      </c>
    </row>
    <row r="79" spans="1:29" x14ac:dyDescent="0.25">
      <c r="A79" s="32" t="b">
        <v>1</v>
      </c>
      <c r="B79" s="25">
        <v>91</v>
      </c>
      <c r="C79" s="36" t="s">
        <v>47</v>
      </c>
      <c r="D79" s="36" t="s">
        <v>18</v>
      </c>
      <c r="E79" s="36" t="s">
        <v>14</v>
      </c>
      <c r="F79" s="36" t="s">
        <v>14</v>
      </c>
      <c r="G79" s="37">
        <v>5</v>
      </c>
      <c r="H79" s="36">
        <v>2.4529999999999998</v>
      </c>
      <c r="I79" s="36">
        <v>5.5981512665257476E-3</v>
      </c>
      <c r="J79" s="36">
        <v>2.0489233635484236</v>
      </c>
      <c r="K79" s="36">
        <v>1.069</v>
      </c>
      <c r="L79" s="36">
        <v>1.473769801512973E-2</v>
      </c>
      <c r="M79" s="36">
        <v>6.1898331663544868</v>
      </c>
      <c r="N79" s="36">
        <v>2.7439999999999998</v>
      </c>
      <c r="O79" s="36">
        <v>9.9172041535153937E-3</v>
      </c>
      <c r="P79" s="36">
        <v>3.7487031700288189</v>
      </c>
      <c r="Q79" s="36">
        <v>0.05</v>
      </c>
      <c r="R79" s="36">
        <v>1.1015642211940956E-3</v>
      </c>
      <c r="S79" s="36">
        <v>0.29742233972240578</v>
      </c>
      <c r="T79" s="36">
        <v>0.33542056074766363</v>
      </c>
      <c r="U79" s="36">
        <v>7.1783354205607495</v>
      </c>
      <c r="V79" s="36">
        <v>0.34029341119063033</v>
      </c>
      <c r="W79" s="36">
        <v>1.0225770400290119E-2</v>
      </c>
      <c r="X79" s="36">
        <v>3.7426319665061838</v>
      </c>
      <c r="Y79" s="36">
        <v>21.401</v>
      </c>
      <c r="Z79" s="34">
        <v>16.02751400616032</v>
      </c>
      <c r="AA79" s="34">
        <v>-2.8421709430404007E-14</v>
      </c>
      <c r="AB79" s="33">
        <v>-6.0222073745136171E-17</v>
      </c>
      <c r="AC79" s="34">
        <v>0.99999999999989697</v>
      </c>
    </row>
    <row r="80" spans="1:29" x14ac:dyDescent="0.25">
      <c r="A80" s="32" t="b">
        <v>1</v>
      </c>
      <c r="B80" s="25">
        <v>94</v>
      </c>
      <c r="C80" s="36" t="s">
        <v>172</v>
      </c>
      <c r="D80" s="36" t="s">
        <v>56</v>
      </c>
      <c r="E80" s="36" t="s">
        <v>37</v>
      </c>
      <c r="F80" s="36" t="s">
        <v>37</v>
      </c>
      <c r="G80" s="37">
        <v>7</v>
      </c>
      <c r="H80" s="36">
        <v>2.4739999999999998</v>
      </c>
      <c r="I80" s="36">
        <v>5.7862491490810117E-3</v>
      </c>
      <c r="J80" s="36">
        <v>2.1177671885636502</v>
      </c>
      <c r="K80" s="36">
        <v>0.98499999999999999</v>
      </c>
      <c r="L80" s="36">
        <v>1.3518026455256925E-2</v>
      </c>
      <c r="M80" s="36">
        <v>5.6775711112079081</v>
      </c>
      <c r="N80" s="36">
        <v>2.4809999999999999</v>
      </c>
      <c r="O80" s="36">
        <v>7.5110928136864746E-3</v>
      </c>
      <c r="P80" s="36">
        <v>2.8391930835734875</v>
      </c>
      <c r="Q80" s="36">
        <v>6.8000000000000005E-2</v>
      </c>
      <c r="R80" s="36">
        <v>1.4981273408239701E-3</v>
      </c>
      <c r="S80" s="36">
        <v>0.4044943820224719</v>
      </c>
      <c r="T80" s="36">
        <v>0.28901207104044346</v>
      </c>
      <c r="U80" s="36">
        <v>7.9258670362131216</v>
      </c>
      <c r="V80" s="36">
        <v>0.3347532876208274</v>
      </c>
      <c r="W80" s="36">
        <v>4.3572795175144427E-4</v>
      </c>
      <c r="X80" s="36">
        <v>0.1594764303410286</v>
      </c>
      <c r="Y80" s="36">
        <v>27.423999999999999</v>
      </c>
      <c r="Z80" s="34">
        <v>11.198502195708546</v>
      </c>
      <c r="AA80" s="34">
        <v>0</v>
      </c>
      <c r="AB80" s="33">
        <v>0</v>
      </c>
      <c r="AC80" s="34">
        <v>1</v>
      </c>
    </row>
    <row r="81" spans="1:29" x14ac:dyDescent="0.25">
      <c r="A81" s="32" t="b">
        <v>1</v>
      </c>
      <c r="B81" s="25">
        <v>95</v>
      </c>
      <c r="C81" s="36" t="s">
        <v>271</v>
      </c>
      <c r="D81" s="36" t="s">
        <v>269</v>
      </c>
      <c r="E81" s="36" t="s">
        <v>21</v>
      </c>
      <c r="F81" s="36" t="s">
        <v>21</v>
      </c>
      <c r="G81" s="37">
        <v>5</v>
      </c>
      <c r="H81" s="36">
        <v>2.629</v>
      </c>
      <c r="I81" s="36">
        <v>7.1745906631794001E-3</v>
      </c>
      <c r="J81" s="36">
        <v>2.6259001827236603</v>
      </c>
      <c r="K81" s="36">
        <v>0.40700000000000003</v>
      </c>
      <c r="L81" s="36">
        <v>5.1255245313702414E-3</v>
      </c>
      <c r="M81" s="36">
        <v>2.1527203031755016</v>
      </c>
      <c r="N81" s="36">
        <v>1.806</v>
      </c>
      <c r="O81" s="36">
        <v>1.3357119985362076E-3</v>
      </c>
      <c r="P81" s="36">
        <v>0.50489913544668641</v>
      </c>
      <c r="Q81" s="36">
        <v>1.4169999999999998</v>
      </c>
      <c r="R81" s="36">
        <v>3.1218330028640665E-2</v>
      </c>
      <c r="S81" s="36">
        <v>8.4289491077329792</v>
      </c>
      <c r="T81" s="36">
        <v>0.33747521480502318</v>
      </c>
      <c r="U81" s="36">
        <v>7.6586625247851954</v>
      </c>
      <c r="V81" s="36">
        <v>0.3404685261563265</v>
      </c>
      <c r="W81" s="36">
        <v>1.0535218903728615E-2</v>
      </c>
      <c r="X81" s="36">
        <v>3.8558901187646732</v>
      </c>
      <c r="Y81" s="36">
        <v>22.693999999999999</v>
      </c>
      <c r="Z81" s="34">
        <v>17.568358847843502</v>
      </c>
      <c r="AA81" s="34">
        <v>2.3760033028804575</v>
      </c>
      <c r="AB81" s="33">
        <v>5.0344560194428836E-3</v>
      </c>
      <c r="AC81" s="34">
        <v>9.6089197932473311</v>
      </c>
    </row>
    <row r="82" spans="1:29" x14ac:dyDescent="0.25">
      <c r="A82" s="32" t="b">
        <v>1</v>
      </c>
      <c r="B82" s="25">
        <v>99</v>
      </c>
      <c r="C82" s="36" t="s">
        <v>273</v>
      </c>
      <c r="D82" s="36" t="s">
        <v>76</v>
      </c>
      <c r="E82" s="36" t="s">
        <v>43</v>
      </c>
      <c r="F82" s="36" t="s">
        <v>37</v>
      </c>
      <c r="G82" s="37">
        <v>6</v>
      </c>
      <c r="H82" s="36">
        <v>2.496</v>
      </c>
      <c r="I82" s="36">
        <v>5.9833040736627201E-3</v>
      </c>
      <c r="J82" s="36">
        <v>2.1898892909605556</v>
      </c>
      <c r="K82" s="36">
        <v>0.85500000000000009</v>
      </c>
      <c r="L82" s="36">
        <v>1.1630439517358537E-2</v>
      </c>
      <c r="M82" s="36">
        <v>4.8847845972905857</v>
      </c>
      <c r="N82" s="36">
        <v>2.6579999999999999</v>
      </c>
      <c r="O82" s="36">
        <v>9.1304148941036573E-3</v>
      </c>
      <c r="P82" s="36">
        <v>3.4512968299711826</v>
      </c>
      <c r="Q82" s="36">
        <v>5.7999999999999996E-2</v>
      </c>
      <c r="R82" s="36">
        <v>1.2778144965851508E-3</v>
      </c>
      <c r="S82" s="36">
        <v>0.3450099140779907</v>
      </c>
      <c r="T82" s="36">
        <v>0.38023202330454331</v>
      </c>
      <c r="U82" s="36">
        <v>7.4399999999999986</v>
      </c>
      <c r="V82" s="36">
        <v>0.3441926007793164</v>
      </c>
      <c r="W82" s="36">
        <v>1.7116091727454038E-2</v>
      </c>
      <c r="X82" s="36">
        <v>6.2644895722481779</v>
      </c>
      <c r="Y82" s="36">
        <v>19.567</v>
      </c>
      <c r="Z82" s="34">
        <v>17.135470204548493</v>
      </c>
      <c r="AA82" s="34">
        <v>5.936968008839953</v>
      </c>
      <c r="AB82" s="33">
        <v>1.2579698139774826E-2</v>
      </c>
      <c r="AC82" s="34">
        <v>22.511283819014952</v>
      </c>
    </row>
    <row r="83" spans="1:29" x14ac:dyDescent="0.25">
      <c r="A83" s="32" t="b">
        <v>1</v>
      </c>
      <c r="B83" s="25">
        <v>100</v>
      </c>
      <c r="C83" s="36" t="s">
        <v>164</v>
      </c>
      <c r="D83" s="36" t="s">
        <v>32</v>
      </c>
      <c r="E83" s="36" t="s">
        <v>37</v>
      </c>
      <c r="F83" s="36" t="s">
        <v>37</v>
      </c>
      <c r="G83" s="37">
        <v>6</v>
      </c>
      <c r="H83" s="36">
        <v>2.6440000000000001</v>
      </c>
      <c r="I83" s="36">
        <v>7.3089462935760187E-3</v>
      </c>
      <c r="J83" s="36">
        <v>2.6750743434488227</v>
      </c>
      <c r="K83" s="36">
        <v>0.79100000000000004</v>
      </c>
      <c r="L83" s="36">
        <v>1.0701165947931636E-2</v>
      </c>
      <c r="M83" s="36">
        <v>4.4944896981312876</v>
      </c>
      <c r="N83" s="36">
        <v>2.992</v>
      </c>
      <c r="O83" s="36">
        <v>1.2186084808563197E-2</v>
      </c>
      <c r="P83" s="36">
        <v>4.6063400576368885</v>
      </c>
      <c r="Q83" s="36">
        <v>0</v>
      </c>
      <c r="R83" s="36">
        <v>0</v>
      </c>
      <c r="S83" s="36">
        <v>0</v>
      </c>
      <c r="T83" s="36">
        <v>0.29846634595616955</v>
      </c>
      <c r="U83" s="36">
        <v>7.2589999999999995</v>
      </c>
      <c r="V83" s="36">
        <v>0.33635673995223575</v>
      </c>
      <c r="W83" s="36">
        <v>3.2692146404345334E-3</v>
      </c>
      <c r="X83" s="36">
        <v>1.1965325583990392</v>
      </c>
      <c r="Y83" s="36">
        <v>24.320999999999998</v>
      </c>
      <c r="Z83" s="34">
        <v>12.972436657616036</v>
      </c>
      <c r="AA83" s="34">
        <v>1.7739344619074959</v>
      </c>
      <c r="AB83" s="33">
        <v>3.758746891900552E-3</v>
      </c>
      <c r="AC83" s="34">
        <v>7.4274571851499438</v>
      </c>
    </row>
    <row r="84" spans="1:29" x14ac:dyDescent="0.25">
      <c r="A84" s="32" t="b">
        <v>1</v>
      </c>
      <c r="B84" s="25">
        <v>103</v>
      </c>
      <c r="C84" s="36" t="s">
        <v>275</v>
      </c>
      <c r="D84" s="36" t="s">
        <v>72</v>
      </c>
      <c r="E84" s="36" t="s">
        <v>276</v>
      </c>
      <c r="F84" s="36" t="s">
        <v>30</v>
      </c>
      <c r="G84" s="37">
        <v>7</v>
      </c>
      <c r="H84" s="36">
        <v>2.1469999999999998</v>
      </c>
      <c r="I84" s="36">
        <v>2.8572964064347401E-3</v>
      </c>
      <c r="J84" s="36">
        <v>1.0457704847551148</v>
      </c>
      <c r="K84" s="36">
        <v>0.626</v>
      </c>
      <c r="L84" s="36">
        <v>8.3053825267529122E-3</v>
      </c>
      <c r="M84" s="36">
        <v>3.488260661236223</v>
      </c>
      <c r="N84" s="36">
        <v>2.2959999999999998</v>
      </c>
      <c r="O84" s="36">
        <v>5.8185810347193634E-3</v>
      </c>
      <c r="P84" s="36">
        <v>2.1994236311239193</v>
      </c>
      <c r="Q84" s="36">
        <v>0.67899999999999994</v>
      </c>
      <c r="R84" s="36">
        <v>1.4959242123815816E-2</v>
      </c>
      <c r="S84" s="36">
        <v>4.0389953734302706</v>
      </c>
      <c r="T84" s="36">
        <v>0.30875783625511466</v>
      </c>
      <c r="U84" s="36">
        <v>8.2259262735087653</v>
      </c>
      <c r="V84" s="36">
        <v>0.33715182878706873</v>
      </c>
      <c r="W84" s="36">
        <v>4.6742290494634839E-3</v>
      </c>
      <c r="X84" s="36">
        <v>1.710767832103635</v>
      </c>
      <c r="Y84" s="36">
        <v>26.642000000000003</v>
      </c>
      <c r="Z84" s="34">
        <v>12.483217982649162</v>
      </c>
      <c r="AA84" s="34">
        <v>0</v>
      </c>
      <c r="AB84" s="33">
        <v>0</v>
      </c>
      <c r="AC84" s="34">
        <v>1</v>
      </c>
    </row>
    <row r="85" spans="1:29" x14ac:dyDescent="0.25">
      <c r="A85" s="32" t="b">
        <v>1</v>
      </c>
      <c r="B85" s="25">
        <v>116</v>
      </c>
      <c r="C85" s="36" t="s">
        <v>38</v>
      </c>
      <c r="D85" s="36" t="s">
        <v>34</v>
      </c>
      <c r="E85" s="36" t="s">
        <v>21</v>
      </c>
      <c r="F85" s="36" t="s">
        <v>21</v>
      </c>
      <c r="G85" s="37">
        <v>5</v>
      </c>
      <c r="H85" s="36">
        <v>2.21</v>
      </c>
      <c r="I85" s="36">
        <v>3.4215900541005369E-3</v>
      </c>
      <c r="J85" s="36">
        <v>1.2523019598007965</v>
      </c>
      <c r="K85" s="36">
        <v>0.67600000000000005</v>
      </c>
      <c r="L85" s="36">
        <v>9.0313775028676765E-3</v>
      </c>
      <c r="M85" s="36">
        <v>3.793178551204424</v>
      </c>
      <c r="N85" s="36">
        <v>2.4739999999999998</v>
      </c>
      <c r="O85" s="36">
        <v>7.4470518274552854E-3</v>
      </c>
      <c r="P85" s="36">
        <v>2.8149855907780981</v>
      </c>
      <c r="Q85" s="36">
        <v>0.877</v>
      </c>
      <c r="R85" s="36">
        <v>1.9321436439744436E-2</v>
      </c>
      <c r="S85" s="36">
        <v>5.2167878387309976</v>
      </c>
      <c r="T85" s="36">
        <v>0.33805959050121465</v>
      </c>
      <c r="U85" s="36">
        <v>6.8183238808189985</v>
      </c>
      <c r="V85" s="36">
        <v>0.34055345642655716</v>
      </c>
      <c r="W85" s="36">
        <v>1.0685300565310316E-2</v>
      </c>
      <c r="X85" s="36">
        <v>3.9108200069035757</v>
      </c>
      <c r="Y85" s="36">
        <v>20.169</v>
      </c>
      <c r="Z85" s="34">
        <v>16.988073947417892</v>
      </c>
      <c r="AA85" s="34">
        <v>1.7957184024548472</v>
      </c>
      <c r="AB85" s="33">
        <v>3.8049043574574573E-3</v>
      </c>
      <c r="AC85" s="34">
        <v>7.5063864512522516</v>
      </c>
    </row>
    <row r="86" spans="1:29" x14ac:dyDescent="0.25">
      <c r="A86" s="32" t="b">
        <v>1</v>
      </c>
      <c r="B86" s="25">
        <v>117</v>
      </c>
      <c r="C86" s="36" t="s">
        <v>281</v>
      </c>
      <c r="D86" s="36" t="s">
        <v>83</v>
      </c>
      <c r="E86" s="36" t="s">
        <v>30</v>
      </c>
      <c r="F86" s="36" t="s">
        <v>30</v>
      </c>
      <c r="G86" s="37">
        <v>5</v>
      </c>
      <c r="H86" s="36">
        <v>2.3730000000000002</v>
      </c>
      <c r="I86" s="36">
        <v>4.8815879044104551E-3</v>
      </c>
      <c r="J86" s="36">
        <v>1.7866611730142266</v>
      </c>
      <c r="K86" s="36">
        <v>0.59499999999999997</v>
      </c>
      <c r="L86" s="36">
        <v>7.855265641561757E-3</v>
      </c>
      <c r="M86" s="36">
        <v>3.2992115694559381</v>
      </c>
      <c r="N86" s="36">
        <v>2.6989999999999998</v>
      </c>
      <c r="O86" s="36">
        <v>9.5055120991720428E-3</v>
      </c>
      <c r="P86" s="36">
        <v>3.5930835734870321</v>
      </c>
      <c r="Q86" s="36">
        <v>0.67300000000000004</v>
      </c>
      <c r="R86" s="36">
        <v>1.4827054417272528E-2</v>
      </c>
      <c r="S86" s="36">
        <v>4.0033046926635825</v>
      </c>
      <c r="T86" s="36">
        <v>0.31831676169831763</v>
      </c>
      <c r="U86" s="36">
        <v>6.7546816832382994</v>
      </c>
      <c r="V86" s="36">
        <v>0.33871110868938309</v>
      </c>
      <c r="W86" s="36">
        <v>7.4296579204035972E-3</v>
      </c>
      <c r="X86" s="36">
        <v>2.7192547988677167</v>
      </c>
      <c r="Y86" s="36">
        <v>21.22</v>
      </c>
      <c r="Z86" s="34">
        <v>15.401515807488497</v>
      </c>
      <c r="AA86" s="34">
        <v>2.9182978248393372</v>
      </c>
      <c r="AB86" s="33">
        <v>6.1835107859396221E-3</v>
      </c>
      <c r="AC86" s="34">
        <v>11.573803443956754</v>
      </c>
    </row>
    <row r="87" spans="1:29" x14ac:dyDescent="0.25">
      <c r="A87" s="32" t="b">
        <v>1</v>
      </c>
      <c r="B87" s="25">
        <v>121</v>
      </c>
      <c r="C87" s="36" t="s">
        <v>165</v>
      </c>
      <c r="D87" s="36" t="s">
        <v>152</v>
      </c>
      <c r="E87" s="36" t="s">
        <v>166</v>
      </c>
      <c r="F87" s="36" t="s">
        <v>37</v>
      </c>
      <c r="G87" s="37">
        <v>5</v>
      </c>
      <c r="H87" s="36">
        <v>2.6160000000000005</v>
      </c>
      <c r="I87" s="36">
        <v>7.0581491168356693E-3</v>
      </c>
      <c r="J87" s="36">
        <v>2.5832825767618548</v>
      </c>
      <c r="K87" s="36">
        <v>0.82499999999999996</v>
      </c>
      <c r="L87" s="36">
        <v>1.1194842531689675E-2</v>
      </c>
      <c r="M87" s="36">
        <v>4.7018338633096635</v>
      </c>
      <c r="N87" s="36">
        <v>2.2040000000000002</v>
      </c>
      <c r="O87" s="36">
        <v>4.9768995013951822E-3</v>
      </c>
      <c r="P87" s="36">
        <v>1.881268011527379</v>
      </c>
      <c r="Q87" s="36">
        <v>2.5000000000000001E-2</v>
      </c>
      <c r="R87" s="36">
        <v>5.5078211059704778E-4</v>
      </c>
      <c r="S87" s="36">
        <v>0.14871116986120289</v>
      </c>
      <c r="T87" s="36">
        <v>0.33070866141732291</v>
      </c>
      <c r="U87" s="36">
        <v>7.2646771653543318</v>
      </c>
      <c r="V87" s="36">
        <v>0.33983051861095459</v>
      </c>
      <c r="W87" s="36">
        <v>9.407785395616243E-3</v>
      </c>
      <c r="X87" s="36">
        <v>3.443249454795545</v>
      </c>
      <c r="Y87" s="36">
        <v>21.966999999999999</v>
      </c>
      <c r="Z87" s="34">
        <v>12.758345076255646</v>
      </c>
      <c r="AA87" s="34">
        <v>1.5598428805471052</v>
      </c>
      <c r="AB87" s="33">
        <v>3.3051134103371247E-3</v>
      </c>
      <c r="AC87" s="34">
        <v>6.6517439316764833</v>
      </c>
    </row>
    <row r="88" spans="1:29" x14ac:dyDescent="0.25">
      <c r="A88" s="32" t="b">
        <v>1</v>
      </c>
      <c r="B88" s="25">
        <v>122</v>
      </c>
      <c r="C88" s="36" t="s">
        <v>151</v>
      </c>
      <c r="D88" s="36" t="s">
        <v>152</v>
      </c>
      <c r="E88" s="36" t="s">
        <v>21</v>
      </c>
      <c r="F88" s="36" t="s">
        <v>21</v>
      </c>
      <c r="G88" s="37">
        <v>5</v>
      </c>
      <c r="H88" s="36">
        <v>2.6269999999999998</v>
      </c>
      <c r="I88" s="36">
        <v>7.1566765791265157E-3</v>
      </c>
      <c r="J88" s="36">
        <v>2.6193436279603048</v>
      </c>
      <c r="K88" s="36">
        <v>0.17700000000000002</v>
      </c>
      <c r="L88" s="36">
        <v>1.7859476412423224E-3</v>
      </c>
      <c r="M88" s="36">
        <v>0.75009800932177539</v>
      </c>
      <c r="N88" s="36">
        <v>1.8090000000000002</v>
      </c>
      <c r="O88" s="36">
        <v>1.3631581354924319E-3</v>
      </c>
      <c r="P88" s="36">
        <v>0.51527377521613926</v>
      </c>
      <c r="Q88" s="36">
        <v>1.4149999999999998</v>
      </c>
      <c r="R88" s="36">
        <v>3.11742674597929E-2</v>
      </c>
      <c r="S88" s="36">
        <v>8.4170522141440838</v>
      </c>
      <c r="T88" s="36">
        <v>0.32220248667850804</v>
      </c>
      <c r="U88" s="36">
        <v>7.2566444049733576</v>
      </c>
      <c r="V88" s="36">
        <v>0.33897601671355038</v>
      </c>
      <c r="W88" s="36">
        <v>7.8977811975976652E-3</v>
      </c>
      <c r="X88" s="36">
        <v>2.8905879183207457</v>
      </c>
      <c r="Y88" s="36">
        <v>22.521999999999998</v>
      </c>
      <c r="Z88" s="34">
        <v>15.192355544963048</v>
      </c>
      <c r="AA88" s="34">
        <v>0</v>
      </c>
      <c r="AB88" s="33">
        <v>0</v>
      </c>
      <c r="AC88" s="34">
        <v>1</v>
      </c>
    </row>
    <row r="89" spans="1:29" x14ac:dyDescent="0.25">
      <c r="A89" s="32" t="b">
        <v>1</v>
      </c>
      <c r="B89" s="25">
        <v>124</v>
      </c>
      <c r="C89" s="36" t="s">
        <v>63</v>
      </c>
      <c r="D89" s="36" t="s">
        <v>18</v>
      </c>
      <c r="E89" s="36" t="s">
        <v>30</v>
      </c>
      <c r="F89" s="36" t="s">
        <v>30</v>
      </c>
      <c r="G89" s="37">
        <v>5</v>
      </c>
      <c r="H89" s="36">
        <v>2.7029999999999998</v>
      </c>
      <c r="I89" s="36">
        <v>7.8374117731360472E-3</v>
      </c>
      <c r="J89" s="36">
        <v>2.8684927089677932</v>
      </c>
      <c r="K89" s="36">
        <v>0.28799999999999998</v>
      </c>
      <c r="L89" s="36">
        <v>3.3976564882171002E-3</v>
      </c>
      <c r="M89" s="36">
        <v>1.4270157250511821</v>
      </c>
      <c r="N89" s="36">
        <v>1.8390000000000002</v>
      </c>
      <c r="O89" s="36">
        <v>1.6376195050546664E-3</v>
      </c>
      <c r="P89" s="36">
        <v>0.61902017291066391</v>
      </c>
      <c r="Q89" s="36">
        <v>1.0640000000000001</v>
      </c>
      <c r="R89" s="36">
        <v>2.3441286627010356E-2</v>
      </c>
      <c r="S89" s="36">
        <v>6.3291473892927961</v>
      </c>
      <c r="T89" s="36">
        <v>0.31557501408817024</v>
      </c>
      <c r="U89" s="36">
        <v>7.2793688499718243</v>
      </c>
      <c r="V89" s="36">
        <v>0.3382736262729516</v>
      </c>
      <c r="W89" s="36">
        <v>6.6565756283950986E-3</v>
      </c>
      <c r="X89" s="36">
        <v>2.4363066799926063</v>
      </c>
      <c r="Y89" s="36">
        <v>23.067000000000004</v>
      </c>
      <c r="Z89" s="34">
        <v>13.679982676215042</v>
      </c>
      <c r="AA89" s="34">
        <v>1.196764693565882</v>
      </c>
      <c r="AB89" s="33">
        <v>2.5357958080593664E-3</v>
      </c>
      <c r="AC89" s="34">
        <v>5.3362108317815169</v>
      </c>
    </row>
    <row r="90" spans="1:29" x14ac:dyDescent="0.25">
      <c r="A90" s="32" t="b">
        <v>1</v>
      </c>
      <c r="B90" s="25">
        <v>127</v>
      </c>
      <c r="C90" s="36" t="s">
        <v>159</v>
      </c>
      <c r="D90" s="36" t="s">
        <v>83</v>
      </c>
      <c r="E90" s="36" t="s">
        <v>286</v>
      </c>
      <c r="F90" s="36" t="s">
        <v>37</v>
      </c>
      <c r="G90" s="37">
        <v>5</v>
      </c>
      <c r="H90" s="36">
        <v>2.3879999999999999</v>
      </c>
      <c r="I90" s="36">
        <v>5.0159435348070703E-3</v>
      </c>
      <c r="J90" s="36">
        <v>1.8358353337393878</v>
      </c>
      <c r="K90" s="36">
        <v>1.1339999999999999</v>
      </c>
      <c r="L90" s="36">
        <v>1.5681491484078922E-2</v>
      </c>
      <c r="M90" s="36">
        <v>6.5862264233131471</v>
      </c>
      <c r="N90" s="36">
        <v>2.6980000000000004</v>
      </c>
      <c r="O90" s="36">
        <v>9.4963633868533071E-3</v>
      </c>
      <c r="P90" s="36">
        <v>3.5896253602305501</v>
      </c>
      <c r="Q90" s="36">
        <v>0</v>
      </c>
      <c r="R90" s="36">
        <v>0</v>
      </c>
      <c r="S90" s="36">
        <v>0</v>
      </c>
      <c r="T90" s="36">
        <v>0.29156987998451406</v>
      </c>
      <c r="U90" s="36">
        <v>6.0252915698799825</v>
      </c>
      <c r="V90" s="36">
        <v>0.33633926811448434</v>
      </c>
      <c r="W90" s="36">
        <v>3.2383398718332226E-3</v>
      </c>
      <c r="X90" s="36">
        <v>1.1852323930909594</v>
      </c>
      <c r="Y90" s="36">
        <v>20.664999999999999</v>
      </c>
      <c r="Z90" s="34">
        <v>13.196919510374045</v>
      </c>
      <c r="AA90" s="34">
        <v>1.9984173146655042</v>
      </c>
      <c r="AB90" s="33">
        <v>4.2343981874855257E-3</v>
      </c>
      <c r="AC90" s="34">
        <v>8.240820900600248</v>
      </c>
    </row>
    <row r="91" spans="1:29" x14ac:dyDescent="0.25">
      <c r="A91" s="32" t="b">
        <v>1</v>
      </c>
      <c r="B91" s="25">
        <v>139</v>
      </c>
      <c r="C91" s="36" t="s">
        <v>87</v>
      </c>
      <c r="D91" s="36" t="s">
        <v>58</v>
      </c>
      <c r="E91" s="36" t="s">
        <v>88</v>
      </c>
      <c r="F91" s="36" t="s">
        <v>37</v>
      </c>
      <c r="G91" s="37">
        <v>5</v>
      </c>
      <c r="H91" s="36">
        <v>1.9250000000000003</v>
      </c>
      <c r="I91" s="36">
        <v>8.6883307656479807E-4</v>
      </c>
      <c r="J91" s="36">
        <v>0.31799290602271607</v>
      </c>
      <c r="K91" s="36">
        <v>0.745</v>
      </c>
      <c r="L91" s="36">
        <v>1.0033250569906052E-2</v>
      </c>
      <c r="M91" s="36">
        <v>4.213965239360542</v>
      </c>
      <c r="N91" s="36">
        <v>1.806</v>
      </c>
      <c r="O91" s="36">
        <v>1.3357119985362076E-3</v>
      </c>
      <c r="P91" s="36">
        <v>0.50489913544668641</v>
      </c>
      <c r="Q91" s="36">
        <v>0.26300000000000001</v>
      </c>
      <c r="R91" s="36">
        <v>5.7942278034809431E-3</v>
      </c>
      <c r="S91" s="36">
        <v>1.5644415069398547</v>
      </c>
      <c r="T91" s="36">
        <v>0.36197050206088288</v>
      </c>
      <c r="U91" s="36">
        <v>7.2889999999999988</v>
      </c>
      <c r="V91" s="36">
        <v>0.34266807229197543</v>
      </c>
      <c r="W91" s="36">
        <v>1.4422072647008609E-2</v>
      </c>
      <c r="X91" s="36">
        <v>5.2784785888051511</v>
      </c>
      <c r="Y91" s="36">
        <v>20.137</v>
      </c>
      <c r="Z91" s="34">
        <v>11.87977737657495</v>
      </c>
      <c r="AA91" s="34">
        <v>0.68127518086640926</v>
      </c>
      <c r="AB91" s="33">
        <v>1.4435375283577616E-3</v>
      </c>
      <c r="AC91" s="34">
        <v>3.4684491734917722</v>
      </c>
    </row>
    <row r="92" spans="1:29" x14ac:dyDescent="0.25">
      <c r="A92" s="24"/>
    </row>
    <row r="93" spans="1:29" x14ac:dyDescent="0.25">
      <c r="A93" s="30" t="s">
        <v>347</v>
      </c>
      <c r="B93" s="26">
        <v>90</v>
      </c>
      <c r="C93" s="30" t="s">
        <v>182</v>
      </c>
      <c r="D93" s="25">
        <v>180</v>
      </c>
      <c r="E93" s="25"/>
      <c r="F93" s="29" t="s">
        <v>177</v>
      </c>
      <c r="G93" s="26">
        <v>6.0111111111111111</v>
      </c>
      <c r="H93" s="26">
        <v>3.0684888888888873</v>
      </c>
      <c r="I93" s="26">
        <v>1.1111111111111125E-2</v>
      </c>
      <c r="J93" s="26">
        <v>4.0666666666666709</v>
      </c>
      <c r="K93" s="26">
        <v>0.81923333333333359</v>
      </c>
      <c r="L93" s="26">
        <v>1.1111111111111105E-2</v>
      </c>
      <c r="M93" s="26">
        <v>4.6666666666666679</v>
      </c>
      <c r="N93" s="26">
        <v>2.8744999999999998</v>
      </c>
      <c r="O93" s="26">
        <v>1.1111111111111117E-2</v>
      </c>
      <c r="P93" s="26">
        <v>4.2000000000000011</v>
      </c>
      <c r="Q93" s="26">
        <v>0.5043333333333333</v>
      </c>
      <c r="R93" s="26">
        <v>1.1111111111111117E-2</v>
      </c>
      <c r="S93" s="26">
        <v>3</v>
      </c>
      <c r="T93" s="26">
        <v>0.34074456290166366</v>
      </c>
      <c r="U93" s="26">
        <v>8.8436003509453656</v>
      </c>
      <c r="V93" s="26">
        <v>0.34079441994162479</v>
      </c>
      <c r="W93" s="26">
        <v>1.1111111111111042E-2</v>
      </c>
      <c r="X93" s="26">
        <v>4.0666666666666433</v>
      </c>
      <c r="Y93" s="26">
        <v>25.949855555555541</v>
      </c>
      <c r="Z93" s="25"/>
      <c r="AA93" s="25"/>
      <c r="AB93" s="25"/>
      <c r="AC93" s="25"/>
    </row>
    <row r="94" spans="1:29" x14ac:dyDescent="0.25">
      <c r="A94" s="25"/>
      <c r="B94" s="25"/>
      <c r="C94" s="30" t="s">
        <v>178</v>
      </c>
      <c r="D94" s="25">
        <v>1800</v>
      </c>
      <c r="E94" s="25"/>
      <c r="F94" s="29" t="s">
        <v>178</v>
      </c>
      <c r="G94" s="26">
        <v>541</v>
      </c>
      <c r="H94" s="26">
        <v>276.16399999999987</v>
      </c>
      <c r="I94" s="26">
        <v>1.0000000000000013</v>
      </c>
      <c r="J94" s="26">
        <v>366.00000000000034</v>
      </c>
      <c r="K94" s="26">
        <v>73.731000000000023</v>
      </c>
      <c r="L94" s="26">
        <v>0.99999999999999944</v>
      </c>
      <c r="M94" s="26">
        <v>420.00000000000011</v>
      </c>
      <c r="N94" s="26">
        <v>258.70499999999998</v>
      </c>
      <c r="O94" s="26">
        <v>1.0000000000000004</v>
      </c>
      <c r="P94" s="26">
        <v>378.00000000000011</v>
      </c>
      <c r="Q94" s="26">
        <v>45.39</v>
      </c>
      <c r="R94" s="26">
        <v>1.0000000000000004</v>
      </c>
      <c r="S94" s="26">
        <v>270</v>
      </c>
      <c r="T94" s="26">
        <v>30.667010661149732</v>
      </c>
      <c r="U94" s="26">
        <v>795.92403158508284</v>
      </c>
      <c r="V94" s="26">
        <v>30.671497794746234</v>
      </c>
      <c r="W94" s="26">
        <v>0.99999999999999378</v>
      </c>
      <c r="X94" s="26">
        <v>365.9999999999979</v>
      </c>
      <c r="Y94" s="26">
        <v>2335.4869999999987</v>
      </c>
      <c r="Z94" s="25"/>
      <c r="AA94" s="25"/>
      <c r="AB94" s="25"/>
      <c r="AC94" s="25"/>
    </row>
    <row r="95" spans="1:29" x14ac:dyDescent="0.25">
      <c r="A95" s="26"/>
      <c r="B95" s="25"/>
      <c r="C95" s="30" t="s">
        <v>183</v>
      </c>
      <c r="D95" s="25">
        <v>5</v>
      </c>
      <c r="E95" s="25"/>
      <c r="F95" s="29" t="s">
        <v>179</v>
      </c>
      <c r="G95" s="26">
        <v>7</v>
      </c>
      <c r="H95" s="26">
        <v>4.6129999999999995</v>
      </c>
      <c r="I95" s="26">
        <v>2.4945362043638734E-2</v>
      </c>
      <c r="J95" s="26">
        <v>9.1300025079717759</v>
      </c>
      <c r="K95" s="26">
        <v>1.5230000000000001</v>
      </c>
      <c r="L95" s="26">
        <v>2.1329732398251797E-2</v>
      </c>
      <c r="M95" s="26">
        <v>8.958487607265754</v>
      </c>
      <c r="N95" s="26">
        <v>4.4320000000000004</v>
      </c>
      <c r="O95" s="26">
        <v>2.536023054755044E-2</v>
      </c>
      <c r="P95" s="26">
        <v>9.5861671469740664</v>
      </c>
      <c r="Q95" s="26">
        <v>3.1880000000000006</v>
      </c>
      <c r="R95" s="26">
        <v>7.0235734743335554E-2</v>
      </c>
      <c r="S95" s="26">
        <v>18.963648380700601</v>
      </c>
      <c r="T95" s="26">
        <v>0.41841249951051424</v>
      </c>
      <c r="U95" s="26">
        <v>12.900396021366728</v>
      </c>
      <c r="V95" s="26">
        <v>0.34929705799094879</v>
      </c>
      <c r="W95" s="26">
        <v>2.6136261070068174E-2</v>
      </c>
      <c r="X95" s="26">
        <v>9.5658715516449515</v>
      </c>
      <c r="Y95" s="26">
        <v>33.351999999999997</v>
      </c>
      <c r="Z95" s="25"/>
      <c r="AA95" s="25"/>
      <c r="AB95" s="25"/>
      <c r="AC95" s="25"/>
    </row>
    <row r="96" spans="1:29" x14ac:dyDescent="0.25">
      <c r="A96" s="26"/>
      <c r="B96" s="25"/>
      <c r="C96" s="30" t="s">
        <v>184</v>
      </c>
      <c r="D96" s="25">
        <v>360</v>
      </c>
      <c r="E96" s="25"/>
      <c r="F96" s="29" t="s">
        <v>180</v>
      </c>
      <c r="G96" s="26">
        <v>5</v>
      </c>
      <c r="H96" s="26">
        <v>1.8280000000000001</v>
      </c>
      <c r="I96" s="26">
        <v>0</v>
      </c>
      <c r="J96" s="26">
        <v>0</v>
      </c>
      <c r="K96" s="26">
        <v>5.3999999999999999E-2</v>
      </c>
      <c r="L96" s="26">
        <v>0</v>
      </c>
      <c r="M96" s="26">
        <v>0</v>
      </c>
      <c r="N96" s="26">
        <v>1.66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0.28402938901778807</v>
      </c>
      <c r="U96" s="26">
        <v>6.0252915698799825</v>
      </c>
      <c r="V96" s="26">
        <v>0.33450671190798353</v>
      </c>
      <c r="W96" s="26">
        <v>0</v>
      </c>
      <c r="X96" s="26">
        <v>0</v>
      </c>
      <c r="Y96" s="26">
        <v>19.567</v>
      </c>
      <c r="Z96" s="25"/>
      <c r="AA96" s="25"/>
      <c r="AB96" s="25"/>
      <c r="AC96" s="25"/>
    </row>
    <row r="97" spans="1:25" x14ac:dyDescent="0.25">
      <c r="A97" s="26"/>
      <c r="B97" s="25"/>
      <c r="C97" s="25"/>
      <c r="D97" s="25"/>
      <c r="E97" s="25"/>
      <c r="F97" s="29" t="s">
        <v>181</v>
      </c>
      <c r="G97" s="26">
        <v>0.6054281211477901</v>
      </c>
      <c r="H97" s="26">
        <v>0.54560197630068796</v>
      </c>
      <c r="I97" s="26">
        <v>4.8869798314345736E-3</v>
      </c>
      <c r="J97" s="26">
        <v>1.7886346183050588</v>
      </c>
      <c r="K97" s="26">
        <v>0.31445045714706743</v>
      </c>
      <c r="L97" s="26">
        <v>4.5657890425152541E-3</v>
      </c>
      <c r="M97" s="26">
        <v>1.9176313978563977</v>
      </c>
      <c r="N97" s="26">
        <v>0.66131776275352983</v>
      </c>
      <c r="O97" s="26">
        <v>6.0502059627055406E-3</v>
      </c>
      <c r="P97" s="26">
        <v>2.2869778539026959</v>
      </c>
      <c r="Q97" s="26">
        <v>0.56521160246013658</v>
      </c>
      <c r="R97" s="26">
        <v>1.2452337573477339E-2</v>
      </c>
      <c r="S97" s="26">
        <v>3.3621311448388842</v>
      </c>
      <c r="T97" s="26">
        <v>2.8215596726909396E-2</v>
      </c>
      <c r="U97" s="26">
        <v>1.2296362545329105</v>
      </c>
      <c r="V97" s="26">
        <v>3.1879549014184692E-3</v>
      </c>
      <c r="W97" s="26">
        <v>5.6334869458559596E-3</v>
      </c>
      <c r="X97" s="26">
        <v>2.0618562221832804</v>
      </c>
      <c r="Y97" s="26">
        <v>2.7839147439098633</v>
      </c>
    </row>
    <row r="98" spans="1:25" x14ac:dyDescent="0.25">
      <c r="A98" s="24"/>
    </row>
    <row r="99" spans="1:25" x14ac:dyDescent="0.25">
      <c r="A99" s="30" t="s">
        <v>200</v>
      </c>
      <c r="B99" s="25">
        <v>1.0149999999999999</v>
      </c>
      <c r="C99" s="25">
        <v>3.15</v>
      </c>
      <c r="D99" s="25">
        <v>1</v>
      </c>
      <c r="E99" s="25">
        <v>3.2</v>
      </c>
      <c r="F99" s="25">
        <v>0.01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</row>
    <row r="100" spans="1:25" x14ac:dyDescent="0.25">
      <c r="A100" s="30" t="s">
        <v>222</v>
      </c>
      <c r="B100" s="35">
        <v>0.9</v>
      </c>
      <c r="C100" s="35">
        <v>1</v>
      </c>
      <c r="D100" s="35">
        <v>1.2</v>
      </c>
      <c r="E100" s="35">
        <v>1</v>
      </c>
      <c r="F100" s="35">
        <v>1.2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46" t="s">
        <v>338</v>
      </c>
      <c r="X100" s="46"/>
      <c r="Y100" s="25"/>
    </row>
    <row r="101" spans="1:25" x14ac:dyDescent="0.25">
      <c r="A101" s="30" t="s">
        <v>337</v>
      </c>
      <c r="B101" s="35">
        <v>366</v>
      </c>
      <c r="C101" s="35">
        <v>420</v>
      </c>
      <c r="D101" s="35">
        <v>378</v>
      </c>
      <c r="E101" s="35">
        <v>270</v>
      </c>
      <c r="F101" s="35">
        <v>366</v>
      </c>
      <c r="G101" s="3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 t="s">
        <v>37</v>
      </c>
      <c r="X101" s="40">
        <v>11.19850219570854</v>
      </c>
      <c r="Y101" s="25"/>
    </row>
    <row r="102" spans="1:25" x14ac:dyDescent="0.25">
      <c r="A102" s="25"/>
      <c r="B102" s="30"/>
      <c r="C102" s="25"/>
      <c r="D102" s="25"/>
      <c r="E102" s="29"/>
      <c r="F102" s="29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 t="s">
        <v>14</v>
      </c>
      <c r="X102" s="25">
        <v>16.027514006160349</v>
      </c>
      <c r="Y102" s="25"/>
    </row>
    <row r="103" spans="1:25" x14ac:dyDescent="0.25">
      <c r="A103" s="30" t="s">
        <v>227</v>
      </c>
      <c r="B103" s="39">
        <v>90</v>
      </c>
      <c r="C103" s="25" t="s">
        <v>363</v>
      </c>
      <c r="D103" s="25"/>
      <c r="E103" s="29"/>
      <c r="F103" s="29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 t="s">
        <v>46</v>
      </c>
      <c r="X103" s="25">
        <v>16.254596764822608</v>
      </c>
      <c r="Y103" s="25"/>
    </row>
    <row r="104" spans="1:25" x14ac:dyDescent="0.25">
      <c r="A104" s="25"/>
      <c r="B104" s="30"/>
      <c r="C104" s="25"/>
      <c r="D104" s="25"/>
      <c r="E104" s="29"/>
      <c r="F104" s="29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 t="s">
        <v>30</v>
      </c>
      <c r="X104" s="25">
        <v>12.48321798264916</v>
      </c>
      <c r="Y104" s="25"/>
    </row>
    <row r="105" spans="1:25" x14ac:dyDescent="0.25">
      <c r="A105" s="45" t="s">
        <v>339</v>
      </c>
      <c r="B105" s="45"/>
      <c r="C105" s="33"/>
      <c r="D105" s="33"/>
      <c r="E105" s="33"/>
      <c r="F105" s="33"/>
      <c r="G105" s="33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 t="s">
        <v>16</v>
      </c>
      <c r="X105" s="25">
        <v>15.507738407041469</v>
      </c>
      <c r="Y105" s="25"/>
    </row>
    <row r="106" spans="1:25" x14ac:dyDescent="0.25">
      <c r="A106" s="38" t="s">
        <v>340</v>
      </c>
      <c r="B106" s="25">
        <v>10</v>
      </c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 t="s">
        <v>21</v>
      </c>
      <c r="X106" s="25">
        <v>15.192355544963045</v>
      </c>
      <c r="Y106" s="25"/>
    </row>
    <row r="107" spans="1:25" x14ac:dyDescent="0.25">
      <c r="A107" s="38" t="s">
        <v>341</v>
      </c>
      <c r="B107" s="25">
        <v>16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</row>
    <row r="108" spans="1:25" x14ac:dyDescent="0.25">
      <c r="A108" s="38" t="s">
        <v>342</v>
      </c>
      <c r="B108" s="25">
        <v>10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</row>
    <row r="109" spans="1:25" x14ac:dyDescent="0.25">
      <c r="A109" s="38" t="s">
        <v>343</v>
      </c>
      <c r="B109" s="25">
        <v>10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</row>
    <row r="110" spans="1:25" x14ac:dyDescent="0.25">
      <c r="A110" s="38" t="s">
        <v>344</v>
      </c>
      <c r="B110" s="25">
        <v>12</v>
      </c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</row>
    <row r="111" spans="1:25" x14ac:dyDescent="0.25">
      <c r="A111" s="38" t="s">
        <v>345</v>
      </c>
      <c r="B111" s="25">
        <v>32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</row>
    <row r="112" spans="1:25" x14ac:dyDescent="0.25">
      <c r="A112" s="38" t="s">
        <v>346</v>
      </c>
      <c r="B112" s="25">
        <v>0</v>
      </c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</row>
    <row r="113" spans="1:1" x14ac:dyDescent="0.25">
      <c r="A113" s="23"/>
    </row>
    <row r="114" spans="1:1" x14ac:dyDescent="0.25">
      <c r="A114" s="24"/>
    </row>
    <row r="115" spans="1:1" x14ac:dyDescent="0.25">
      <c r="A115" s="23"/>
    </row>
    <row r="116" spans="1:1" x14ac:dyDescent="0.25">
      <c r="A116" s="24"/>
    </row>
    <row r="117" spans="1:1" x14ac:dyDescent="0.25">
      <c r="A117" s="23"/>
    </row>
    <row r="118" spans="1:1" x14ac:dyDescent="0.25">
      <c r="A118" s="24"/>
    </row>
    <row r="119" spans="1:1" x14ac:dyDescent="0.25">
      <c r="A119" s="23"/>
    </row>
    <row r="120" spans="1:1" x14ac:dyDescent="0.25">
      <c r="A120" s="24"/>
    </row>
    <row r="121" spans="1:1" x14ac:dyDescent="0.25">
      <c r="A121" s="23"/>
    </row>
    <row r="122" spans="1:1" x14ac:dyDescent="0.25">
      <c r="A122" s="24"/>
    </row>
    <row r="123" spans="1:1" x14ac:dyDescent="0.25">
      <c r="A123" s="23"/>
    </row>
    <row r="124" spans="1:1" x14ac:dyDescent="0.25">
      <c r="A124" s="24"/>
    </row>
    <row r="125" spans="1:1" x14ac:dyDescent="0.25">
      <c r="A125" s="23"/>
    </row>
    <row r="126" spans="1:1" x14ac:dyDescent="0.25">
      <c r="A126" s="24"/>
    </row>
    <row r="127" spans="1:1" x14ac:dyDescent="0.25">
      <c r="A127" s="23"/>
    </row>
    <row r="128" spans="1:1" x14ac:dyDescent="0.25">
      <c r="A128" s="24"/>
    </row>
    <row r="129" spans="1:1" x14ac:dyDescent="0.25">
      <c r="A129" s="23"/>
    </row>
    <row r="130" spans="1:1" x14ac:dyDescent="0.25">
      <c r="A130" s="24"/>
    </row>
    <row r="131" spans="1:1" x14ac:dyDescent="0.25">
      <c r="A131" s="23"/>
    </row>
    <row r="132" spans="1:1" x14ac:dyDescent="0.25">
      <c r="A132" s="24"/>
    </row>
    <row r="133" spans="1:1" x14ac:dyDescent="0.25">
      <c r="A133" s="23"/>
    </row>
    <row r="134" spans="1:1" x14ac:dyDescent="0.25">
      <c r="A134" s="24"/>
    </row>
    <row r="135" spans="1:1" x14ac:dyDescent="0.25">
      <c r="A135" s="23"/>
    </row>
    <row r="136" spans="1:1" x14ac:dyDescent="0.25">
      <c r="A136" s="24"/>
    </row>
    <row r="137" spans="1:1" x14ac:dyDescent="0.25">
      <c r="A137" s="23"/>
    </row>
    <row r="138" spans="1:1" x14ac:dyDescent="0.25">
      <c r="A138" s="24"/>
    </row>
    <row r="139" spans="1:1" x14ac:dyDescent="0.25">
      <c r="A139" s="23"/>
    </row>
    <row r="140" spans="1:1" x14ac:dyDescent="0.25">
      <c r="A140" s="24"/>
    </row>
    <row r="141" spans="1:1" x14ac:dyDescent="0.25">
      <c r="A141" s="23"/>
    </row>
    <row r="142" spans="1:1" x14ac:dyDescent="0.25">
      <c r="A142" s="24"/>
    </row>
    <row r="143" spans="1:1" x14ac:dyDescent="0.25">
      <c r="A143" s="23"/>
    </row>
    <row r="144" spans="1:1" x14ac:dyDescent="0.25">
      <c r="A144" s="24"/>
    </row>
    <row r="145" spans="1:1" x14ac:dyDescent="0.25">
      <c r="A145" s="23"/>
    </row>
    <row r="146" spans="1:1" x14ac:dyDescent="0.25">
      <c r="A146" s="24"/>
    </row>
    <row r="147" spans="1:1" x14ac:dyDescent="0.25">
      <c r="A147" s="23"/>
    </row>
    <row r="148" spans="1:1" x14ac:dyDescent="0.25">
      <c r="A148" s="24"/>
    </row>
    <row r="149" spans="1:1" x14ac:dyDescent="0.25">
      <c r="A149" s="23"/>
    </row>
    <row r="150" spans="1:1" x14ac:dyDescent="0.25">
      <c r="A150" s="24"/>
    </row>
    <row r="151" spans="1:1" x14ac:dyDescent="0.25">
      <c r="A151" s="23"/>
    </row>
    <row r="152" spans="1:1" x14ac:dyDescent="0.25">
      <c r="A152" s="24"/>
    </row>
    <row r="153" spans="1:1" x14ac:dyDescent="0.25">
      <c r="A153" s="23"/>
    </row>
    <row r="154" spans="1:1" x14ac:dyDescent="0.25">
      <c r="A154" s="24"/>
    </row>
    <row r="155" spans="1:1" x14ac:dyDescent="0.25">
      <c r="A155" s="23"/>
    </row>
    <row r="156" spans="1:1" x14ac:dyDescent="0.25">
      <c r="A156" s="24"/>
    </row>
    <row r="157" spans="1:1" x14ac:dyDescent="0.25">
      <c r="A157" s="23"/>
    </row>
    <row r="158" spans="1:1" x14ac:dyDescent="0.25">
      <c r="A158" s="24"/>
    </row>
    <row r="159" spans="1:1" x14ac:dyDescent="0.25">
      <c r="A159" s="23"/>
    </row>
    <row r="160" spans="1:1" x14ac:dyDescent="0.25">
      <c r="A160" s="24"/>
    </row>
    <row r="161" spans="1:1" x14ac:dyDescent="0.25">
      <c r="A161" s="23"/>
    </row>
    <row r="162" spans="1:1" x14ac:dyDescent="0.25">
      <c r="A162" s="24"/>
    </row>
    <row r="163" spans="1:1" x14ac:dyDescent="0.25">
      <c r="A163" s="23"/>
    </row>
    <row r="164" spans="1:1" x14ac:dyDescent="0.25">
      <c r="A164" s="24"/>
    </row>
    <row r="165" spans="1:1" x14ac:dyDescent="0.25">
      <c r="A165" s="23"/>
    </row>
    <row r="166" spans="1:1" x14ac:dyDescent="0.25">
      <c r="A166" s="24"/>
    </row>
    <row r="167" spans="1:1" x14ac:dyDescent="0.25">
      <c r="A167" s="23"/>
    </row>
    <row r="168" spans="1:1" x14ac:dyDescent="0.25">
      <c r="A168" s="24"/>
    </row>
    <row r="169" spans="1:1" x14ac:dyDescent="0.25">
      <c r="A169" s="23"/>
    </row>
    <row r="170" spans="1:1" x14ac:dyDescent="0.25">
      <c r="A170" s="24"/>
    </row>
    <row r="171" spans="1:1" x14ac:dyDescent="0.25">
      <c r="A171" s="23"/>
    </row>
    <row r="172" spans="1:1" x14ac:dyDescent="0.25">
      <c r="A172" s="24"/>
    </row>
    <row r="173" spans="1:1" x14ac:dyDescent="0.25">
      <c r="A173" s="23"/>
    </row>
    <row r="174" spans="1:1" x14ac:dyDescent="0.25">
      <c r="A174" s="24"/>
    </row>
    <row r="175" spans="1:1" x14ac:dyDescent="0.25">
      <c r="A175" s="23"/>
    </row>
    <row r="176" spans="1:1" x14ac:dyDescent="0.25">
      <c r="A176" s="24"/>
    </row>
    <row r="177" spans="1:1" x14ac:dyDescent="0.25">
      <c r="A177" s="23"/>
    </row>
    <row r="178" spans="1:1" x14ac:dyDescent="0.25">
      <c r="A178" s="24"/>
    </row>
    <row r="179" spans="1:1" x14ac:dyDescent="0.25">
      <c r="A179" s="23"/>
    </row>
    <row r="180" spans="1:1" x14ac:dyDescent="0.25">
      <c r="A180" s="24"/>
    </row>
    <row r="181" spans="1:1" x14ac:dyDescent="0.25">
      <c r="A181" s="23"/>
    </row>
    <row r="182" spans="1:1" x14ac:dyDescent="0.25">
      <c r="A182" s="24"/>
    </row>
  </sheetData>
  <mergeCells count="2">
    <mergeCell ref="A105:B105"/>
    <mergeCell ref="W100:X10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Sim Data</vt:lpstr>
      <vt:lpstr>SGP and PVM</vt:lpstr>
      <vt:lpstr>MS</vt:lpstr>
      <vt:lpstr>Other Vals</vt:lpstr>
      <vt:lpstr>Position Tests</vt:lpstr>
      <vt:lpstr>Sheet1</vt:lpstr>
      <vt:lpstr>'Sim Data'!simResults</vt:lpstr>
    </vt:vector>
  </TitlesOfParts>
  <Company>Susquehanna International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Humble, Ryan</dc:creator>
  <cp:lastModifiedBy>tsim009b</cp:lastModifiedBy>
  <dcterms:created xsi:type="dcterms:W3CDTF">2015-07-09T19:20:52Z</dcterms:created>
  <dcterms:modified xsi:type="dcterms:W3CDTF">2015-07-15T19:40:28Z</dcterms:modified>
</cp:coreProperties>
</file>