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8_{29C00C0C-E96D-409C-BC8B-BA9B268057D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olt calcul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2" l="1"/>
  <c r="C30" i="2"/>
  <c r="L55" i="2"/>
  <c r="L53" i="2"/>
  <c r="L52" i="2"/>
  <c r="L37" i="2"/>
  <c r="L34" i="2"/>
  <c r="K26" i="2"/>
  <c r="K27" i="2" s="1"/>
  <c r="Q17" i="2"/>
  <c r="Q18" i="2"/>
  <c r="Q19" i="2"/>
  <c r="Q20" i="2"/>
  <c r="Q21" i="2"/>
  <c r="Q22" i="2"/>
  <c r="Q23" i="2"/>
  <c r="Q24" i="2"/>
  <c r="Q25" i="2"/>
  <c r="Q16" i="2"/>
  <c r="N48" i="2"/>
  <c r="O48" i="2"/>
  <c r="O47" i="2"/>
  <c r="N47" i="2"/>
  <c r="O36" i="2"/>
  <c r="O35" i="2"/>
  <c r="O8" i="2"/>
  <c r="O7" i="2"/>
  <c r="K28" i="2" l="1"/>
  <c r="E40" i="2"/>
  <c r="S5" i="2"/>
  <c r="Q5" i="2"/>
  <c r="O5" i="2"/>
  <c r="E10" i="2"/>
  <c r="C6" i="2"/>
  <c r="C21" i="2" l="1"/>
  <c r="L12" i="2"/>
  <c r="L10" i="2"/>
  <c r="C11" i="2"/>
  <c r="L11" i="2"/>
  <c r="C2" i="2"/>
  <c r="C27" i="2"/>
  <c r="K29" i="2"/>
  <c r="C3" i="2" s="1"/>
  <c r="C19" i="2"/>
  <c r="C20" i="2"/>
  <c r="C38" i="2" l="1"/>
  <c r="L54" i="2"/>
  <c r="C39" i="2" s="1"/>
  <c r="C12" i="2"/>
  <c r="C4" i="2"/>
  <c r="C7" i="2" s="1"/>
  <c r="C10" i="2" s="1"/>
  <c r="C16" i="2"/>
  <c r="C37" i="2"/>
  <c r="C25" i="2"/>
  <c r="C22" i="2"/>
  <c r="C15" i="2" l="1"/>
  <c r="C40" i="2"/>
  <c r="C8" i="2"/>
  <c r="C28" i="2" s="1"/>
  <c r="C29" i="2" s="1"/>
  <c r="C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tc={9E9A253E-48F2-4A5F-8532-D55881F05411}</author>
  </authors>
  <commentList>
    <comment ref="L9" authorId="0" shapeId="0" xr:uid="{9E9A253E-48F2-4A5F-8532-D55881F05411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entry</t>
      </text>
    </comment>
  </commentList>
</comments>
</file>

<file path=xl/sharedStrings.xml><?xml version="1.0" encoding="utf-8"?>
<sst xmlns="http://schemas.openxmlformats.org/spreadsheetml/2006/main" count="205" uniqueCount="155">
  <si>
    <t>Bolt head height</t>
  </si>
  <si>
    <t>Hh</t>
  </si>
  <si>
    <t>Nut Height</t>
  </si>
  <si>
    <t>Hn</t>
  </si>
  <si>
    <t>Young's modulus of bolt</t>
  </si>
  <si>
    <t>Eb</t>
  </si>
  <si>
    <t>Dia of bolt</t>
  </si>
  <si>
    <t>d</t>
  </si>
  <si>
    <t>Pitch</t>
  </si>
  <si>
    <t>p</t>
  </si>
  <si>
    <t>Calculated</t>
  </si>
  <si>
    <t>From cobra</t>
  </si>
  <si>
    <t>Compressive resilience of parts</t>
  </si>
  <si>
    <t>Tensile resilience of screw /bolt</t>
  </si>
  <si>
    <t>Bearing dia of bolt</t>
  </si>
  <si>
    <t>dw</t>
  </si>
  <si>
    <t>seq</t>
  </si>
  <si>
    <t>dheq</t>
  </si>
  <si>
    <t>X</t>
  </si>
  <si>
    <t>load factor</t>
  </si>
  <si>
    <t>λ</t>
  </si>
  <si>
    <t>Transverse force</t>
  </si>
  <si>
    <t>Fot</t>
  </si>
  <si>
    <t>Tensile force</t>
  </si>
  <si>
    <t>Foa</t>
  </si>
  <si>
    <t>Compressive force</t>
  </si>
  <si>
    <t>Fob</t>
  </si>
  <si>
    <t>Minumum functional preload</t>
  </si>
  <si>
    <t>Fof</t>
  </si>
  <si>
    <t>Axial force</t>
  </si>
  <si>
    <t>Shear force</t>
  </si>
  <si>
    <t>β</t>
  </si>
  <si>
    <t>µ</t>
  </si>
  <si>
    <t>ΔLe</t>
  </si>
  <si>
    <t>Loss of preload</t>
  </si>
  <si>
    <t>ΔFz</t>
  </si>
  <si>
    <t>Preload Range</t>
  </si>
  <si>
    <t>Minimum required preload</t>
  </si>
  <si>
    <t>F0min</t>
  </si>
  <si>
    <t>Max allowable preload</t>
  </si>
  <si>
    <t>Fomax</t>
  </si>
  <si>
    <t>F0(-)</t>
  </si>
  <si>
    <t>T</t>
  </si>
  <si>
    <t>Nm</t>
  </si>
  <si>
    <t>F0</t>
  </si>
  <si>
    <t>F0(+)</t>
  </si>
  <si>
    <t>alpha</t>
  </si>
  <si>
    <t>mm/N</t>
  </si>
  <si>
    <t>N</t>
  </si>
  <si>
    <t>Min achieved preload</t>
  </si>
  <si>
    <t>Nominal achieved preload</t>
  </si>
  <si>
    <t>Max achieved preload</t>
  </si>
  <si>
    <t>Shear area of bolt</t>
  </si>
  <si>
    <t>As</t>
  </si>
  <si>
    <t>Elastic reserve of the screw</t>
  </si>
  <si>
    <t>Mean elongation</t>
  </si>
  <si>
    <t>Δlb</t>
  </si>
  <si>
    <t>µm</t>
  </si>
  <si>
    <t>Maximum stress in screw due to preload</t>
  </si>
  <si>
    <t>σPbmax</t>
  </si>
  <si>
    <t>Mpa</t>
  </si>
  <si>
    <t>Max stress in screw due to external tensile load</t>
  </si>
  <si>
    <t>MPa</t>
  </si>
  <si>
    <t>Maximum total tensile stress in bolt</t>
  </si>
  <si>
    <t>σLbmax</t>
  </si>
  <si>
    <t>σTbmax</t>
  </si>
  <si>
    <t>Maximum torsional stress in screw due to tightening</t>
  </si>
  <si>
    <t>τbmax</t>
  </si>
  <si>
    <t>Maximum equivalent stress in screw</t>
  </si>
  <si>
    <t>σbequmax</t>
  </si>
  <si>
    <t>Effective thread length of engagement</t>
  </si>
  <si>
    <t>Minimum length of thread engagement</t>
  </si>
  <si>
    <t>Ltmin</t>
  </si>
  <si>
    <t>Recommended length of thread engagement</t>
  </si>
  <si>
    <t>Ltrec</t>
  </si>
  <si>
    <t>mm</t>
  </si>
  <si>
    <t>Maximum tensile yield strength of screw</t>
  </si>
  <si>
    <t>Fes</t>
  </si>
  <si>
    <t>Re</t>
  </si>
  <si>
    <t>Rm</t>
  </si>
  <si>
    <t>Thread shear area of fastener</t>
  </si>
  <si>
    <t>Ass</t>
  </si>
  <si>
    <t>Lteff</t>
  </si>
  <si>
    <t>mm^2</t>
  </si>
  <si>
    <t>Shear stripping load on fastener</t>
  </si>
  <si>
    <t>FSs</t>
  </si>
  <si>
    <t>C1</t>
  </si>
  <si>
    <t>C2</t>
  </si>
  <si>
    <t>C3</t>
  </si>
  <si>
    <t>Shear stripping load on tapped part</t>
  </si>
  <si>
    <t>FSn</t>
  </si>
  <si>
    <t>Thead shear area of nut</t>
  </si>
  <si>
    <t>Asn</t>
  </si>
  <si>
    <t>Dtmin/d</t>
  </si>
  <si>
    <t>Dtmin</t>
  </si>
  <si>
    <r>
      <t>R</t>
    </r>
    <r>
      <rPr>
        <sz val="11"/>
        <color theme="1"/>
        <rFont val="Calibri"/>
        <family val="2"/>
      </rPr>
      <t>τ</t>
    </r>
  </si>
  <si>
    <t>Minimum failure load</t>
  </si>
  <si>
    <t>Ffmin</t>
  </si>
  <si>
    <t>Bolt/screw data</t>
  </si>
  <si>
    <t>Recmin</t>
  </si>
  <si>
    <t>Length of bolt</t>
  </si>
  <si>
    <t>L</t>
  </si>
  <si>
    <t>Clamped parts</t>
  </si>
  <si>
    <t>Part1</t>
  </si>
  <si>
    <t>Inner dia (d)</t>
  </si>
  <si>
    <t>Effective outer dia(D)</t>
  </si>
  <si>
    <t>Material Name</t>
  </si>
  <si>
    <t>Yield</t>
  </si>
  <si>
    <t>Ultimate</t>
  </si>
  <si>
    <t>Yield limit of bolt</t>
  </si>
  <si>
    <t>Ultimate limit of bolt</t>
  </si>
  <si>
    <t>E</t>
  </si>
  <si>
    <t>Thickness(Lp)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</si>
  <si>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</si>
  <si>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</si>
  <si>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</si>
  <si>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</si>
  <si>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</si>
  <si>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</si>
  <si>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</si>
  <si>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</si>
  <si>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</si>
  <si>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Threaded part</t>
  </si>
  <si>
    <t>Clamp length (Lp)</t>
  </si>
  <si>
    <t>Bearing dia/min distance of flat faces</t>
  </si>
  <si>
    <t>ds</t>
  </si>
  <si>
    <t>Shear dia of bolt</t>
  </si>
  <si>
    <t>d1 (mm)</t>
  </si>
  <si>
    <t>d2 (mm)</t>
  </si>
  <si>
    <t>d3 (mm)</t>
  </si>
  <si>
    <t>Stainless steel</t>
  </si>
  <si>
    <t>Steel</t>
  </si>
  <si>
    <t>Other require parameters</t>
  </si>
  <si>
    <t>External data</t>
  </si>
  <si>
    <t>Fa</t>
  </si>
  <si>
    <t>Ft</t>
  </si>
  <si>
    <t>Load introduction factor</t>
  </si>
  <si>
    <t>Co-efficient of friction (sliding faces)</t>
  </si>
  <si>
    <t>Applied torque</t>
  </si>
  <si>
    <t>Thread coefficient of friction</t>
  </si>
  <si>
    <t>Tightening torque accuracy</t>
  </si>
  <si>
    <t>ΔT/T</t>
  </si>
  <si>
    <t>Friction co-efficient under the driven element</t>
  </si>
  <si>
    <r>
      <t xml:space="preserve">µb </t>
    </r>
    <r>
      <rPr>
        <sz val="11"/>
        <color theme="1"/>
        <rFont val="Calibri"/>
        <family val="2"/>
      </rPr>
      <t>± Δµb</t>
    </r>
  </si>
  <si>
    <r>
      <t xml:space="preserve">µt </t>
    </r>
    <r>
      <rPr>
        <sz val="11"/>
        <color theme="1"/>
        <rFont val="Calibri"/>
        <family val="2"/>
      </rPr>
      <t>± Δµt</t>
    </r>
  </si>
  <si>
    <t>Δµ</t>
  </si>
  <si>
    <r>
      <t>µ</t>
    </r>
    <r>
      <rPr>
        <sz val="11"/>
        <color theme="1"/>
        <rFont val="Calibri"/>
        <family val="2"/>
      </rPr>
      <t>+</t>
    </r>
  </si>
  <si>
    <t>µ-</t>
  </si>
  <si>
    <t>Equivalent stress tightening ratio</t>
  </si>
  <si>
    <t>γE</t>
  </si>
  <si>
    <t>Tightening calculation</t>
  </si>
  <si>
    <t>Manual entries</t>
  </si>
  <si>
    <t>µmin</t>
  </si>
  <si>
    <t>τnmin</t>
  </si>
  <si>
    <t>τsmin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</si>
</sst>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1" fontId="0" fillId="0" borderId="0" xfId="0" applyNumberFormat="1"/>
    <xf numFmtId="169" fontId="0" fillId="0" borderId="0" xfId="0" applyNumberFormat="1"/>
    <xf numFmtId="1" fontId="0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3" fillId="3" borderId="0" xfId="0" applyFont="1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center"/>
    </xf>
    <xf numFmtId="0" fontId="6" fillId="0" borderId="0" xfId="0" applyFont="1"/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220980</xdr:rowOff>
    </xdr:from>
    <xdr:ext cx="556260" cy="2323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8AA5F7-0ED1-4EE2-9253-A862D3FF080A}"/>
                </a:ext>
              </a:extLst>
            </xdr:cNvPr>
            <xdr:cNvSpPr txBox="1"/>
          </xdr:nvSpPr>
          <xdr:spPr>
            <a:xfrm>
              <a:off x="2952750" y="411480"/>
              <a:ext cx="556260" cy="232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400" i="1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8AA5F7-0ED1-4EE2-9253-A862D3FF080A}"/>
                </a:ext>
              </a:extLst>
            </xdr:cNvPr>
            <xdr:cNvSpPr txBox="1"/>
          </xdr:nvSpPr>
          <xdr:spPr>
            <a:xfrm>
              <a:off x="2952750" y="411480"/>
              <a:ext cx="556260" cy="232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δ</a:t>
              </a:r>
              <a:r>
                <a:rPr lang="en-US" sz="140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𝑝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15240</xdr:colOff>
      <xdr:row>0</xdr:row>
      <xdr:rowOff>175260</xdr:rowOff>
    </xdr:from>
    <xdr:ext cx="55626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97DA9E0-CD3D-46AD-986A-720B7FCE8AC2}"/>
                </a:ext>
              </a:extLst>
            </xdr:cNvPr>
            <xdr:cNvSpPr txBox="1"/>
          </xdr:nvSpPr>
          <xdr:spPr>
            <a:xfrm>
              <a:off x="4034790" y="175260"/>
              <a:ext cx="5562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400" i="1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97DA9E0-CD3D-46AD-986A-720B7FCE8AC2}"/>
                </a:ext>
              </a:extLst>
            </xdr:cNvPr>
            <xdr:cNvSpPr txBox="1"/>
          </xdr:nvSpPr>
          <xdr:spPr>
            <a:xfrm>
              <a:off x="4034790" y="175260"/>
              <a:ext cx="5562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δ</a:t>
              </a:r>
              <a:r>
                <a:rPr lang="en-US" sz="140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𝑏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12</xdr:col>
      <xdr:colOff>1266824</xdr:colOff>
      <xdr:row>0</xdr:row>
      <xdr:rowOff>104776</xdr:rowOff>
    </xdr:from>
    <xdr:to>
      <xdr:col>17</xdr:col>
      <xdr:colOff>151951</xdr:colOff>
      <xdr:row>3</xdr:row>
      <xdr:rowOff>152624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CD83ED-3170-421A-A1C2-BD798FCB6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92349" y="104776"/>
          <a:ext cx="3018977" cy="714598"/>
        </a:xfrm>
        <a:prstGeom prst="rect">
          <a:avLst/>
        </a:prstGeom>
      </xdr:spPr>
    </xdr:pic>
    <xdr:clientData/>
  </xdr:twoCellAnchor>
  <xdr:twoCellAnchor>
    <xdr:from>
      <xdr:col>16</xdr:col>
      <xdr:colOff>190499</xdr:colOff>
      <xdr:row>5</xdr:row>
      <xdr:rowOff>233362</xdr:rowOff>
    </xdr:from>
    <xdr:to>
      <xdr:col>19</xdr:col>
      <xdr:colOff>295274</xdr:colOff>
      <xdr:row>7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4689F8-43D8-436F-ADFE-58A9957A273B}"/>
            </a:ext>
          </a:extLst>
        </xdr:cNvPr>
        <xdr:cNvSpPr txBox="1"/>
      </xdr:nvSpPr>
      <xdr:spPr>
        <a:xfrm>
          <a:off x="17440274" y="1376362"/>
          <a:ext cx="1933575" cy="31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Recmin= (Re+Rm)/2</a:t>
          </a:r>
        </a:p>
      </xdr:txBody>
    </xdr:sp>
    <xdr:clientData/>
  </xdr:twoCellAnchor>
  <xdr:twoCellAnchor>
    <xdr:from>
      <xdr:col>16</xdr:col>
      <xdr:colOff>209549</xdr:colOff>
      <xdr:row>7</xdr:row>
      <xdr:rowOff>176212</xdr:rowOff>
    </xdr:from>
    <xdr:to>
      <xdr:col>19</xdr:col>
      <xdr:colOff>314324</xdr:colOff>
      <xdr:row>9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4F1EED2-8D05-4410-8914-916CBB7FF04D}"/>
            </a:ext>
          </a:extLst>
        </xdr:cNvPr>
        <xdr:cNvSpPr txBox="1"/>
      </xdr:nvSpPr>
      <xdr:spPr>
        <a:xfrm>
          <a:off x="17459324" y="1795462"/>
          <a:ext cx="1933575" cy="31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τ</a:t>
          </a:r>
          <a:r>
            <a:rPr lang="en-US" sz="1100"/>
            <a:t> = 0.577*Re</a:t>
          </a:r>
        </a:p>
      </xdr:txBody>
    </xdr:sp>
    <xdr:clientData/>
  </xdr:twoCellAnchor>
  <xdr:twoCellAnchor>
    <xdr:from>
      <xdr:col>16</xdr:col>
      <xdr:colOff>219074</xdr:colOff>
      <xdr:row>10</xdr:row>
      <xdr:rowOff>4762</xdr:rowOff>
    </xdr:from>
    <xdr:to>
      <xdr:col>19</xdr:col>
      <xdr:colOff>323849</xdr:colOff>
      <xdr:row>11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23CADF0-69D7-45E9-8713-142E74DCC86A}"/>
            </a:ext>
          </a:extLst>
        </xdr:cNvPr>
        <xdr:cNvSpPr txBox="1"/>
      </xdr:nvSpPr>
      <xdr:spPr>
        <a:xfrm>
          <a:off x="17468849" y="2338387"/>
          <a:ext cx="1933575" cy="31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ds = (d2+d3)/2</a:t>
          </a:r>
        </a:p>
      </xdr:txBody>
    </xdr:sp>
    <xdr:clientData/>
  </xdr:twoCellAnchor>
  <xdr:twoCellAnchor editAs="oneCell">
    <xdr:from>
      <xdr:col>12</xdr:col>
      <xdr:colOff>1066800</xdr:colOff>
      <xdr:row>9</xdr:row>
      <xdr:rowOff>208347</xdr:rowOff>
    </xdr:from>
    <xdr:to>
      <xdr:col>15</xdr:col>
      <xdr:colOff>314325</xdr:colOff>
      <xdr:row>11</xdr:row>
      <xdr:rowOff>199936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CBA50C-3B1D-4230-8636-BCC3BC096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92325" y="2303847"/>
          <a:ext cx="2162175" cy="4678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1257300</xdr:colOff>
      <xdr:row>36</xdr:row>
      <xdr:rowOff>57150</xdr:rowOff>
    </xdr:from>
    <xdr:to>
      <xdr:col>16</xdr:col>
      <xdr:colOff>180975</xdr:colOff>
      <xdr:row>38</xdr:row>
      <xdr:rowOff>192881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7E5494-8F48-4A17-9890-1ADBBF918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82825" y="8553450"/>
          <a:ext cx="2447925" cy="611981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25</xdr:row>
      <xdr:rowOff>26352</xdr:rowOff>
    </xdr:from>
    <xdr:to>
      <xdr:col>12</xdr:col>
      <xdr:colOff>1209675</xdr:colOff>
      <xdr:row>27</xdr:row>
      <xdr:rowOff>209444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FBE5CB3-52AA-4AF5-BF5A-40CA3FCB8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01725" y="5950902"/>
          <a:ext cx="1133475" cy="659342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27</xdr:row>
      <xdr:rowOff>182441</xdr:rowOff>
    </xdr:from>
    <xdr:to>
      <xdr:col>14</xdr:col>
      <xdr:colOff>381000</xdr:colOff>
      <xdr:row>29</xdr:row>
      <xdr:rowOff>190423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009485D-472E-46CB-99DB-B25B46FA0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44575" y="6583241"/>
          <a:ext cx="2667000" cy="484232"/>
        </a:xfrm>
        <a:prstGeom prst="rect">
          <a:avLst/>
        </a:prstGeom>
      </xdr:spPr>
    </xdr:pic>
    <xdr:clientData/>
  </xdr:twoCellAnchor>
  <xdr:twoCellAnchor editAs="oneCell">
    <xdr:from>
      <xdr:col>12</xdr:col>
      <xdr:colOff>1019175</xdr:colOff>
      <xdr:row>49</xdr:row>
      <xdr:rowOff>114251</xdr:rowOff>
    </xdr:from>
    <xdr:to>
      <xdr:col>19</xdr:col>
      <xdr:colOff>219075</xdr:colOff>
      <xdr:row>56</xdr:row>
      <xdr:rowOff>180706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0881AC-3C38-4A8F-B60F-267B69ED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44700" y="11277551"/>
          <a:ext cx="4552950" cy="1399955"/>
        </a:xfrm>
        <a:prstGeom prst="rect">
          <a:avLst/>
        </a:prstGeom>
      </xdr:spPr>
    </xdr:pic>
    <xdr:clientData/>
  </xdr:twoCellAnchor>
  <xdr:twoCellAnchor editAs="oneCell">
    <xdr:from>
      <xdr:col>12</xdr:col>
      <xdr:colOff>1095375</xdr:colOff>
      <xdr:row>57</xdr:row>
      <xdr:rowOff>28574</xdr:rowOff>
    </xdr:from>
    <xdr:to>
      <xdr:col>19</xdr:col>
      <xdr:colOff>334106</xdr:colOff>
      <xdr:row>61</xdr:row>
      <xdr:rowOff>71253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8D2E1EC-E360-4449-B378-400DCC576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20900" y="12715874"/>
          <a:ext cx="4591781" cy="804679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56</xdr:row>
      <xdr:rowOff>133350</xdr:rowOff>
    </xdr:from>
    <xdr:to>
      <xdr:col>12</xdr:col>
      <xdr:colOff>609355</xdr:colOff>
      <xdr:row>60</xdr:row>
      <xdr:rowOff>47540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13D889-54BE-4891-8D3C-A87E4830A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72975" y="12630150"/>
          <a:ext cx="1961905" cy="6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1219200</xdr:colOff>
      <xdr:row>61</xdr:row>
      <xdr:rowOff>123826</xdr:rowOff>
    </xdr:from>
    <xdr:to>
      <xdr:col>18</xdr:col>
      <xdr:colOff>504096</xdr:colOff>
      <xdr:row>66</xdr:row>
      <xdr:rowOff>27020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656D8C6-F9B3-4307-93BC-763C1B709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944725" y="13573126"/>
          <a:ext cx="4028346" cy="85569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47626</xdr:colOff>
      <xdr:row>0</xdr:row>
      <xdr:rowOff>47626</xdr:rowOff>
    </xdr:from>
    <xdr:to>
      <xdr:col>7</xdr:col>
      <xdr:colOff>2962276</xdr:colOff>
      <xdr:row>4</xdr:row>
      <xdr:rowOff>213201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2246ED8-C592-4D0A-A188-340E60684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20051" y="47626"/>
          <a:ext cx="2914650" cy="107045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5</xdr:row>
      <xdr:rowOff>28575</xdr:rowOff>
    </xdr:from>
    <xdr:to>
      <xdr:col>7</xdr:col>
      <xdr:colOff>4133850</xdr:colOff>
      <xdr:row>8</xdr:row>
      <xdr:rowOff>12561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B38E45B-1A2F-41DD-9EF8-580457561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58150" y="1171575"/>
          <a:ext cx="4048125" cy="69836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8</xdr:row>
      <xdr:rowOff>123825</xdr:rowOff>
    </xdr:from>
    <xdr:to>
      <xdr:col>7</xdr:col>
      <xdr:colOff>3981450</xdr:colOff>
      <xdr:row>10</xdr:row>
      <xdr:rowOff>192596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110DBEA-2B19-4C4F-9768-F1AC1C78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39100" y="1981200"/>
          <a:ext cx="3914775" cy="54502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11</xdr:row>
      <xdr:rowOff>114300</xdr:rowOff>
    </xdr:from>
    <xdr:to>
      <xdr:col>7</xdr:col>
      <xdr:colOff>1723818</xdr:colOff>
      <xdr:row>14</xdr:row>
      <xdr:rowOff>2726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3541070-B030-403F-AC98-17FC788E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39100" y="2686050"/>
          <a:ext cx="1657143" cy="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2394857</xdr:colOff>
      <xdr:row>11</xdr:row>
      <xdr:rowOff>81642</xdr:rowOff>
    </xdr:from>
    <xdr:to>
      <xdr:col>7</xdr:col>
      <xdr:colOff>3747238</xdr:colOff>
      <xdr:row>14</xdr:row>
      <xdr:rowOff>127809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A616AAB-85D6-4A28-B780-083DAEDF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572750" y="2721428"/>
          <a:ext cx="1352381" cy="7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134470</xdr:colOff>
      <xdr:row>14</xdr:row>
      <xdr:rowOff>190500</xdr:rowOff>
    </xdr:from>
    <xdr:to>
      <xdr:col>7</xdr:col>
      <xdr:colOff>3753518</xdr:colOff>
      <xdr:row>16</xdr:row>
      <xdr:rowOff>108647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3D162E8-670E-4151-9CE3-B0CD3BEBD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81146" y="3440206"/>
          <a:ext cx="3619048" cy="4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179295</xdr:colOff>
      <xdr:row>17</xdr:row>
      <xdr:rowOff>22412</xdr:rowOff>
    </xdr:from>
    <xdr:to>
      <xdr:col>7</xdr:col>
      <xdr:colOff>3131676</xdr:colOff>
      <xdr:row>20</xdr:row>
      <xdr:rowOff>30727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AC5614-3DEA-4C5E-98E8-48A2D61EC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25971" y="3989294"/>
          <a:ext cx="2952381" cy="714286"/>
        </a:xfrm>
        <a:prstGeom prst="rect">
          <a:avLst/>
        </a:prstGeom>
      </xdr:spPr>
    </xdr:pic>
    <xdr:clientData/>
  </xdr:twoCellAnchor>
  <xdr:twoCellAnchor>
    <xdr:from>
      <xdr:col>6</xdr:col>
      <xdr:colOff>331131</xdr:colOff>
      <xdr:row>20</xdr:row>
      <xdr:rowOff>49585</xdr:rowOff>
    </xdr:from>
    <xdr:to>
      <xdr:col>7</xdr:col>
      <xdr:colOff>1646142</xdr:colOff>
      <xdr:row>21</xdr:row>
      <xdr:rowOff>130548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E7C3931-57FC-4902-9595-F2E21B398013}"/>
            </a:ext>
          </a:extLst>
        </xdr:cNvPr>
        <xdr:cNvSpPr txBox="1"/>
      </xdr:nvSpPr>
      <xdr:spPr>
        <a:xfrm>
          <a:off x="7872690" y="4722438"/>
          <a:ext cx="1920128" cy="316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Fob = </a:t>
          </a:r>
          <a:r>
            <a:rPr lang="el-GR" sz="1100"/>
            <a:t>λ</a:t>
          </a:r>
          <a:r>
            <a:rPr lang="en-US" sz="1100"/>
            <a:t> *</a:t>
          </a:r>
          <a:r>
            <a:rPr lang="en-US" sz="1100" baseline="0"/>
            <a:t> Famax</a:t>
          </a:r>
          <a:endParaRPr lang="en-US" sz="1100"/>
        </a:p>
      </xdr:txBody>
    </xdr:sp>
    <xdr:clientData/>
  </xdr:twoCellAnchor>
  <xdr:twoCellAnchor>
    <xdr:from>
      <xdr:col>6</xdr:col>
      <xdr:colOff>308721</xdr:colOff>
      <xdr:row>21</xdr:row>
      <xdr:rowOff>217674</xdr:rowOff>
    </xdr:from>
    <xdr:to>
      <xdr:col>7</xdr:col>
      <xdr:colOff>1623732</xdr:colOff>
      <xdr:row>23</xdr:row>
      <xdr:rowOff>63312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CF3DFD1-59F6-4A0D-87FF-0F1C2C0DDDF3}"/>
            </a:ext>
          </a:extLst>
        </xdr:cNvPr>
        <xdr:cNvSpPr txBox="1"/>
      </xdr:nvSpPr>
      <xdr:spPr>
        <a:xfrm>
          <a:off x="7850280" y="5125850"/>
          <a:ext cx="1920128" cy="316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Fof = Fot + Foa</a:t>
          </a:r>
        </a:p>
      </xdr:txBody>
    </xdr:sp>
    <xdr:clientData/>
  </xdr:twoCellAnchor>
  <xdr:twoCellAnchor editAs="oneCell">
    <xdr:from>
      <xdr:col>7</xdr:col>
      <xdr:colOff>1848814</xdr:colOff>
      <xdr:row>19</xdr:row>
      <xdr:rowOff>224118</xdr:rowOff>
    </xdr:from>
    <xdr:to>
      <xdr:col>7</xdr:col>
      <xdr:colOff>3576050</xdr:colOff>
      <xdr:row>25</xdr:row>
      <xdr:rowOff>168088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62008F2-82D9-4D7D-B3A8-D741FD86F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995490" y="4661647"/>
          <a:ext cx="1727236" cy="1367117"/>
        </a:xfrm>
        <a:prstGeom prst="rect">
          <a:avLst/>
        </a:prstGeom>
      </xdr:spPr>
    </xdr:pic>
    <xdr:clientData/>
  </xdr:twoCellAnchor>
  <xdr:twoCellAnchor>
    <xdr:from>
      <xdr:col>6</xdr:col>
      <xdr:colOff>331133</xdr:colOff>
      <xdr:row>24</xdr:row>
      <xdr:rowOff>206468</xdr:rowOff>
    </xdr:from>
    <xdr:to>
      <xdr:col>7</xdr:col>
      <xdr:colOff>1646144</xdr:colOff>
      <xdr:row>26</xdr:row>
      <xdr:rowOff>40901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9850B36-4CAC-42BA-8947-2312420FD19B}"/>
            </a:ext>
          </a:extLst>
        </xdr:cNvPr>
        <xdr:cNvSpPr txBox="1"/>
      </xdr:nvSpPr>
      <xdr:spPr>
        <a:xfrm>
          <a:off x="7872692" y="5820615"/>
          <a:ext cx="1920128" cy="316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Fomin = Fof + </a:t>
          </a:r>
          <a:r>
            <a:rPr lang="el-GR" sz="1100"/>
            <a:t>Δ</a:t>
          </a:r>
          <a:r>
            <a:rPr lang="en-US" sz="1100"/>
            <a:t>Fz</a:t>
          </a:r>
        </a:p>
      </xdr:txBody>
    </xdr:sp>
    <xdr:clientData/>
  </xdr:twoCellAnchor>
  <xdr:twoCellAnchor editAs="oneCell">
    <xdr:from>
      <xdr:col>6</xdr:col>
      <xdr:colOff>381001</xdr:colOff>
      <xdr:row>26</xdr:row>
      <xdr:rowOff>147725</xdr:rowOff>
    </xdr:from>
    <xdr:to>
      <xdr:col>7</xdr:col>
      <xdr:colOff>2846296</xdr:colOff>
      <xdr:row>29</xdr:row>
      <xdr:rowOff>134328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3773E62-6958-4053-A274-A02316A8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22560" y="6243725"/>
          <a:ext cx="3070412" cy="692574"/>
        </a:xfrm>
        <a:prstGeom prst="rect">
          <a:avLst/>
        </a:prstGeom>
      </xdr:spPr>
    </xdr:pic>
    <xdr:clientData/>
  </xdr:twoCellAnchor>
  <xdr:twoCellAnchor>
    <xdr:from>
      <xdr:col>7</xdr:col>
      <xdr:colOff>2818839</xdr:colOff>
      <xdr:row>27</xdr:row>
      <xdr:rowOff>60791</xdr:rowOff>
    </xdr:from>
    <xdr:to>
      <xdr:col>7</xdr:col>
      <xdr:colOff>3910853</xdr:colOff>
      <xdr:row>28</xdr:row>
      <xdr:rowOff>141754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909FA6D-1953-4785-930E-EFE744578C77}"/>
            </a:ext>
          </a:extLst>
        </xdr:cNvPr>
        <xdr:cNvSpPr txBox="1"/>
      </xdr:nvSpPr>
      <xdr:spPr>
        <a:xfrm>
          <a:off x="10965515" y="6392115"/>
          <a:ext cx="1092014" cy="316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 = </a:t>
          </a:r>
          <a:r>
            <a:rPr lang="el-GR" sz="1100"/>
            <a:t>γ</a:t>
          </a:r>
          <a:r>
            <a:rPr lang="en-US" sz="1100"/>
            <a:t>E ; µG=µ+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7</xdr:col>
      <xdr:colOff>2269750</xdr:colOff>
      <xdr:row>30</xdr:row>
      <xdr:rowOff>217674</xdr:rowOff>
    </xdr:from>
    <xdr:to>
      <xdr:col>7</xdr:col>
      <xdr:colOff>3361764</xdr:colOff>
      <xdr:row>32</xdr:row>
      <xdr:rowOff>63313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0EC336D-A710-4E44-B90E-2D8195F2F9DD}"/>
            </a:ext>
          </a:extLst>
        </xdr:cNvPr>
        <xdr:cNvSpPr txBox="1"/>
      </xdr:nvSpPr>
      <xdr:spPr>
        <a:xfrm>
          <a:off x="10416426" y="7254968"/>
          <a:ext cx="1092014" cy="316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rm = dw/2</a:t>
          </a:r>
        </a:p>
      </xdr:txBody>
    </xdr:sp>
    <xdr:clientData/>
  </xdr:twoCellAnchor>
  <xdr:twoCellAnchor editAs="oneCell">
    <xdr:from>
      <xdr:col>5</xdr:col>
      <xdr:colOff>235323</xdr:colOff>
      <xdr:row>29</xdr:row>
      <xdr:rowOff>212912</xdr:rowOff>
    </xdr:from>
    <xdr:to>
      <xdr:col>7</xdr:col>
      <xdr:colOff>1689809</xdr:colOff>
      <xdr:row>45</xdr:row>
      <xdr:rowOff>70550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7739389-1431-4B88-848C-F307DB644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1764" y="7014883"/>
          <a:ext cx="2664721" cy="3353873"/>
        </a:xfrm>
        <a:prstGeom prst="rect">
          <a:avLst/>
        </a:prstGeom>
      </xdr:spPr>
    </xdr:pic>
    <xdr:clientData/>
  </xdr:twoCellAnchor>
  <xdr:twoCellAnchor editAs="oneCell">
    <xdr:from>
      <xdr:col>7</xdr:col>
      <xdr:colOff>1624853</xdr:colOff>
      <xdr:row>32</xdr:row>
      <xdr:rowOff>201704</xdr:rowOff>
    </xdr:from>
    <xdr:to>
      <xdr:col>8</xdr:col>
      <xdr:colOff>10946</xdr:colOff>
      <xdr:row>36</xdr:row>
      <xdr:rowOff>22410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4259D02-4811-4DA5-AE29-188D60E5D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71529" y="7709645"/>
          <a:ext cx="2902064" cy="717177"/>
        </a:xfrm>
        <a:prstGeom prst="rect">
          <a:avLst/>
        </a:prstGeom>
      </xdr:spPr>
    </xdr:pic>
    <xdr:clientData/>
  </xdr:twoCellAnchor>
  <xdr:twoCellAnchor editAs="oneCell">
    <xdr:from>
      <xdr:col>7</xdr:col>
      <xdr:colOff>1860176</xdr:colOff>
      <xdr:row>36</xdr:row>
      <xdr:rowOff>134470</xdr:rowOff>
    </xdr:from>
    <xdr:to>
      <xdr:col>7</xdr:col>
      <xdr:colOff>3288747</xdr:colOff>
      <xdr:row>38</xdr:row>
      <xdr:rowOff>159061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3A647C8-82A0-4EFF-B950-121827B85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006852" y="8538882"/>
          <a:ext cx="1428571" cy="4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1826559</xdr:colOff>
      <xdr:row>39</xdr:row>
      <xdr:rowOff>156884</xdr:rowOff>
    </xdr:from>
    <xdr:to>
      <xdr:col>8</xdr:col>
      <xdr:colOff>56030</xdr:colOff>
      <xdr:row>43</xdr:row>
      <xdr:rowOff>81292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E830411-103E-4EEE-9756-9E5BE7BB7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973235" y="9267266"/>
          <a:ext cx="2745442" cy="73123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7</xdr:col>
      <xdr:colOff>2779059</xdr:colOff>
      <xdr:row>50</xdr:row>
      <xdr:rowOff>113804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70EB4EE-743B-40BF-BC79-947512BA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41559" y="10488706"/>
          <a:ext cx="3384176" cy="875804"/>
        </a:xfrm>
        <a:prstGeom prst="rect">
          <a:avLst/>
        </a:prstGeom>
      </xdr:spPr>
    </xdr:pic>
    <xdr:clientData/>
  </xdr:twoCellAnchor>
  <xdr:twoCellAnchor>
    <xdr:from>
      <xdr:col>7</xdr:col>
      <xdr:colOff>2886074</xdr:colOff>
      <xdr:row>47</xdr:row>
      <xdr:rowOff>139233</xdr:rowOff>
    </xdr:from>
    <xdr:to>
      <xdr:col>7</xdr:col>
      <xdr:colOff>3978088</xdr:colOff>
      <xdr:row>49</xdr:row>
      <xdr:rowOff>74519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2639A28-25EB-45F6-9BDF-0DC5F0C3E134}"/>
            </a:ext>
          </a:extLst>
        </xdr:cNvPr>
        <xdr:cNvSpPr txBox="1"/>
      </xdr:nvSpPr>
      <xdr:spPr>
        <a:xfrm>
          <a:off x="11032750" y="10818439"/>
          <a:ext cx="1092014" cy="316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deq</a:t>
          </a:r>
          <a:r>
            <a:rPr lang="en-US" sz="1100" baseline="0"/>
            <a:t> = ds</a:t>
          </a:r>
          <a:endParaRPr lang="en-US" sz="1100"/>
        </a:p>
      </xdr:txBody>
    </xdr:sp>
    <xdr:clientData/>
  </xdr:twoCellAnchor>
  <xdr:twoCellAnchor editAs="oneCell">
    <xdr:from>
      <xdr:col>6</xdr:col>
      <xdr:colOff>78441</xdr:colOff>
      <xdr:row>51</xdr:row>
      <xdr:rowOff>0</xdr:rowOff>
    </xdr:from>
    <xdr:to>
      <xdr:col>7</xdr:col>
      <xdr:colOff>3606657</xdr:colOff>
      <xdr:row>55</xdr:row>
      <xdr:rowOff>9429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435E626-F20C-4A57-992B-3A768B725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620000" y="11441206"/>
          <a:ext cx="4133333" cy="771429"/>
        </a:xfrm>
        <a:prstGeom prst="rect">
          <a:avLst/>
        </a:prstGeom>
      </xdr:spPr>
    </xdr:pic>
    <xdr:clientData/>
  </xdr:twoCellAnchor>
  <xdr:twoCellAnchor>
    <xdr:from>
      <xdr:col>0</xdr:col>
      <xdr:colOff>1967189</xdr:colOff>
      <xdr:row>41</xdr:row>
      <xdr:rowOff>38380</xdr:rowOff>
    </xdr:from>
    <xdr:to>
      <xdr:col>2</xdr:col>
      <xdr:colOff>649939</xdr:colOff>
      <xdr:row>42</xdr:row>
      <xdr:rowOff>164166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BE27A66-B38D-4639-B651-7E6B8B790ABE}"/>
            </a:ext>
          </a:extLst>
        </xdr:cNvPr>
        <xdr:cNvSpPr txBox="1"/>
      </xdr:nvSpPr>
      <xdr:spPr>
        <a:xfrm>
          <a:off x="1967189" y="9574586"/>
          <a:ext cx="3378015" cy="316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Leff = Hn</a:t>
          </a:r>
          <a:r>
            <a:rPr lang="en-US" sz="1100" baseline="0"/>
            <a:t> or thickness of threaded part</a:t>
          </a:r>
          <a:endParaRPr lang="en-US" sz="1100"/>
        </a:p>
      </xdr:txBody>
    </xdr:sp>
    <xdr:clientData/>
  </xdr:twoCellAnchor>
  <xdr:twoCellAnchor editAs="oneCell">
    <xdr:from>
      <xdr:col>0</xdr:col>
      <xdr:colOff>291352</xdr:colOff>
      <xdr:row>43</xdr:row>
      <xdr:rowOff>44824</xdr:rowOff>
    </xdr:from>
    <xdr:to>
      <xdr:col>0</xdr:col>
      <xdr:colOff>3955676</xdr:colOff>
      <xdr:row>46</xdr:row>
      <xdr:rowOff>171290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92DC6B7-8962-4E26-BB41-F9DBB63F3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91352" y="9962030"/>
          <a:ext cx="3664324" cy="69796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11208</xdr:colOff>
      <xdr:row>43</xdr:row>
      <xdr:rowOff>169714</xdr:rowOff>
    </xdr:from>
    <xdr:to>
      <xdr:col>5</xdr:col>
      <xdr:colOff>498091</xdr:colOff>
      <xdr:row>48</xdr:row>
      <xdr:rowOff>112059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9976C90-8646-4430-BB59-A1B89C67A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034120" y="10086920"/>
          <a:ext cx="3400412" cy="894845"/>
        </a:xfrm>
        <a:prstGeom prst="rect">
          <a:avLst/>
        </a:prstGeom>
      </xdr:spPr>
    </xdr:pic>
    <xdr:clientData/>
  </xdr:twoCellAnchor>
  <xdr:twoCellAnchor editAs="oneCell">
    <xdr:from>
      <xdr:col>0</xdr:col>
      <xdr:colOff>840445</xdr:colOff>
      <xdr:row>50</xdr:row>
      <xdr:rowOff>78441</xdr:rowOff>
    </xdr:from>
    <xdr:to>
      <xdr:col>2</xdr:col>
      <xdr:colOff>57550</xdr:colOff>
      <xdr:row>61</xdr:row>
      <xdr:rowOff>56029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DE4E8DA-DD5E-47B5-99E2-7D2D0EEE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40445" y="11329147"/>
          <a:ext cx="3912370" cy="20730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19-06-26T08:24:21.96" personId="{00000000-0000-0000-0000-000000000000}" id="{9E9A253E-48F2-4A5F-8532-D55881F05411}">
    <text>Manual entry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AA0F-2C18-4735-89BF-6BBC20624301}">
  <dimension ref="A1:V55"/>
  <sheetViews>
    <sheetView tabSelected="1" topLeftCell="I13" zoomScale="130" zoomScaleNormal="130" workbookViewId="0">
      <selection activeCell="C34" sqref="C34:C35"/>
    </sheetView>
  </sheetViews>
  <sheetFormatPr defaultRowHeight="15" x14ac:dyDescent="0.25"/>
  <cols>
    <col min="1" max="1" width="60.28515625" bestFit="1" customWidth="1"/>
    <col min="2" max="2" width="10.140625" customWidth="1"/>
    <col min="3" max="3" width="12.5703125" bestFit="1" customWidth="1"/>
    <col min="5" max="5" width="12" bestFit="1" customWidth="1"/>
    <col min="8" max="8" width="67.7109375" customWidth="1"/>
    <col min="10" max="10" width="42.85546875" bestFit="1" customWidth="1"/>
    <col min="11" max="11" width="13.140625" bestFit="1" customWidth="1"/>
    <col min="12" max="12" width="12" bestFit="1" customWidth="1"/>
    <col min="13" max="13" width="20.28515625" bestFit="1" customWidth="1"/>
    <col min="14" max="14" width="14.28515625" bestFit="1" customWidth="1"/>
  </cols>
  <sheetData>
    <row r="1" spans="1:19" x14ac:dyDescent="0.25">
      <c r="C1" t="s">
        <v>10</v>
      </c>
      <c r="E1" t="s">
        <v>11</v>
      </c>
      <c r="J1" s="13" t="s">
        <v>98</v>
      </c>
    </row>
    <row r="2" spans="1:19" ht="18.75" x14ac:dyDescent="0.3">
      <c r="A2" s="1" t="s">
        <v>13</v>
      </c>
      <c r="C2">
        <f>(4/(L3*PI()))* ((0.5*L2/L5^2) + ((0.5*L5+K26)/S5^2) + (0.4/L5))</f>
        <v>3.0700036657158977E-6</v>
      </c>
      <c r="E2" s="3">
        <v>3.05E-6</v>
      </c>
      <c r="F2" t="s">
        <v>47</v>
      </c>
      <c r="J2" t="s">
        <v>0</v>
      </c>
      <c r="K2" t="s">
        <v>1</v>
      </c>
      <c r="L2" s="27">
        <v>5.15</v>
      </c>
      <c r="M2" t="s">
        <v>75</v>
      </c>
    </row>
    <row r="3" spans="1:19" ht="18.75" x14ac:dyDescent="0.3">
      <c r="A3" s="1" t="s">
        <v>12</v>
      </c>
      <c r="C3" s="3">
        <f>(1/K29)*(K16/R16 + K17/R17 + K18/R18 + K19/R19 + K20/R20 +K21/R21 +K22/R22 +K23/R23 +K24/R24 +K25/R25)</f>
        <v>5.6289427435416536E-7</v>
      </c>
      <c r="E3" s="3">
        <v>5.7800000000000001E-7</v>
      </c>
      <c r="F3" t="s">
        <v>47</v>
      </c>
      <c r="J3" t="s">
        <v>4</v>
      </c>
      <c r="K3" t="s">
        <v>5</v>
      </c>
      <c r="L3" s="27">
        <v>210000</v>
      </c>
      <c r="M3" t="s">
        <v>62</v>
      </c>
    </row>
    <row r="4" spans="1:19" ht="18.75" x14ac:dyDescent="0.3">
      <c r="A4" s="1" t="s">
        <v>19</v>
      </c>
      <c r="B4" s="6" t="s">
        <v>20</v>
      </c>
      <c r="C4" s="2">
        <f>L42*(C3/(C2+C3))</f>
        <v>7.7471798498048292E-2</v>
      </c>
      <c r="E4">
        <v>0.08</v>
      </c>
      <c r="J4" t="s">
        <v>14</v>
      </c>
      <c r="K4" t="s">
        <v>15</v>
      </c>
      <c r="L4" s="27">
        <v>11.63</v>
      </c>
      <c r="M4" t="s">
        <v>75</v>
      </c>
    </row>
    <row r="5" spans="1:19" ht="18.75" x14ac:dyDescent="0.3">
      <c r="A5" s="1"/>
      <c r="J5" t="s">
        <v>6</v>
      </c>
      <c r="K5" t="s">
        <v>7</v>
      </c>
      <c r="L5" s="27">
        <v>8</v>
      </c>
      <c r="M5" t="s">
        <v>75</v>
      </c>
      <c r="N5" t="s">
        <v>127</v>
      </c>
      <c r="O5" s="28">
        <f>L5-1.082532*L6</f>
        <v>6.6468349999999994</v>
      </c>
      <c r="P5" t="s">
        <v>128</v>
      </c>
      <c r="Q5" s="28">
        <f>L5-0.6495*L6</f>
        <v>7.1881250000000003</v>
      </c>
      <c r="R5" t="s">
        <v>129</v>
      </c>
      <c r="S5" s="28">
        <f>L5-1.2268*L6</f>
        <v>6.4664999999999999</v>
      </c>
    </row>
    <row r="6" spans="1:19" ht="18.75" x14ac:dyDescent="0.3">
      <c r="A6" s="1" t="s">
        <v>21</v>
      </c>
      <c r="B6" t="s">
        <v>22</v>
      </c>
      <c r="C6">
        <f>L41/L43</f>
        <v>5860</v>
      </c>
      <c r="E6">
        <v>5860</v>
      </c>
      <c r="F6" t="s">
        <v>48</v>
      </c>
      <c r="J6" t="s">
        <v>8</v>
      </c>
      <c r="K6" t="s">
        <v>9</v>
      </c>
      <c r="L6" s="27">
        <v>1.25</v>
      </c>
      <c r="M6" t="s">
        <v>75</v>
      </c>
    </row>
    <row r="7" spans="1:19" ht="18.75" x14ac:dyDescent="0.3">
      <c r="A7" s="1" t="s">
        <v>23</v>
      </c>
      <c r="B7" t="s">
        <v>24</v>
      </c>
      <c r="C7" s="8">
        <f>(1-C4)*L40</f>
        <v>2499.1288978687871</v>
      </c>
      <c r="E7">
        <v>2493</v>
      </c>
      <c r="F7" t="s">
        <v>48</v>
      </c>
      <c r="J7" t="s">
        <v>109</v>
      </c>
      <c r="K7" t="s">
        <v>78</v>
      </c>
      <c r="L7" s="27">
        <v>900</v>
      </c>
      <c r="M7" t="s">
        <v>62</v>
      </c>
      <c r="N7" t="s">
        <v>99</v>
      </c>
      <c r="O7">
        <f>(L7+L8)/2</f>
        <v>950</v>
      </c>
      <c r="P7" t="s">
        <v>62</v>
      </c>
    </row>
    <row r="8" spans="1:19" ht="18.75" x14ac:dyDescent="0.3">
      <c r="A8" s="1" t="s">
        <v>25</v>
      </c>
      <c r="B8" t="s">
        <v>26</v>
      </c>
      <c r="C8" s="8">
        <f>MAX(0,(C4*L40))</f>
        <v>209.87110213121281</v>
      </c>
      <c r="E8">
        <v>216</v>
      </c>
      <c r="F8" t="s">
        <v>48</v>
      </c>
      <c r="J8" t="s">
        <v>110</v>
      </c>
      <c r="K8" t="s">
        <v>79</v>
      </c>
      <c r="L8" s="27">
        <v>1000</v>
      </c>
      <c r="M8" t="s">
        <v>62</v>
      </c>
      <c r="N8" s="5" t="s">
        <v>154</v>
      </c>
      <c r="O8" s="8">
        <f>0.577*L7</f>
        <v>519.29999999999995</v>
      </c>
      <c r="P8" s="5" t="s">
        <v>62</v>
      </c>
    </row>
    <row r="9" spans="1:19" ht="18.75" x14ac:dyDescent="0.3">
      <c r="A9" s="1"/>
      <c r="J9" t="s">
        <v>100</v>
      </c>
      <c r="K9" t="s">
        <v>101</v>
      </c>
      <c r="L9" s="27">
        <v>30</v>
      </c>
      <c r="M9" t="s">
        <v>75</v>
      </c>
    </row>
    <row r="10" spans="1:19" ht="18.75" x14ac:dyDescent="0.3">
      <c r="A10" s="1" t="s">
        <v>27</v>
      </c>
      <c r="B10" t="s">
        <v>28</v>
      </c>
      <c r="C10" s="8">
        <f>C6+C7</f>
        <v>8359.128897868788</v>
      </c>
      <c r="D10" s="8"/>
      <c r="E10" s="8">
        <f t="shared" ref="E10" si="0">E6+E7</f>
        <v>8353</v>
      </c>
      <c r="F10" t="s">
        <v>48</v>
      </c>
      <c r="J10" t="s">
        <v>52</v>
      </c>
      <c r="K10" t="s">
        <v>53</v>
      </c>
      <c r="L10" s="25">
        <f>PI()*(AVERAGE(Q5,S5))^2 /4</f>
        <v>36.609133108846152</v>
      </c>
      <c r="M10" t="s">
        <v>83</v>
      </c>
    </row>
    <row r="11" spans="1:19" ht="18.75" x14ac:dyDescent="0.3">
      <c r="A11" s="1"/>
      <c r="B11" s="5" t="s">
        <v>33</v>
      </c>
      <c r="C11">
        <f>0.00329*(K26/L5)^0.34</f>
        <v>3.9206758159521958E-3</v>
      </c>
      <c r="J11" t="s">
        <v>80</v>
      </c>
      <c r="K11" t="s">
        <v>81</v>
      </c>
      <c r="L11" s="25">
        <f>C33*PI()*O5*(L6/2 + (Q5-O5)/3^0.5)/L6</f>
        <v>93.968811976136251</v>
      </c>
      <c r="M11" t="s">
        <v>83</v>
      </c>
    </row>
    <row r="12" spans="1:19" ht="18.75" x14ac:dyDescent="0.3">
      <c r="A12" s="1" t="s">
        <v>34</v>
      </c>
      <c r="B12" s="5" t="s">
        <v>35</v>
      </c>
      <c r="C12" s="8">
        <f>C11/(C2+C3)</f>
        <v>1079.2144124689014</v>
      </c>
      <c r="E12">
        <v>1080</v>
      </c>
      <c r="F12" t="s">
        <v>48</v>
      </c>
      <c r="J12" t="s">
        <v>126</v>
      </c>
      <c r="K12" t="s">
        <v>125</v>
      </c>
      <c r="L12" s="28">
        <f>AVERAGE(Q5,S5)</f>
        <v>6.8273124999999997</v>
      </c>
      <c r="M12" t="s">
        <v>75</v>
      </c>
    </row>
    <row r="13" spans="1:19" ht="18.75" x14ac:dyDescent="0.3">
      <c r="A13" s="1"/>
    </row>
    <row r="14" spans="1:19" ht="18.75" x14ac:dyDescent="0.3">
      <c r="A14" s="31" t="s">
        <v>36</v>
      </c>
      <c r="J14" s="13" t="s">
        <v>102</v>
      </c>
    </row>
    <row r="15" spans="1:19" ht="19.5" thickBot="1" x14ac:dyDescent="0.35">
      <c r="A15" s="1" t="s">
        <v>37</v>
      </c>
      <c r="B15" t="s">
        <v>38</v>
      </c>
      <c r="C15" s="8">
        <f>C10+C12</f>
        <v>9438.3433103376901</v>
      </c>
      <c r="E15">
        <v>9434</v>
      </c>
      <c r="F15" t="s">
        <v>48</v>
      </c>
      <c r="K15" t="s">
        <v>112</v>
      </c>
      <c r="L15" t="s">
        <v>104</v>
      </c>
      <c r="M15" t="s">
        <v>105</v>
      </c>
      <c r="N15" t="s">
        <v>106</v>
      </c>
      <c r="O15" t="s">
        <v>107</v>
      </c>
      <c r="P15" t="s">
        <v>108</v>
      </c>
      <c r="Q15" t="s">
        <v>99</v>
      </c>
      <c r="R15" t="s">
        <v>111</v>
      </c>
    </row>
    <row r="16" spans="1:19" ht="18.75" x14ac:dyDescent="0.3">
      <c r="A16" s="1" t="s">
        <v>39</v>
      </c>
      <c r="B16" s="11" t="s">
        <v>40</v>
      </c>
      <c r="C16" s="10">
        <f>0.9*L7*L10/(1+3*(1.5*Q5/L12*(0.32*L6/Q5+1.16*0.18))^2)^0.5</f>
        <v>24026.365524895813</v>
      </c>
      <c r="D16" s="11"/>
      <c r="E16" s="11">
        <v>24362</v>
      </c>
      <c r="F16" s="11" t="s">
        <v>48</v>
      </c>
      <c r="J16" t="s">
        <v>103</v>
      </c>
      <c r="K16" s="14">
        <v>1.4</v>
      </c>
      <c r="L16" s="15">
        <v>8.56</v>
      </c>
      <c r="M16" s="15">
        <v>17.649999999999999</v>
      </c>
      <c r="N16" s="15" t="s">
        <v>130</v>
      </c>
      <c r="O16" s="15">
        <v>0</v>
      </c>
      <c r="P16" s="15">
        <v>0</v>
      </c>
      <c r="Q16" s="32">
        <f>AVERAGE(O16:P16)</f>
        <v>0</v>
      </c>
      <c r="R16" s="16">
        <v>199000</v>
      </c>
      <c r="S16" s="35" t="s">
        <v>151</v>
      </c>
    </row>
    <row r="17" spans="1:22" ht="18.75" x14ac:dyDescent="0.3">
      <c r="A17" s="1"/>
      <c r="J17" t="s">
        <v>113</v>
      </c>
      <c r="K17" s="17">
        <v>7</v>
      </c>
      <c r="L17" s="18">
        <v>9</v>
      </c>
      <c r="M17" s="18">
        <v>12</v>
      </c>
      <c r="N17" s="18" t="s">
        <v>131</v>
      </c>
      <c r="O17" s="18">
        <v>0</v>
      </c>
      <c r="P17" s="18">
        <v>0</v>
      </c>
      <c r="Q17" s="33">
        <f t="shared" ref="Q17:Q25" si="1">AVERAGE(O17:P17)</f>
        <v>0</v>
      </c>
      <c r="R17" s="19">
        <v>210000</v>
      </c>
      <c r="S17" s="35"/>
    </row>
    <row r="18" spans="1:22" ht="18.75" x14ac:dyDescent="0.3">
      <c r="A18" s="31" t="s">
        <v>150</v>
      </c>
      <c r="G18" s="8"/>
      <c r="J18" t="s">
        <v>114</v>
      </c>
      <c r="K18" s="17">
        <v>3</v>
      </c>
      <c r="L18" s="18">
        <v>16.16</v>
      </c>
      <c r="M18" s="18">
        <v>15</v>
      </c>
      <c r="N18" s="18" t="s">
        <v>131</v>
      </c>
      <c r="O18" s="18">
        <v>0</v>
      </c>
      <c r="P18" s="18">
        <v>0</v>
      </c>
      <c r="Q18" s="33">
        <f t="shared" si="1"/>
        <v>0</v>
      </c>
      <c r="R18" s="19">
        <v>210000</v>
      </c>
      <c r="S18" s="35"/>
    </row>
    <row r="19" spans="1:22" ht="18.75" x14ac:dyDescent="0.3">
      <c r="A19" s="1" t="s">
        <v>49</v>
      </c>
      <c r="B19" t="s">
        <v>41</v>
      </c>
      <c r="C19" s="8">
        <f>L44*0.8*1000/(0.159*L6 + 0.577*0.18*Q5 +0.5* 0.18*L4)</f>
        <v>10441.721660936804</v>
      </c>
      <c r="E19">
        <v>10443</v>
      </c>
      <c r="G19" s="8"/>
      <c r="J19" t="s">
        <v>115</v>
      </c>
      <c r="K19" s="17">
        <v>2</v>
      </c>
      <c r="L19" s="18">
        <v>11</v>
      </c>
      <c r="M19" s="18">
        <v>13</v>
      </c>
      <c r="N19" s="18" t="s">
        <v>130</v>
      </c>
      <c r="O19" s="18">
        <v>0</v>
      </c>
      <c r="P19" s="18">
        <v>0</v>
      </c>
      <c r="Q19" s="33">
        <f t="shared" si="1"/>
        <v>0</v>
      </c>
      <c r="R19" s="19">
        <v>200000</v>
      </c>
      <c r="S19" s="35"/>
    </row>
    <row r="20" spans="1:22" ht="18.75" x14ac:dyDescent="0.3">
      <c r="A20" s="1" t="s">
        <v>50</v>
      </c>
      <c r="B20" t="s">
        <v>44</v>
      </c>
      <c r="C20" s="8">
        <f>L44*1000/(0.159*L6 + 0.577*0.15*Q5 +0.5* 0.15*L4)</f>
        <v>15356.154535406096</v>
      </c>
      <c r="E20">
        <v>16343</v>
      </c>
      <c r="G20" s="8"/>
      <c r="J20" t="s">
        <v>116</v>
      </c>
      <c r="K20" s="17">
        <v>0</v>
      </c>
      <c r="L20" s="18"/>
      <c r="M20" s="18"/>
      <c r="N20" s="18"/>
      <c r="O20" s="18">
        <v>0</v>
      </c>
      <c r="P20" s="18">
        <v>0</v>
      </c>
      <c r="Q20" s="33">
        <f t="shared" si="1"/>
        <v>0</v>
      </c>
      <c r="R20" s="19">
        <v>1</v>
      </c>
      <c r="S20" s="35"/>
    </row>
    <row r="21" spans="1:22" ht="18.75" x14ac:dyDescent="0.3">
      <c r="A21" s="1" t="s">
        <v>51</v>
      </c>
      <c r="B21" t="s">
        <v>45</v>
      </c>
      <c r="C21" s="8">
        <f>L44*1.2*1000/(0.159*L6 + 0.577*0.12*Q5 +0.5* 0.12*L4)</f>
        <v>22377.52968962958</v>
      </c>
      <c r="E21">
        <v>24362</v>
      </c>
      <c r="J21" t="s">
        <v>117</v>
      </c>
      <c r="K21" s="17">
        <v>0</v>
      </c>
      <c r="L21" s="18"/>
      <c r="M21" s="18"/>
      <c r="N21" s="18"/>
      <c r="O21" s="18">
        <v>0</v>
      </c>
      <c r="P21" s="18">
        <v>0</v>
      </c>
      <c r="Q21" s="33">
        <f t="shared" si="1"/>
        <v>0</v>
      </c>
      <c r="R21" s="19">
        <v>1</v>
      </c>
      <c r="S21" s="35"/>
    </row>
    <row r="22" spans="1:22" ht="18.75" x14ac:dyDescent="0.3">
      <c r="A22" s="1"/>
      <c r="B22" t="s">
        <v>46</v>
      </c>
      <c r="C22" s="2">
        <f>C21/C19</f>
        <v>2.1430881243794739</v>
      </c>
      <c r="E22">
        <v>2.33</v>
      </c>
      <c r="J22" t="s">
        <v>118</v>
      </c>
      <c r="K22" s="17">
        <v>0</v>
      </c>
      <c r="L22" s="18"/>
      <c r="M22" s="18"/>
      <c r="N22" s="18"/>
      <c r="O22" s="18">
        <v>0</v>
      </c>
      <c r="P22" s="18">
        <v>0</v>
      </c>
      <c r="Q22" s="33">
        <f t="shared" si="1"/>
        <v>0</v>
      </c>
      <c r="R22" s="19">
        <v>1</v>
      </c>
      <c r="S22" s="35"/>
    </row>
    <row r="23" spans="1:22" ht="18.75" x14ac:dyDescent="0.3">
      <c r="A23" s="1"/>
      <c r="J23" t="s">
        <v>119</v>
      </c>
      <c r="K23" s="17">
        <v>0</v>
      </c>
      <c r="L23" s="18"/>
      <c r="M23" s="18"/>
      <c r="N23" s="18"/>
      <c r="O23" s="18">
        <v>0</v>
      </c>
      <c r="P23" s="18">
        <v>0</v>
      </c>
      <c r="Q23" s="33">
        <f t="shared" si="1"/>
        <v>0</v>
      </c>
      <c r="R23" s="19">
        <v>1</v>
      </c>
      <c r="S23" s="35"/>
    </row>
    <row r="24" spans="1:22" ht="18.75" x14ac:dyDescent="0.3">
      <c r="A24" s="1" t="s">
        <v>54</v>
      </c>
      <c r="J24" t="s">
        <v>120</v>
      </c>
      <c r="K24" s="17">
        <v>0</v>
      </c>
      <c r="L24" s="18"/>
      <c r="M24" s="18"/>
      <c r="N24" s="18"/>
      <c r="O24" s="18">
        <v>0</v>
      </c>
      <c r="P24" s="18">
        <v>0</v>
      </c>
      <c r="Q24" s="33">
        <f t="shared" si="1"/>
        <v>0</v>
      </c>
      <c r="R24" s="19">
        <v>1</v>
      </c>
      <c r="S24" s="35"/>
    </row>
    <row r="25" spans="1:22" ht="19.5" thickBot="1" x14ac:dyDescent="0.35">
      <c r="A25" s="1" t="s">
        <v>55</v>
      </c>
      <c r="B25" s="5" t="s">
        <v>56</v>
      </c>
      <c r="C25" s="8">
        <f>C20*C2*1000</f>
        <v>47.143450714996526</v>
      </c>
      <c r="D25" s="5" t="s">
        <v>57</v>
      </c>
      <c r="E25">
        <v>50</v>
      </c>
      <c r="J25" t="s">
        <v>121</v>
      </c>
      <c r="K25" s="20">
        <v>0</v>
      </c>
      <c r="L25" s="21"/>
      <c r="M25" s="21"/>
      <c r="N25" s="21"/>
      <c r="O25" s="21">
        <v>0</v>
      </c>
      <c r="P25" s="21">
        <v>0</v>
      </c>
      <c r="Q25" s="34">
        <f t="shared" si="1"/>
        <v>0</v>
      </c>
      <c r="R25" s="22">
        <v>1</v>
      </c>
      <c r="S25" s="35"/>
    </row>
    <row r="26" spans="1:22" ht="18.75" x14ac:dyDescent="0.3">
      <c r="A26" s="1"/>
      <c r="J26" s="12" t="s">
        <v>123</v>
      </c>
      <c r="K26" s="23">
        <f>SUM(K16:K25)</f>
        <v>13.4</v>
      </c>
      <c r="L26" s="24" t="s">
        <v>75</v>
      </c>
      <c r="M26" s="24"/>
      <c r="N26" s="24"/>
      <c r="O26" s="24"/>
      <c r="P26" s="24"/>
      <c r="Q26" s="24"/>
      <c r="R26" s="24"/>
    </row>
    <row r="27" spans="1:22" ht="18.75" x14ac:dyDescent="0.3">
      <c r="A27" s="1" t="s">
        <v>58</v>
      </c>
      <c r="B27" s="5" t="s">
        <v>59</v>
      </c>
      <c r="C27" s="8">
        <f>C21/L10</f>
        <v>611.2553832699831</v>
      </c>
      <c r="D27" t="s">
        <v>60</v>
      </c>
      <c r="E27">
        <v>686</v>
      </c>
      <c r="J27" s="4" t="s">
        <v>17</v>
      </c>
      <c r="K27" s="28">
        <f>(K16*L16+K17*L17+K18*L18+K19*L19+K20*L20+K21*L21+K22*L22+K23*L23+K24*L24+K25*L25)/K26</f>
        <v>10.8555223880597</v>
      </c>
      <c r="L27" t="s">
        <v>75</v>
      </c>
    </row>
    <row r="28" spans="1:22" ht="18.75" x14ac:dyDescent="0.3">
      <c r="A28" s="1" t="s">
        <v>61</v>
      </c>
      <c r="B28" s="5" t="s">
        <v>64</v>
      </c>
      <c r="C28" s="8">
        <f>C8/L10</f>
        <v>5.7327525759002471</v>
      </c>
      <c r="D28" t="s">
        <v>62</v>
      </c>
      <c r="E28">
        <v>6</v>
      </c>
      <c r="J28" t="s">
        <v>18</v>
      </c>
      <c r="K28" s="28">
        <f>((K26*L4)/(K26+L4)^2)^(1/3)</f>
        <v>0.6289087029666911</v>
      </c>
    </row>
    <row r="29" spans="1:22" ht="18.75" x14ac:dyDescent="0.3">
      <c r="A29" s="1" t="s">
        <v>63</v>
      </c>
      <c r="B29" s="5" t="s">
        <v>65</v>
      </c>
      <c r="C29" s="8">
        <f>SUM(C27:C28)</f>
        <v>616.98813584588333</v>
      </c>
      <c r="D29" t="s">
        <v>62</v>
      </c>
      <c r="E29">
        <v>692</v>
      </c>
      <c r="J29" t="s">
        <v>16</v>
      </c>
      <c r="K29" s="28">
        <f>(PI()*(L4^2 -K27^2)/4) + (PI()*L4*K26*(K28+2)*K28/8)</f>
        <v>114.8603324711828</v>
      </c>
    </row>
    <row r="30" spans="1:22" ht="18.75" x14ac:dyDescent="0.3">
      <c r="A30" s="1" t="s">
        <v>66</v>
      </c>
      <c r="B30" s="5" t="s">
        <v>67</v>
      </c>
      <c r="C30" s="10">
        <f>16*C21*(0.159*L6+0.577*0.12*L5)/(PI()*L12^3)</f>
        <v>269.54886821179974</v>
      </c>
      <c r="D30" s="11" t="s">
        <v>62</v>
      </c>
      <c r="E30" s="11">
        <v>281</v>
      </c>
      <c r="V30" t="s">
        <v>29</v>
      </c>
    </row>
    <row r="31" spans="1:22" ht="18.75" x14ac:dyDescent="0.3">
      <c r="A31" s="1" t="s">
        <v>68</v>
      </c>
      <c r="B31" s="5" t="s">
        <v>69</v>
      </c>
      <c r="C31" s="8">
        <f>SQRT(C29^2+3*C30^2)</f>
        <v>773.72096833248918</v>
      </c>
      <c r="D31" t="s">
        <v>62</v>
      </c>
      <c r="E31">
        <v>846</v>
      </c>
      <c r="J31" s="13" t="s">
        <v>122</v>
      </c>
      <c r="V31" t="s">
        <v>30</v>
      </c>
    </row>
    <row r="32" spans="1:22" ht="18.75" x14ac:dyDescent="0.3">
      <c r="A32" s="1"/>
      <c r="J32" t="s">
        <v>2</v>
      </c>
      <c r="K32" t="s">
        <v>3</v>
      </c>
      <c r="L32" s="7">
        <v>6</v>
      </c>
      <c r="M32" t="s">
        <v>75</v>
      </c>
    </row>
    <row r="33" spans="1:16" ht="18.75" x14ac:dyDescent="0.3">
      <c r="A33" s="1" t="s">
        <v>70</v>
      </c>
      <c r="B33" t="s">
        <v>82</v>
      </c>
      <c r="C33" s="11">
        <f>L32</f>
        <v>6</v>
      </c>
      <c r="D33" t="s">
        <v>75</v>
      </c>
      <c r="J33" t="s">
        <v>124</v>
      </c>
      <c r="K33" t="s">
        <v>94</v>
      </c>
      <c r="L33" s="7">
        <v>22</v>
      </c>
      <c r="M33" t="s">
        <v>75</v>
      </c>
    </row>
    <row r="34" spans="1:16" ht="18.75" x14ac:dyDescent="0.3">
      <c r="A34" s="1" t="s">
        <v>71</v>
      </c>
      <c r="B34" t="s">
        <v>72</v>
      </c>
      <c r="C34" s="26"/>
      <c r="D34" t="s">
        <v>75</v>
      </c>
      <c r="K34" t="s">
        <v>93</v>
      </c>
      <c r="L34" s="7">
        <f>L33/L5</f>
        <v>2.75</v>
      </c>
      <c r="M34" t="s">
        <v>75</v>
      </c>
    </row>
    <row r="35" spans="1:16" ht="18.75" x14ac:dyDescent="0.3">
      <c r="A35" s="1" t="s">
        <v>73</v>
      </c>
      <c r="B35" t="s">
        <v>74</v>
      </c>
      <c r="C35" s="26"/>
      <c r="D35" t="s">
        <v>75</v>
      </c>
      <c r="K35" t="s">
        <v>78</v>
      </c>
      <c r="L35" s="7">
        <v>500</v>
      </c>
      <c r="M35" t="s">
        <v>62</v>
      </c>
      <c r="N35" t="s">
        <v>99</v>
      </c>
      <c r="O35">
        <f>(L35+L36)/2</f>
        <v>525</v>
      </c>
      <c r="P35" t="s">
        <v>62</v>
      </c>
    </row>
    <row r="36" spans="1:16" x14ac:dyDescent="0.25">
      <c r="K36" t="s">
        <v>79</v>
      </c>
      <c r="L36" s="7">
        <v>550</v>
      </c>
      <c r="M36" t="s">
        <v>62</v>
      </c>
      <c r="N36" s="5" t="s">
        <v>153</v>
      </c>
      <c r="O36" s="8">
        <f>0.577*L35</f>
        <v>288.5</v>
      </c>
      <c r="P36" s="5" t="s">
        <v>62</v>
      </c>
    </row>
    <row r="37" spans="1:16" ht="18.75" x14ac:dyDescent="0.3">
      <c r="A37" s="1" t="s">
        <v>76</v>
      </c>
      <c r="B37" t="s">
        <v>77</v>
      </c>
      <c r="C37" s="8">
        <f>L7*L10</f>
        <v>32948.219797961538</v>
      </c>
      <c r="D37" t="s">
        <v>48</v>
      </c>
      <c r="E37">
        <v>40243</v>
      </c>
      <c r="J37" t="s">
        <v>91</v>
      </c>
      <c r="K37" t="s">
        <v>92</v>
      </c>
      <c r="L37" s="9">
        <f>C33*PI()*O5*(L6/2 + (L5-Q5)/3^0.5)/L6</f>
        <v>109.62727382054102</v>
      </c>
      <c r="M37" t="s">
        <v>83</v>
      </c>
    </row>
    <row r="38" spans="1:16" ht="18.75" x14ac:dyDescent="0.3">
      <c r="A38" s="1" t="s">
        <v>84</v>
      </c>
      <c r="B38" t="s">
        <v>85</v>
      </c>
      <c r="C38" s="8">
        <f>0.577*L52*L53*L7*L11</f>
        <v>43771.809641109168</v>
      </c>
      <c r="D38" t="s">
        <v>48</v>
      </c>
      <c r="E38">
        <v>44321</v>
      </c>
    </row>
    <row r="39" spans="1:16" ht="18.75" x14ac:dyDescent="0.3">
      <c r="A39" s="1" t="s">
        <v>89</v>
      </c>
      <c r="B39" t="s">
        <v>90</v>
      </c>
      <c r="C39" s="8">
        <f>L35*L52*L54*0.577*L37</f>
        <v>31743.597127050351</v>
      </c>
      <c r="D39" t="s">
        <v>48</v>
      </c>
      <c r="E39">
        <v>31907</v>
      </c>
      <c r="J39" s="13" t="s">
        <v>133</v>
      </c>
    </row>
    <row r="40" spans="1:16" ht="18.75" x14ac:dyDescent="0.3">
      <c r="A40" s="1" t="s">
        <v>96</v>
      </c>
      <c r="B40" t="s">
        <v>97</v>
      </c>
      <c r="C40" s="8">
        <f>MIN(C37:C39)</f>
        <v>31743.597127050351</v>
      </c>
      <c r="D40" t="s">
        <v>48</v>
      </c>
      <c r="E40" s="8">
        <f>MIN(E37:E39)</f>
        <v>31907</v>
      </c>
      <c r="I40" s="8"/>
      <c r="J40" t="s">
        <v>29</v>
      </c>
      <c r="K40" t="s">
        <v>134</v>
      </c>
      <c r="L40" s="7">
        <v>2709</v>
      </c>
      <c r="M40" t="s">
        <v>48</v>
      </c>
      <c r="P40" s="36" t="s">
        <v>151</v>
      </c>
    </row>
    <row r="41" spans="1:16" x14ac:dyDescent="0.25">
      <c r="J41" t="s">
        <v>30</v>
      </c>
      <c r="K41" t="s">
        <v>135</v>
      </c>
      <c r="L41" s="7">
        <v>1172</v>
      </c>
      <c r="M41" t="s">
        <v>48</v>
      </c>
      <c r="P41" s="36"/>
    </row>
    <row r="42" spans="1:16" x14ac:dyDescent="0.25">
      <c r="J42" t="s">
        <v>136</v>
      </c>
      <c r="K42" s="5" t="s">
        <v>31</v>
      </c>
      <c r="L42" s="7">
        <v>0.5</v>
      </c>
      <c r="P42" s="36"/>
    </row>
    <row r="43" spans="1:16" x14ac:dyDescent="0.25">
      <c r="J43" t="s">
        <v>137</v>
      </c>
      <c r="K43" s="5" t="s">
        <v>152</v>
      </c>
      <c r="L43" s="7">
        <v>0.2</v>
      </c>
      <c r="P43" s="36"/>
    </row>
    <row r="44" spans="1:16" x14ac:dyDescent="0.25">
      <c r="J44" t="s">
        <v>138</v>
      </c>
      <c r="K44" s="5" t="s">
        <v>42</v>
      </c>
      <c r="L44" s="7">
        <v>26</v>
      </c>
      <c r="M44" t="s">
        <v>43</v>
      </c>
      <c r="P44" s="36"/>
    </row>
    <row r="45" spans="1:16" x14ac:dyDescent="0.25">
      <c r="J45" t="s">
        <v>140</v>
      </c>
      <c r="K45" s="5" t="s">
        <v>141</v>
      </c>
      <c r="L45" s="29">
        <v>0.2</v>
      </c>
      <c r="P45" s="36"/>
    </row>
    <row r="46" spans="1:16" x14ac:dyDescent="0.25">
      <c r="L46" s="24" t="s">
        <v>32</v>
      </c>
      <c r="M46" s="24" t="s">
        <v>145</v>
      </c>
      <c r="N46" t="s">
        <v>146</v>
      </c>
      <c r="O46" t="s">
        <v>147</v>
      </c>
      <c r="P46" s="36"/>
    </row>
    <row r="47" spans="1:16" x14ac:dyDescent="0.25">
      <c r="J47" t="s">
        <v>139</v>
      </c>
      <c r="K47" t="s">
        <v>144</v>
      </c>
      <c r="L47" s="27">
        <v>0.15</v>
      </c>
      <c r="M47" s="27">
        <v>0.03</v>
      </c>
      <c r="N47" s="24">
        <f>L47+M47</f>
        <v>0.18</v>
      </c>
      <c r="O47" s="24">
        <f>L47-M47</f>
        <v>0.12</v>
      </c>
      <c r="P47" s="36"/>
    </row>
    <row r="48" spans="1:16" x14ac:dyDescent="0.25">
      <c r="J48" t="s">
        <v>142</v>
      </c>
      <c r="K48" t="s">
        <v>143</v>
      </c>
      <c r="L48" s="27">
        <v>0.15</v>
      </c>
      <c r="M48" s="27">
        <v>0.03</v>
      </c>
      <c r="N48" s="24">
        <f>L48+M48</f>
        <v>0.18</v>
      </c>
      <c r="O48" s="24">
        <f>L48-M48</f>
        <v>0.12</v>
      </c>
      <c r="P48" s="36"/>
    </row>
    <row r="49" spans="10:16" x14ac:dyDescent="0.25">
      <c r="J49" t="s">
        <v>148</v>
      </c>
      <c r="K49" s="5" t="s">
        <v>149</v>
      </c>
      <c r="L49" s="30">
        <v>0.9</v>
      </c>
      <c r="M49" t="s">
        <v>78</v>
      </c>
      <c r="P49" s="36"/>
    </row>
    <row r="51" spans="10:16" x14ac:dyDescent="0.25">
      <c r="J51" s="13" t="s">
        <v>132</v>
      </c>
    </row>
    <row r="52" spans="10:16" x14ac:dyDescent="0.25">
      <c r="K52" t="s">
        <v>86</v>
      </c>
      <c r="L52">
        <f>IF(L34&lt;=1.9,-L34^2+3.8*L34-2.61,1)</f>
        <v>1</v>
      </c>
    </row>
    <row r="53" spans="10:16" x14ac:dyDescent="0.25">
      <c r="K53" t="s">
        <v>87</v>
      </c>
      <c r="L53">
        <f>IF(L55&lt;=1,0.897,IF(L55&gt;=2.2,1.187,5.594-13.682*L55+14.107*L55^2-6.057*L55^3+0.9353*L55^4))</f>
        <v>0.89700000000000002</v>
      </c>
    </row>
    <row r="54" spans="10:16" x14ac:dyDescent="0.25">
      <c r="K54" t="s">
        <v>88</v>
      </c>
      <c r="L54">
        <f>IF(L55&lt;=0.4,1.055,IF(L55&gt;=1,0.897,0.728+1.769*L55-2.896*L55^2 +1.296*L55^3))</f>
        <v>1.0036717649354217</v>
      </c>
    </row>
    <row r="55" spans="10:16" x14ac:dyDescent="0.25">
      <c r="K55" t="s">
        <v>95</v>
      </c>
      <c r="L55">
        <f>O36*L37/(O8*L11*0.97)</f>
        <v>0.66817564067672175</v>
      </c>
    </row>
  </sheetData>
  <mergeCells count="2">
    <mergeCell ref="S16:S25"/>
    <mergeCell ref="P40:P4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2019-06-26T09:33:14Z</dcterms:modified>
</cp:coreProperties>
</file>