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990" windowWidth="29040" xWindow="-120" yWindow="330"/>
  </bookViews>
  <sheets>
    <sheet name="calcula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1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1"/>
      <sz val="14"/>
      <u val="single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borderId="0" fillId="0" fontId="1" numFmtId="0" pivotButton="0" quotePrefix="0" xfId="0"/>
    <xf borderId="0" fillId="0" fontId="0" numFmtId="2" pivotButton="0" quotePrefix="0" xfId="0"/>
    <xf borderId="0" fillId="0" fontId="0" numFmtId="11" pivotButton="0" quotePrefix="0" xfId="0"/>
    <xf borderId="0" fillId="0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horizontal="center"/>
    </xf>
    <xf borderId="0" fillId="2" fontId="0" numFmtId="0" pivotButton="0" quotePrefix="0" xfId="0"/>
    <xf borderId="0" fillId="0" fontId="0" numFmtId="1" pivotButton="0" quotePrefix="0" xfId="0"/>
    <xf borderId="0" fillId="0" fontId="0" numFmtId="164" pivotButton="0" quotePrefix="0" xfId="0"/>
    <xf borderId="0" fillId="0" fontId="0" numFmtId="1" pivotButton="0" quotePrefix="0" xfId="0"/>
    <xf borderId="0" fillId="0" fontId="0" numFmtId="0" pivotButton="0" quotePrefix="0" xfId="0"/>
    <xf borderId="0" fillId="0" fontId="4" numFmtId="0" pivotButton="0" quotePrefix="0" xfId="0"/>
    <xf borderId="0" fillId="0" fontId="5" numFmtId="0" pivotButton="0" quotePrefix="0" xfId="0"/>
    <xf applyAlignment="1" borderId="3" fillId="2" fontId="0" numFmtId="0" pivotButton="0" quotePrefix="0" xfId="0">
      <alignment horizontal="center"/>
    </xf>
    <xf applyAlignment="1" borderId="4" fillId="2" fontId="0" numFmtId="0" pivotButton="0" quotePrefix="0" xfId="0">
      <alignment horizontal="center"/>
    </xf>
    <xf applyAlignment="1" borderId="5" fillId="2" fontId="0" numFmtId="0" pivotButton="0" quotePrefix="0" xfId="0">
      <alignment horizontal="center"/>
    </xf>
    <xf applyAlignment="1" borderId="6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7" fillId="2" fontId="0" numFmtId="0" pivotButton="0" quotePrefix="0" xfId="0">
      <alignment horizontal="center"/>
    </xf>
    <xf applyAlignment="1" borderId="8" fillId="2" fontId="0" numFmtId="0" pivotButton="0" quotePrefix="0" xfId="0">
      <alignment horizontal="center"/>
    </xf>
    <xf applyAlignment="1" borderId="9" fillId="2" fontId="0" numFmtId="0" pivotButton="0" quotePrefix="0" xfId="0">
      <alignment horizontal="center"/>
    </xf>
    <xf applyAlignment="1" borderId="10" fillId="2" fontId="0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164" pivotButton="0" quotePrefix="0" xfId="0">
      <alignment horizontal="center"/>
    </xf>
    <xf borderId="0" fillId="3" fontId="3" numFmtId="0" pivotButton="0" quotePrefix="0" xfId="0"/>
    <xf applyAlignment="1" borderId="0" fillId="2" fontId="0" numFmtId="0" pivotButton="0" quotePrefix="0" xfId="0">
      <alignment horizontal="center"/>
    </xf>
    <xf applyAlignment="1" borderId="0" fillId="0" fontId="0" numFmtId="2" pivotButton="0" quotePrefix="0" xfId="0">
      <alignment horizontal="center"/>
    </xf>
    <xf borderId="0" fillId="2" fontId="0" numFmtId="9" pivotButton="0" quotePrefix="0" xfId="0"/>
    <xf applyAlignment="1" borderId="0" fillId="2" fontId="0" numFmtId="9" pivotButton="0" quotePrefix="0" xfId="0">
      <alignment horizontal="center"/>
    </xf>
    <xf borderId="0" fillId="0" fontId="6" numFmtId="0" pivotButton="0" quotePrefix="0" xfId="0"/>
    <xf applyAlignment="1" borderId="4" fillId="0" fontId="0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borderId="1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tc={9E9A253E-48F2-4A5F-8532-D55881F05411}</author>
  </authors>
  <commentList>
    <comment authorId="0" ref="L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entry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55"/>
  <sheetViews>
    <sheetView tabSelected="1" topLeftCell="I13" workbookViewId="0" zoomScale="130" zoomScaleNormal="130">
      <selection activeCell="C34" sqref="C34:C35"/>
    </sheetView>
  </sheetViews>
  <sheetFormatPr baseColWidth="8" defaultRowHeight="15"/>
  <cols>
    <col bestFit="1" customWidth="1" max="1" min="1" style="11" width="60.28515625"/>
    <col customWidth="1" max="2" min="2" style="11" width="10.140625"/>
    <col bestFit="1" customWidth="1" max="3" min="3" style="11" width="12.5703125"/>
    <col bestFit="1" customWidth="1" max="5" min="5" style="11" width="12"/>
    <col customWidth="1" max="8" min="8" style="11" width="67.7109375"/>
    <col bestFit="1" customWidth="1" max="10" min="10" style="11" width="42.85546875"/>
    <col bestFit="1" customWidth="1" max="11" min="11" style="11" width="13.140625"/>
    <col bestFit="1" customWidth="1" max="12" min="12" style="11" width="12"/>
    <col bestFit="1" customWidth="1" max="13" min="13" style="11" width="20.28515625"/>
    <col bestFit="1" customWidth="1" max="14" min="14" style="11" width="14.28515625"/>
  </cols>
  <sheetData>
    <row r="1">
      <c r="C1" t="inlineStr">
        <is>
          <t>Calculated</t>
        </is>
      </c>
      <c r="E1" t="inlineStr">
        <is>
          <t>From cobra</t>
        </is>
      </c>
      <c r="J1" s="13" t="inlineStr">
        <is>
          <t>Bolt/screw data</t>
        </is>
      </c>
    </row>
    <row customHeight="1" ht="18.75" r="2" s="11">
      <c r="A2" s="1" t="inlineStr">
        <is>
          <t>Tensile resilience of screw /bolt</t>
        </is>
      </c>
      <c r="C2">
        <f>(4/(L3*PI()))* ((0.5*L2/L5^2) + ((0.5*L5+K26)/S5^2) + (0.4/L5))</f>
        <v/>
      </c>
      <c r="E2" s="3" t="n">
        <v>3.05e-06</v>
      </c>
      <c r="F2" t="inlineStr">
        <is>
          <t>mm/N</t>
        </is>
      </c>
      <c r="J2" t="inlineStr">
        <is>
          <t>Bolt head height</t>
        </is>
      </c>
      <c r="K2" t="inlineStr">
        <is>
          <t>Hh</t>
        </is>
      </c>
      <c r="L2" s="27" t="n">
        <v>10.55</v>
      </c>
      <c r="M2" t="inlineStr">
        <is>
          <t>mm</t>
        </is>
      </c>
    </row>
    <row customHeight="1" ht="18.75" r="3" s="11">
      <c r="A3" s="1" t="inlineStr">
        <is>
          <t>Compressive resilience of parts</t>
        </is>
      </c>
      <c r="C3" s="3">
        <f>(1/K29)*(K16/R16 + K17/R17 + K18/R18 + K19/R19 + K20/R20 +K21/R21 +K22/R22 +K23/R23 +K24/R24 +K25/R25)</f>
        <v/>
      </c>
      <c r="E3" s="3" t="n">
        <v>5.78e-07</v>
      </c>
      <c r="F3" t="inlineStr">
        <is>
          <t>mm/N</t>
        </is>
      </c>
      <c r="J3" t="inlineStr">
        <is>
          <t>Young's modulus of bolt</t>
        </is>
      </c>
      <c r="K3" t="inlineStr">
        <is>
          <t>Eb</t>
        </is>
      </c>
      <c r="L3" s="27" t="n">
        <v>210000</v>
      </c>
      <c r="M3" t="inlineStr">
        <is>
          <t>MPa</t>
        </is>
      </c>
    </row>
    <row customHeight="1" ht="18.75" r="4" s="11">
      <c r="A4" s="1" t="inlineStr">
        <is>
          <t>load factor</t>
        </is>
      </c>
      <c r="B4" s="6" t="inlineStr">
        <is>
          <t>λ</t>
        </is>
      </c>
      <c r="C4" s="2">
        <f>L42*(C3/(C2+C3))</f>
        <v/>
      </c>
      <c r="E4" t="n">
        <v>0.08</v>
      </c>
      <c r="J4" t="inlineStr">
        <is>
          <t>Bearing dia of bolt</t>
        </is>
      </c>
      <c r="K4" t="inlineStr">
        <is>
          <t>dw</t>
        </is>
      </c>
      <c r="L4" s="27" t="n">
        <v>11.63</v>
      </c>
      <c r="M4" t="inlineStr">
        <is>
          <t>mm</t>
        </is>
      </c>
    </row>
    <row customHeight="1" ht="18.75" r="5" s="11">
      <c r="A5" s="1" t="n"/>
      <c r="J5" t="inlineStr">
        <is>
          <t>Dia of bolt</t>
        </is>
      </c>
      <c r="K5" t="inlineStr">
        <is>
          <t>d</t>
        </is>
      </c>
      <c r="L5" s="27" t="n">
        <v>8</v>
      </c>
      <c r="M5" t="inlineStr">
        <is>
          <t>mm</t>
        </is>
      </c>
      <c r="N5" t="inlineStr">
        <is>
          <t>d1 (mm)</t>
        </is>
      </c>
      <c r="O5" s="28">
        <f>L5-1.082532*L6</f>
        <v/>
      </c>
      <c r="P5" t="inlineStr">
        <is>
          <t>d2 (mm)</t>
        </is>
      </c>
      <c r="Q5" s="28">
        <f>L5-0.6495*L6</f>
        <v/>
      </c>
      <c r="R5" t="inlineStr">
        <is>
          <t>d3 (mm)</t>
        </is>
      </c>
      <c r="S5" s="28">
        <f>L5-1.2268*L6</f>
        <v/>
      </c>
    </row>
    <row customHeight="1" ht="18.75" r="6" s="11">
      <c r="A6" s="1" t="inlineStr">
        <is>
          <t>Transverse force</t>
        </is>
      </c>
      <c r="B6" t="inlineStr">
        <is>
          <t>Fot</t>
        </is>
      </c>
      <c r="C6">
        <f>L41/L43</f>
        <v/>
      </c>
      <c r="E6" t="n">
        <v>5860</v>
      </c>
      <c r="F6" t="inlineStr">
        <is>
          <t>N</t>
        </is>
      </c>
      <c r="J6" t="inlineStr">
        <is>
          <t>Pitch</t>
        </is>
      </c>
      <c r="K6" t="inlineStr">
        <is>
          <t>p</t>
        </is>
      </c>
      <c r="L6" s="27" t="n">
        <v>1.25</v>
      </c>
      <c r="M6" t="inlineStr">
        <is>
          <t>mm</t>
        </is>
      </c>
    </row>
    <row customHeight="1" ht="18.75" r="7" s="11">
      <c r="A7" s="1" t="inlineStr">
        <is>
          <t>Tensile force</t>
        </is>
      </c>
      <c r="B7" t="inlineStr">
        <is>
          <t>Foa</t>
        </is>
      </c>
      <c r="C7" s="10">
        <f>(1-C4)*L40</f>
        <v/>
      </c>
      <c r="E7" t="n">
        <v>2493</v>
      </c>
      <c r="F7" t="inlineStr">
        <is>
          <t>N</t>
        </is>
      </c>
      <c r="J7" t="inlineStr">
        <is>
          <t>Yield limit of bolt</t>
        </is>
      </c>
      <c r="K7" t="inlineStr">
        <is>
          <t>Re</t>
        </is>
      </c>
      <c r="L7" s="27" t="n">
        <v>900</v>
      </c>
      <c r="M7" t="inlineStr">
        <is>
          <t>MPa</t>
        </is>
      </c>
      <c r="N7" t="inlineStr">
        <is>
          <t>Recmin</t>
        </is>
      </c>
      <c r="O7">
        <f>(L7+L8)/2</f>
        <v/>
      </c>
      <c r="P7" t="inlineStr">
        <is>
          <t>MPa</t>
        </is>
      </c>
    </row>
    <row customHeight="1" ht="18.75" r="8" s="11">
      <c r="A8" s="1" t="inlineStr">
        <is>
          <t>Compressive force</t>
        </is>
      </c>
      <c r="B8" t="inlineStr">
        <is>
          <t>Fob</t>
        </is>
      </c>
      <c r="C8" s="10">
        <f>MAX(0,(C4*L40))</f>
        <v/>
      </c>
      <c r="E8" t="n">
        <v>216</v>
      </c>
      <c r="F8" t="inlineStr">
        <is>
          <t>N</t>
        </is>
      </c>
      <c r="J8" t="inlineStr">
        <is>
          <t>Ultimate limit of bolt</t>
        </is>
      </c>
      <c r="K8" t="inlineStr">
        <is>
          <t>Rm</t>
        </is>
      </c>
      <c r="L8" s="27" t="n">
        <v>1000</v>
      </c>
      <c r="M8" t="inlineStr">
        <is>
          <t>MPa</t>
        </is>
      </c>
      <c r="N8" s="5" t="inlineStr">
        <is>
          <t>τsmin</t>
        </is>
      </c>
      <c r="O8" s="10">
        <f>0.577*L7</f>
        <v/>
      </c>
      <c r="P8" s="5" t="inlineStr">
        <is>
          <t>MPa</t>
        </is>
      </c>
    </row>
    <row customHeight="1" ht="18.75" r="9" s="11">
      <c r="A9" s="1" t="n"/>
      <c r="J9" t="inlineStr">
        <is>
          <t>Length of bolt</t>
        </is>
      </c>
      <c r="K9" t="inlineStr">
        <is>
          <t>L</t>
        </is>
      </c>
      <c r="L9" s="27" t="n">
        <v>30</v>
      </c>
      <c r="M9" t="inlineStr">
        <is>
          <t>mm</t>
        </is>
      </c>
    </row>
    <row customHeight="1" ht="18.75" r="10" s="11">
      <c r="A10" s="1" t="inlineStr">
        <is>
          <t>Minumum functional preload</t>
        </is>
      </c>
      <c r="B10" t="inlineStr">
        <is>
          <t>Fof</t>
        </is>
      </c>
      <c r="C10" s="10">
        <f>C6+C7</f>
        <v/>
      </c>
      <c r="D10" s="10" t="n"/>
      <c r="E10" s="10">
        <f>E6+E7</f>
        <v/>
      </c>
      <c r="F10" t="inlineStr">
        <is>
          <t>N</t>
        </is>
      </c>
      <c r="J10" t="inlineStr">
        <is>
          <t>Shear area of bolt</t>
        </is>
      </c>
      <c r="K10" t="inlineStr">
        <is>
          <t>As</t>
        </is>
      </c>
      <c r="L10" s="25">
        <f>PI()*(AVERAGE(Q5,S5))^2 /4</f>
        <v/>
      </c>
      <c r="M10" t="inlineStr">
        <is>
          <t>mm^2</t>
        </is>
      </c>
    </row>
    <row customHeight="1" ht="18.75" r="11" s="11">
      <c r="A11" s="1" t="n"/>
      <c r="B11" s="5" t="inlineStr">
        <is>
          <t>ΔLe</t>
        </is>
      </c>
      <c r="C11">
        <f>0.00329*(K26/L5)^0.34</f>
        <v/>
      </c>
      <c r="J11" t="inlineStr">
        <is>
          <t>Thread shear area of fastener</t>
        </is>
      </c>
      <c r="K11" t="inlineStr">
        <is>
          <t>Ass</t>
        </is>
      </c>
      <c r="L11" s="25">
        <f>C33*PI()*O5*(L6/2 + (Q5-O5)/3^0.5)/L6</f>
        <v/>
      </c>
      <c r="M11" t="inlineStr">
        <is>
          <t>mm^2</t>
        </is>
      </c>
    </row>
    <row customHeight="1" ht="18.75" r="12" s="11">
      <c r="A12" s="1" t="inlineStr">
        <is>
          <t>Loss of preload</t>
        </is>
      </c>
      <c r="B12" s="5" t="inlineStr">
        <is>
          <t>ΔFz</t>
        </is>
      </c>
      <c r="C12" s="10">
        <f>C11/(C2+C3)</f>
        <v/>
      </c>
      <c r="E12" t="n">
        <v>1080</v>
      </c>
      <c r="F12" t="inlineStr">
        <is>
          <t>N</t>
        </is>
      </c>
      <c r="J12" t="inlineStr">
        <is>
          <t>Shear dia of bolt</t>
        </is>
      </c>
      <c r="K12" t="inlineStr">
        <is>
          <t>ds</t>
        </is>
      </c>
      <c r="L12" s="28">
        <f>AVERAGE(Q5,S5)</f>
        <v/>
      </c>
      <c r="M12" t="inlineStr">
        <is>
          <t>mm</t>
        </is>
      </c>
    </row>
    <row customHeight="1" ht="18.75" r="13" s="11">
      <c r="A13" s="1" t="n"/>
    </row>
    <row customHeight="1" ht="18.75" r="14" s="11">
      <c r="A14" s="31" t="inlineStr">
        <is>
          <t>Preload Range</t>
        </is>
      </c>
      <c r="J14" s="13" t="inlineStr">
        <is>
          <t>Clamped parts</t>
        </is>
      </c>
    </row>
    <row customHeight="1" ht="19.5" r="15" s="11" thickBot="1">
      <c r="A15" s="1" t="inlineStr">
        <is>
          <t>Minimum required preload</t>
        </is>
      </c>
      <c r="B15" t="inlineStr">
        <is>
          <t>F0min</t>
        </is>
      </c>
      <c r="C15" s="10">
        <f>C10+C12</f>
        <v/>
      </c>
      <c r="E15" t="n">
        <v>9434</v>
      </c>
      <c r="F15" t="inlineStr">
        <is>
          <t>N</t>
        </is>
      </c>
      <c r="K15" t="inlineStr">
        <is>
          <t>Thickness(Lp)</t>
        </is>
      </c>
      <c r="L15" t="inlineStr">
        <is>
          <t>Inner dia (d)</t>
        </is>
      </c>
      <c r="M15" t="inlineStr">
        <is>
          <t>Effective outer dia(D)</t>
        </is>
      </c>
      <c r="N15" t="inlineStr">
        <is>
          <t>Material Name</t>
        </is>
      </c>
      <c r="O15" t="inlineStr">
        <is>
          <t>Yield</t>
        </is>
      </c>
      <c r="P15" t="inlineStr">
        <is>
          <t>Ultimate</t>
        </is>
      </c>
      <c r="Q15" t="inlineStr">
        <is>
          <t>Recmin</t>
        </is>
      </c>
      <c r="R15" t="inlineStr">
        <is>
          <t>E</t>
        </is>
      </c>
    </row>
    <row customHeight="1" ht="18.75" r="16" s="11">
      <c r="A16" s="1" t="inlineStr">
        <is>
          <t>Max allowable preload</t>
        </is>
      </c>
      <c r="B16" t="inlineStr">
        <is>
          <t>Fomax</t>
        </is>
      </c>
      <c r="C16" s="10">
        <f>0.9*L7*L10/(1+3*(1.5*Q5/L12*(0.32*L6/Q5+1.16*0.18))^2)^0.5</f>
        <v/>
      </c>
      <c r="E16" t="n">
        <v>24362</v>
      </c>
      <c r="F16" t="inlineStr">
        <is>
          <t>N</t>
        </is>
      </c>
      <c r="J16" t="inlineStr">
        <is>
          <t>Part1</t>
        </is>
      </c>
      <c r="K16" s="14" t="n">
        <v>1.4</v>
      </c>
      <c r="L16" s="15" t="n">
        <v>8.56</v>
      </c>
      <c r="M16" s="15" t="n">
        <v>17.65</v>
      </c>
      <c r="N16" s="15" t="inlineStr">
        <is>
          <t>Stainless steel</t>
        </is>
      </c>
      <c r="O16" s="15" t="n">
        <v>0</v>
      </c>
      <c r="P16" s="15" t="n">
        <v>0</v>
      </c>
      <c r="Q16" s="32">
        <f>AVERAGE(O16:P16)</f>
        <v/>
      </c>
      <c r="R16" s="16" t="n">
        <v>199000</v>
      </c>
      <c r="S16" s="35" t="inlineStr">
        <is>
          <t>Manual entries</t>
        </is>
      </c>
    </row>
    <row customHeight="1" ht="18.75" r="17" s="11">
      <c r="A17" s="1" t="n"/>
      <c r="J17" t="inlineStr">
        <is>
          <t>Part2</t>
        </is>
      </c>
      <c r="K17" s="17" t="n">
        <v>7</v>
      </c>
      <c r="L17" s="18" t="n">
        <v>9</v>
      </c>
      <c r="M17" s="18" t="n">
        <v>12</v>
      </c>
      <c r="N17" s="18" t="inlineStr">
        <is>
          <t>Steel</t>
        </is>
      </c>
      <c r="O17" s="18" t="n">
        <v>0</v>
      </c>
      <c r="P17" s="18" t="n">
        <v>0</v>
      </c>
      <c r="Q17" s="33">
        <f>AVERAGE(O17:P17)</f>
        <v/>
      </c>
      <c r="R17" s="19" t="n">
        <v>210000</v>
      </c>
      <c r="S17" s="37" t="n"/>
    </row>
    <row customHeight="1" ht="18.75" r="18" s="11">
      <c r="A18" s="31" t="inlineStr">
        <is>
          <t>Tightening calculation</t>
        </is>
      </c>
      <c r="G18" s="10" t="n"/>
      <c r="J18" t="inlineStr">
        <is>
          <t>Part3</t>
        </is>
      </c>
      <c r="K18" s="17" t="n">
        <v>3</v>
      </c>
      <c r="L18" s="18" t="n">
        <v>16.16</v>
      </c>
      <c r="M18" s="18" t="n">
        <v>15</v>
      </c>
      <c r="N18" s="18" t="inlineStr">
        <is>
          <t>Steel</t>
        </is>
      </c>
      <c r="O18" s="18" t="n">
        <v>0</v>
      </c>
      <c r="P18" s="18" t="n">
        <v>0</v>
      </c>
      <c r="Q18" s="33">
        <f>AVERAGE(O18:P18)</f>
        <v/>
      </c>
      <c r="R18" s="19" t="n">
        <v>210000</v>
      </c>
      <c r="S18" s="37" t="n"/>
    </row>
    <row customHeight="1" ht="18.75" r="19" s="11">
      <c r="A19" s="1" t="inlineStr">
        <is>
          <t>Min achieved preload</t>
        </is>
      </c>
      <c r="B19" t="inlineStr">
        <is>
          <t>F0(-)</t>
        </is>
      </c>
      <c r="C19" s="10">
        <f>L44*0.8*1000/(0.159*L6 + 0.577*0.18*Q5 +0.5* 0.18*L4)</f>
        <v/>
      </c>
      <c r="E19" t="n">
        <v>10443</v>
      </c>
      <c r="G19" s="10" t="n"/>
      <c r="J19" t="inlineStr">
        <is>
          <t>Part4</t>
        </is>
      </c>
      <c r="K19" s="17" t="n">
        <v>2</v>
      </c>
      <c r="L19" s="18" t="n">
        <v>11</v>
      </c>
      <c r="M19" s="18" t="n">
        <v>13</v>
      </c>
      <c r="N19" s="18" t="inlineStr">
        <is>
          <t>Stainless steel</t>
        </is>
      </c>
      <c r="O19" s="18" t="n">
        <v>0</v>
      </c>
      <c r="P19" s="18" t="n">
        <v>0</v>
      </c>
      <c r="Q19" s="33">
        <f>AVERAGE(O19:P19)</f>
        <v/>
      </c>
      <c r="R19" s="19" t="n">
        <v>200000</v>
      </c>
      <c r="S19" s="37" t="n"/>
    </row>
    <row customHeight="1" ht="18.75" r="20" s="11">
      <c r="A20" s="1" t="inlineStr">
        <is>
          <t>Nominal achieved preload</t>
        </is>
      </c>
      <c r="B20" t="inlineStr">
        <is>
          <t>F0</t>
        </is>
      </c>
      <c r="C20" s="10">
        <f>L44*1000/(0.159*L6 + 0.577*0.15*Q5 +0.5* 0.15*L4)</f>
        <v/>
      </c>
      <c r="E20" t="n">
        <v>16343</v>
      </c>
      <c r="G20" s="10" t="n"/>
      <c r="J20" t="inlineStr">
        <is>
          <t>Part5</t>
        </is>
      </c>
      <c r="K20" s="17" t="n">
        <v>0</v>
      </c>
      <c r="L20" s="18" t="n"/>
      <c r="M20" s="18" t="n"/>
      <c r="N20" s="18" t="n"/>
      <c r="O20" s="18" t="n">
        <v>0</v>
      </c>
      <c r="P20" s="18" t="n">
        <v>0</v>
      </c>
      <c r="Q20" s="33">
        <f>AVERAGE(O20:P20)</f>
        <v/>
      </c>
      <c r="R20" s="19" t="n">
        <v>1</v>
      </c>
      <c r="S20" s="37" t="n"/>
    </row>
    <row customHeight="1" ht="18.75" r="21" s="11">
      <c r="A21" s="1" t="inlineStr">
        <is>
          <t>Max achieved preload</t>
        </is>
      </c>
      <c r="B21" t="inlineStr">
        <is>
          <t>F0(+)</t>
        </is>
      </c>
      <c r="C21" s="10">
        <f>L44*1.2*1000/(0.159*L6 + 0.577*0.12*Q5 +0.5* 0.12*L4)</f>
        <v/>
      </c>
      <c r="E21" t="n">
        <v>24362</v>
      </c>
      <c r="J21" t="inlineStr">
        <is>
          <t>Part6</t>
        </is>
      </c>
      <c r="K21" s="17" t="n">
        <v>0</v>
      </c>
      <c r="L21" s="18" t="n"/>
      <c r="M21" s="18" t="n"/>
      <c r="N21" s="18" t="n"/>
      <c r="O21" s="18" t="n">
        <v>0</v>
      </c>
      <c r="P21" s="18" t="n">
        <v>0</v>
      </c>
      <c r="Q21" s="33">
        <f>AVERAGE(O21:P21)</f>
        <v/>
      </c>
      <c r="R21" s="19" t="n">
        <v>1</v>
      </c>
      <c r="S21" s="37" t="n"/>
    </row>
    <row customHeight="1" ht="18.75" r="22" s="11">
      <c r="A22" s="1" t="n"/>
      <c r="B22" t="inlineStr">
        <is>
          <t>alpha</t>
        </is>
      </c>
      <c r="C22" s="2">
        <f>C21/C19</f>
        <v/>
      </c>
      <c r="E22" t="n">
        <v>2.33</v>
      </c>
      <c r="J22" t="inlineStr">
        <is>
          <t>Part7</t>
        </is>
      </c>
      <c r="K22" s="17" t="n">
        <v>0</v>
      </c>
      <c r="L22" s="18" t="n"/>
      <c r="M22" s="18" t="n"/>
      <c r="N22" s="18" t="n"/>
      <c r="O22" s="18" t="n">
        <v>0</v>
      </c>
      <c r="P22" s="18" t="n">
        <v>0</v>
      </c>
      <c r="Q22" s="33">
        <f>AVERAGE(O22:P22)</f>
        <v/>
      </c>
      <c r="R22" s="19" t="n">
        <v>1</v>
      </c>
      <c r="S22" s="37" t="n"/>
    </row>
    <row customHeight="1" ht="18.75" r="23" s="11">
      <c r="A23" s="1" t="n"/>
      <c r="J23" t="inlineStr">
        <is>
          <t>Part8</t>
        </is>
      </c>
      <c r="K23" s="17" t="n">
        <v>0</v>
      </c>
      <c r="L23" s="18" t="n"/>
      <c r="M23" s="18" t="n"/>
      <c r="N23" s="18" t="n"/>
      <c r="O23" s="18" t="n">
        <v>0</v>
      </c>
      <c r="P23" s="18" t="n">
        <v>0</v>
      </c>
      <c r="Q23" s="33">
        <f>AVERAGE(O23:P23)</f>
        <v/>
      </c>
      <c r="R23" s="19" t="n">
        <v>1</v>
      </c>
      <c r="S23" s="37" t="n"/>
    </row>
    <row customHeight="1" ht="18.75" r="24" s="11">
      <c r="A24" s="1" t="inlineStr">
        <is>
          <t>Elastic reserve of the screw</t>
        </is>
      </c>
      <c r="J24" t="inlineStr">
        <is>
          <t>Part9</t>
        </is>
      </c>
      <c r="K24" s="17" t="n">
        <v>0</v>
      </c>
      <c r="L24" s="18" t="n"/>
      <c r="M24" s="18" t="n"/>
      <c r="N24" s="18" t="n"/>
      <c r="O24" s="18" t="n">
        <v>0</v>
      </c>
      <c r="P24" s="18" t="n">
        <v>0</v>
      </c>
      <c r="Q24" s="33">
        <f>AVERAGE(O24:P24)</f>
        <v/>
      </c>
      <c r="R24" s="19" t="n">
        <v>1</v>
      </c>
      <c r="S24" s="37" t="n"/>
    </row>
    <row customHeight="1" ht="19.5" r="25" s="11" thickBot="1">
      <c r="A25" s="1" t="inlineStr">
        <is>
          <t>Mean elongation</t>
        </is>
      </c>
      <c r="B25" s="5" t="inlineStr">
        <is>
          <t>Δlb</t>
        </is>
      </c>
      <c r="C25" s="10">
        <f>C20*C2*1000</f>
        <v/>
      </c>
      <c r="D25" s="5" t="inlineStr">
        <is>
          <t>µm</t>
        </is>
      </c>
      <c r="E25" t="n">
        <v>50</v>
      </c>
      <c r="J25" t="inlineStr">
        <is>
          <t>Part10</t>
        </is>
      </c>
      <c r="K25" s="20" t="n">
        <v>0</v>
      </c>
      <c r="L25" s="21" t="n"/>
      <c r="M25" s="21" t="n"/>
      <c r="N25" s="21" t="n"/>
      <c r="O25" s="21" t="n">
        <v>0</v>
      </c>
      <c r="P25" s="21" t="n">
        <v>0</v>
      </c>
      <c r="Q25" s="34">
        <f>AVERAGE(O25:P25)</f>
        <v/>
      </c>
      <c r="R25" s="22" t="n">
        <v>1</v>
      </c>
      <c r="S25" s="37" t="n"/>
    </row>
    <row customHeight="1" ht="18.75" r="26" s="11">
      <c r="A26" s="1" t="n"/>
      <c r="J26" s="12" t="inlineStr">
        <is>
          <t>Clamp length (Lp)</t>
        </is>
      </c>
      <c r="K26" s="23">
        <f>SUM(K16:K25)</f>
        <v/>
      </c>
      <c r="L26" s="24" t="inlineStr">
        <is>
          <t>mm</t>
        </is>
      </c>
      <c r="M26" s="24" t="n"/>
      <c r="N26" s="24" t="n"/>
      <c r="O26" s="24" t="n"/>
      <c r="P26" s="24" t="n"/>
      <c r="Q26" s="24" t="n"/>
      <c r="R26" s="24" t="n"/>
    </row>
    <row customHeight="1" ht="18.75" r="27" s="11">
      <c r="A27" s="1" t="inlineStr">
        <is>
          <t>Maximum stress in screw due to preload</t>
        </is>
      </c>
      <c r="B27" s="5" t="inlineStr">
        <is>
          <t>σPbmax</t>
        </is>
      </c>
      <c r="C27" s="10">
        <f>C21/L10</f>
        <v/>
      </c>
      <c r="D27" t="inlineStr">
        <is>
          <t>Mpa</t>
        </is>
      </c>
      <c r="E27" t="n">
        <v>686</v>
      </c>
      <c r="J27" t="inlineStr">
        <is>
          <t>dheq</t>
        </is>
      </c>
      <c r="K27" s="28">
        <f>(K16*L16+K17*L17+K18*L18+K19*L19+K20*L20+K21*L21+K22*L22+K23*L23+K24*L24+K25*L25)/K26</f>
        <v/>
      </c>
      <c r="L27" t="inlineStr">
        <is>
          <t>mm</t>
        </is>
      </c>
    </row>
    <row customHeight="1" ht="18.75" r="28" s="11">
      <c r="A28" s="1" t="inlineStr">
        <is>
          <t>Max stress in screw due to external tensile load</t>
        </is>
      </c>
      <c r="B28" s="5" t="inlineStr">
        <is>
          <t>σLbmax</t>
        </is>
      </c>
      <c r="C28" s="10">
        <f>C8/L10</f>
        <v/>
      </c>
      <c r="D28" t="inlineStr">
        <is>
          <t>MPa</t>
        </is>
      </c>
      <c r="E28" t="n">
        <v>6</v>
      </c>
      <c r="J28" t="inlineStr">
        <is>
          <t>X</t>
        </is>
      </c>
      <c r="K28" s="28">
        <f>((K26*L4)/(K26+L4)^2)^(1/3)</f>
        <v/>
      </c>
    </row>
    <row customHeight="1" ht="18.75" r="29" s="11">
      <c r="A29" s="1" t="inlineStr">
        <is>
          <t>Maximum total tensile stress in bolt</t>
        </is>
      </c>
      <c r="B29" s="5" t="inlineStr">
        <is>
          <t>σTbmax</t>
        </is>
      </c>
      <c r="C29" s="10">
        <f>SUM(C27:C28)</f>
        <v/>
      </c>
      <c r="D29" t="inlineStr">
        <is>
          <t>MPa</t>
        </is>
      </c>
      <c r="E29" t="n">
        <v>692</v>
      </c>
      <c r="J29" t="inlineStr">
        <is>
          <t>seq</t>
        </is>
      </c>
      <c r="K29" s="28">
        <f>(PI()*(L4^2 -K27^2)/4) + (PI()*L4*K26*(K28+2)*K28/8)</f>
        <v/>
      </c>
    </row>
    <row customHeight="1" ht="18.75" r="30" s="11">
      <c r="A30" s="1" t="inlineStr">
        <is>
          <t>Maximum torsional stress in screw due to tightening</t>
        </is>
      </c>
      <c r="B30" s="5" t="inlineStr">
        <is>
          <t>τbmax</t>
        </is>
      </c>
      <c r="C30" s="10">
        <f>16*C21*(0.159*L6+0.577*0.12*L5)/(PI()*L12^3)</f>
        <v/>
      </c>
      <c r="D30" t="inlineStr">
        <is>
          <t>MPa</t>
        </is>
      </c>
      <c r="E30" t="n">
        <v>281</v>
      </c>
      <c r="V30" t="inlineStr">
        <is>
          <t>Axial force</t>
        </is>
      </c>
    </row>
    <row customHeight="1" ht="18.75" r="31" s="11">
      <c r="A31" s="1" t="inlineStr">
        <is>
          <t>Maximum equivalent stress in screw</t>
        </is>
      </c>
      <c r="B31" s="5" t="inlineStr">
        <is>
          <t>σbequmax</t>
        </is>
      </c>
      <c r="C31" s="10">
        <f>SQRT(C29^2+3*C30^2)</f>
        <v/>
      </c>
      <c r="D31" t="inlineStr">
        <is>
          <t>MPa</t>
        </is>
      </c>
      <c r="E31" t="n">
        <v>846</v>
      </c>
      <c r="J31" s="13" t="inlineStr">
        <is>
          <t>Threaded part</t>
        </is>
      </c>
      <c r="V31" t="inlineStr">
        <is>
          <t>Shear force</t>
        </is>
      </c>
    </row>
    <row customHeight="1" ht="18.75" r="32" s="11">
      <c r="A32" s="1" t="n"/>
      <c r="J32" t="inlineStr">
        <is>
          <t>Nut Height</t>
        </is>
      </c>
      <c r="K32" t="inlineStr">
        <is>
          <t>Hn</t>
        </is>
      </c>
      <c r="L32" s="7" t="n">
        <v>6</v>
      </c>
      <c r="M32" t="inlineStr">
        <is>
          <t>mm</t>
        </is>
      </c>
    </row>
    <row customHeight="1" ht="18.75" r="33" s="11">
      <c r="A33" s="1" t="inlineStr">
        <is>
          <t>Effective thread length of engagement</t>
        </is>
      </c>
      <c r="B33" t="inlineStr">
        <is>
          <t>Lteff</t>
        </is>
      </c>
      <c r="C33">
        <f>L32</f>
        <v/>
      </c>
      <c r="D33" t="inlineStr">
        <is>
          <t>mm</t>
        </is>
      </c>
      <c r="J33" t="inlineStr">
        <is>
          <t>Bearing dia/min distance of flat faces</t>
        </is>
      </c>
      <c r="K33" t="inlineStr">
        <is>
          <t>Dtmin</t>
        </is>
      </c>
      <c r="L33" s="7" t="n">
        <v>22</v>
      </c>
      <c r="M33" t="inlineStr">
        <is>
          <t>mm</t>
        </is>
      </c>
    </row>
    <row customHeight="1" ht="18.75" r="34" s="11">
      <c r="A34" s="1" t="inlineStr">
        <is>
          <t>Minimum length of thread engagement</t>
        </is>
      </c>
      <c r="B34" t="inlineStr">
        <is>
          <t>Ltmin</t>
        </is>
      </c>
      <c r="C34" s="26" t="n"/>
      <c r="D34" t="inlineStr">
        <is>
          <t>mm</t>
        </is>
      </c>
      <c r="K34" t="inlineStr">
        <is>
          <t>Dtmin/d</t>
        </is>
      </c>
      <c r="L34" s="7">
        <f>L33/L5</f>
        <v/>
      </c>
      <c r="M34" t="inlineStr">
        <is>
          <t>mm</t>
        </is>
      </c>
    </row>
    <row customHeight="1" ht="18.75" r="35" s="11">
      <c r="A35" s="1" t="inlineStr">
        <is>
          <t>Recommended length of thread engagement</t>
        </is>
      </c>
      <c r="B35" t="inlineStr">
        <is>
          <t>Ltrec</t>
        </is>
      </c>
      <c r="C35" s="26" t="n"/>
      <c r="D35" t="inlineStr">
        <is>
          <t>mm</t>
        </is>
      </c>
      <c r="K35" t="inlineStr">
        <is>
          <t>Re</t>
        </is>
      </c>
      <c r="L35" s="7" t="n">
        <v>500</v>
      </c>
      <c r="M35" t="inlineStr">
        <is>
          <t>MPa</t>
        </is>
      </c>
      <c r="N35" t="inlineStr">
        <is>
          <t>Recmin</t>
        </is>
      </c>
      <c r="O35">
        <f>(L35+L36)/2</f>
        <v/>
      </c>
      <c r="P35" t="inlineStr">
        <is>
          <t>MPa</t>
        </is>
      </c>
    </row>
    <row r="36">
      <c r="K36" t="inlineStr">
        <is>
          <t>Rm</t>
        </is>
      </c>
      <c r="L36" s="7" t="n">
        <v>550</v>
      </c>
      <c r="M36" t="inlineStr">
        <is>
          <t>MPa</t>
        </is>
      </c>
      <c r="N36" s="5" t="inlineStr">
        <is>
          <t>τnmin</t>
        </is>
      </c>
      <c r="O36" s="10">
        <f>0.577*L35</f>
        <v/>
      </c>
      <c r="P36" s="5" t="inlineStr">
        <is>
          <t>MPa</t>
        </is>
      </c>
    </row>
    <row customHeight="1" ht="18.75" r="37" s="11">
      <c r="A37" s="1" t="inlineStr">
        <is>
          <t>Maximum tensile yield strength of screw</t>
        </is>
      </c>
      <c r="B37" t="inlineStr">
        <is>
          <t>Fes</t>
        </is>
      </c>
      <c r="C37" s="10">
        <f>L7*L10</f>
        <v/>
      </c>
      <c r="D37" t="inlineStr">
        <is>
          <t>N</t>
        </is>
      </c>
      <c r="E37" t="n">
        <v>40243</v>
      </c>
      <c r="J37" t="inlineStr">
        <is>
          <t>Thead shear area of nut</t>
        </is>
      </c>
      <c r="K37" t="inlineStr">
        <is>
          <t>Asn</t>
        </is>
      </c>
      <c r="L37" s="9">
        <f>C33*PI()*O5*(L6/2 + (L5-Q5)/3^0.5)/L6</f>
        <v/>
      </c>
      <c r="M37" t="inlineStr">
        <is>
          <t>mm^2</t>
        </is>
      </c>
    </row>
    <row customHeight="1" ht="18.75" r="38" s="11">
      <c r="A38" s="1" t="inlineStr">
        <is>
          <t>Shear stripping load on fastener</t>
        </is>
      </c>
      <c r="B38" t="inlineStr">
        <is>
          <t>FSs</t>
        </is>
      </c>
      <c r="C38" s="10">
        <f>0.577*L52*L53*L7*L11</f>
        <v/>
      </c>
      <c r="D38" t="inlineStr">
        <is>
          <t>N</t>
        </is>
      </c>
      <c r="E38" t="n">
        <v>44321</v>
      </c>
    </row>
    <row customHeight="1" ht="18.75" r="39" s="11">
      <c r="A39" s="1" t="inlineStr">
        <is>
          <t>Shear stripping load on tapped part</t>
        </is>
      </c>
      <c r="B39" t="inlineStr">
        <is>
          <t>FSn</t>
        </is>
      </c>
      <c r="C39" s="10">
        <f>L35*L52*L54*0.577*L37</f>
        <v/>
      </c>
      <c r="D39" t="inlineStr">
        <is>
          <t>N</t>
        </is>
      </c>
      <c r="E39" t="n">
        <v>31907</v>
      </c>
      <c r="J39" s="13" t="inlineStr">
        <is>
          <t>External data</t>
        </is>
      </c>
    </row>
    <row customHeight="1" ht="18.75" r="40" s="11">
      <c r="A40" s="1" t="inlineStr">
        <is>
          <t>Minimum failure load</t>
        </is>
      </c>
      <c r="B40" t="inlineStr">
        <is>
          <t>Ffmin</t>
        </is>
      </c>
      <c r="C40" s="10">
        <f>MIN(C37:C39)</f>
        <v/>
      </c>
      <c r="D40" t="inlineStr">
        <is>
          <t>N</t>
        </is>
      </c>
      <c r="E40" s="10">
        <f>MIN(E37:E39)</f>
        <v/>
      </c>
      <c r="I40" s="10" t="n"/>
      <c r="J40" t="inlineStr">
        <is>
          <t>Axial force</t>
        </is>
      </c>
      <c r="K40" t="inlineStr">
        <is>
          <t>Fa</t>
        </is>
      </c>
      <c r="L40" s="7" t="n">
        <v>2709</v>
      </c>
      <c r="M40" t="inlineStr">
        <is>
          <t>N</t>
        </is>
      </c>
      <c r="P40" s="36" t="inlineStr">
        <is>
          <t>Manual entries</t>
        </is>
      </c>
    </row>
    <row r="41">
      <c r="J41" t="inlineStr">
        <is>
          <t>Shear force</t>
        </is>
      </c>
      <c r="K41" t="inlineStr">
        <is>
          <t>Ft</t>
        </is>
      </c>
      <c r="L41" s="7" t="n">
        <v>1172</v>
      </c>
      <c r="M41" t="inlineStr">
        <is>
          <t>N</t>
        </is>
      </c>
    </row>
    <row r="42">
      <c r="J42" t="inlineStr">
        <is>
          <t>Load introduction factor</t>
        </is>
      </c>
      <c r="K42" s="5" t="inlineStr">
        <is>
          <t>β</t>
        </is>
      </c>
      <c r="L42" s="7" t="n">
        <v>0.5</v>
      </c>
    </row>
    <row r="43">
      <c r="J43" t="inlineStr">
        <is>
          <t>Co-efficient of friction (sliding faces)</t>
        </is>
      </c>
      <c r="K43" s="5" t="inlineStr">
        <is>
          <t>µmin</t>
        </is>
      </c>
      <c r="L43" s="7" t="n">
        <v>0.2</v>
      </c>
    </row>
    <row r="44">
      <c r="J44" t="inlineStr">
        <is>
          <t>Applied torque</t>
        </is>
      </c>
      <c r="K44" s="5" t="inlineStr">
        <is>
          <t>T</t>
        </is>
      </c>
      <c r="L44" s="7" t="n">
        <v>26</v>
      </c>
      <c r="M44" t="inlineStr">
        <is>
          <t>Nm</t>
        </is>
      </c>
    </row>
    <row r="45">
      <c r="J45" t="inlineStr">
        <is>
          <t>Tightening torque accuracy</t>
        </is>
      </c>
      <c r="K45" s="5" t="inlineStr">
        <is>
          <t>ΔT/T</t>
        </is>
      </c>
      <c r="L45" s="29" t="n">
        <v>0.2</v>
      </c>
    </row>
    <row r="46">
      <c r="L46" s="24" t="inlineStr">
        <is>
          <t>µ</t>
        </is>
      </c>
      <c r="M46" s="24" t="inlineStr">
        <is>
          <t>Δµ</t>
        </is>
      </c>
      <c r="N46" t="inlineStr">
        <is>
          <t>µ+</t>
        </is>
      </c>
      <c r="O46" t="inlineStr">
        <is>
          <t>µ-</t>
        </is>
      </c>
    </row>
    <row r="47">
      <c r="J47" t="inlineStr">
        <is>
          <t>Thread coefficient of friction</t>
        </is>
      </c>
      <c r="K47" t="inlineStr">
        <is>
          <t>µt ± Δµt</t>
        </is>
      </c>
      <c r="L47" s="27" t="n">
        <v>0.15</v>
      </c>
      <c r="M47" s="27" t="n">
        <v>0.03</v>
      </c>
      <c r="N47" s="24">
        <f>L47+M47</f>
        <v/>
      </c>
      <c r="O47" s="24">
        <f>L47-M47</f>
        <v/>
      </c>
    </row>
    <row r="48">
      <c r="J48" t="inlineStr">
        <is>
          <t>Friction co-efficient under the driven element</t>
        </is>
      </c>
      <c r="K48" t="inlineStr">
        <is>
          <t>µb ± Δµb</t>
        </is>
      </c>
      <c r="L48" s="27" t="n">
        <v>0.15</v>
      </c>
      <c r="M48" s="27" t="n">
        <v>0.03</v>
      </c>
      <c r="N48" s="24">
        <f>L48+M48</f>
        <v/>
      </c>
      <c r="O48" s="24">
        <f>L48-M48</f>
        <v/>
      </c>
    </row>
    <row r="49">
      <c r="J49" t="inlineStr">
        <is>
          <t>Equivalent stress tightening ratio</t>
        </is>
      </c>
      <c r="K49" s="5" t="inlineStr">
        <is>
          <t>γE</t>
        </is>
      </c>
      <c r="L49" s="30" t="n">
        <v>0.9</v>
      </c>
      <c r="M49" t="inlineStr">
        <is>
          <t>Re</t>
        </is>
      </c>
    </row>
    <row r="51">
      <c r="J51" s="13" t="inlineStr">
        <is>
          <t>Other require parameters</t>
        </is>
      </c>
    </row>
    <row r="52">
      <c r="K52" t="inlineStr">
        <is>
          <t>C1</t>
        </is>
      </c>
      <c r="L52">
        <f>IF(L34&lt;=1.9,-L34^2+3.8*L34-2.61,1)</f>
        <v/>
      </c>
    </row>
    <row r="53">
      <c r="K53" t="inlineStr">
        <is>
          <t>C2</t>
        </is>
      </c>
      <c r="L53">
        <f>IF(L55&lt;=1,0.897,IF(L55&gt;=2.2,1.187,5.594-13.682*L55+14.107*L55^2-6.057*L55^3+0.9353*L55^4))</f>
        <v/>
      </c>
    </row>
    <row r="54">
      <c r="K54" t="inlineStr">
        <is>
          <t>C3</t>
        </is>
      </c>
      <c r="L54">
        <f>IF(L55&lt;=0.4,1.055,IF(L55&gt;=1,0.897,0.728+1.769*L55-2.896*L55^2 +1.296*L55^3))</f>
        <v/>
      </c>
    </row>
    <row r="55">
      <c r="K55" t="inlineStr">
        <is>
          <t>Rτ</t>
        </is>
      </c>
      <c r="L55">
        <f>O36*L37/(O8*L11*0.97)</f>
        <v/>
      </c>
    </row>
  </sheetData>
  <mergeCells count="2">
    <mergeCell ref="S16:S25"/>
    <mergeCell ref="P40:P49"/>
  </mergeCells>
  <pageMargins bottom="0.75" footer="0.3" header="0.3" left="0.7" right="0.7" top="0.75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2019-07-01T06:21:04Z</dcterms:modified>
</cp:coreProperties>
</file>