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/>
  <mc:AlternateContent xmlns:mc="http://schemas.openxmlformats.org/markup-compatibility/2006">
    <mc:Choice Requires="x15">
      <x15ac:absPath xmlns:x15ac="http://schemas.microsoft.com/office/spreadsheetml/2010/11/ac" url="C:\Users\rapon\PycharmProjects\boltcalc\"/>
    </mc:Choice>
  </mc:AlternateContent>
  <xr:revisionPtr revIDLastSave="0" documentId="13_ncr:1_{4C457CBF-4A27-4269-A639-98855F028357}" xr6:coauthVersionLast="43" xr6:coauthVersionMax="43" xr10:uidLastSave="{00000000-0000-0000-0000-000000000000}"/>
  <bookViews>
    <workbookView xWindow="-120" yWindow="330" windowWidth="29040" windowHeight="15990" xr2:uid="{00000000-000D-0000-FFFF-FFFF00000000}"/>
  </bookViews>
  <sheets>
    <sheet name="calcula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48" i="1" l="1"/>
  <c r="N48" i="1"/>
  <c r="O47" i="1"/>
  <c r="N47" i="1"/>
  <c r="B45" i="1"/>
  <c r="D45" i="1" s="1"/>
  <c r="O36" i="1"/>
  <c r="O35" i="1"/>
  <c r="L34" i="1"/>
  <c r="L52" i="1" s="1"/>
  <c r="C33" i="1"/>
  <c r="L37" i="1" s="1"/>
  <c r="K26" i="1"/>
  <c r="K27" i="1" s="1"/>
  <c r="Q25" i="1"/>
  <c r="Q24" i="1"/>
  <c r="Q23" i="1"/>
  <c r="Q22" i="1"/>
  <c r="Q21" i="1"/>
  <c r="C21" i="1"/>
  <c r="C22" i="1" s="1"/>
  <c r="Q20" i="1"/>
  <c r="C20" i="1"/>
  <c r="Q19" i="1"/>
  <c r="Q18" i="1"/>
  <c r="B47" i="1" s="1"/>
  <c r="D47" i="1" s="1"/>
  <c r="Q17" i="1"/>
  <c r="B46" i="1" s="1"/>
  <c r="D46" i="1" s="1"/>
  <c r="Q16" i="1"/>
  <c r="B44" i="1" s="1"/>
  <c r="L12" i="1"/>
  <c r="O8" i="1"/>
  <c r="O7" i="1"/>
  <c r="B94" i="1" s="1"/>
  <c r="C6" i="1"/>
  <c r="S5" i="1"/>
  <c r="Q5" i="1"/>
  <c r="C19" i="1" s="1"/>
  <c r="O5" i="1"/>
  <c r="L11" i="1" s="1"/>
  <c r="G4" i="1"/>
  <c r="G2" i="1"/>
  <c r="L55" i="1" l="1"/>
  <c r="K29" i="1"/>
  <c r="C3" i="1" s="1"/>
  <c r="C4" i="1" s="1"/>
  <c r="C2" i="1"/>
  <c r="C25" i="1" s="1"/>
  <c r="D94" i="1"/>
  <c r="D44" i="1"/>
  <c r="G3" i="1"/>
  <c r="K28" i="1"/>
  <c r="C30" i="1"/>
  <c r="L10" i="1"/>
  <c r="C11" i="1"/>
  <c r="C27" i="1"/>
  <c r="C12" i="1" l="1"/>
  <c r="C16" i="1"/>
  <c r="E21" i="1" s="1"/>
  <c r="C37" i="1"/>
  <c r="C7" i="1"/>
  <c r="C10" i="1" s="1"/>
  <c r="C15" i="1" s="1"/>
  <c r="E19" i="1" s="1"/>
  <c r="C8" i="1"/>
  <c r="C28" i="1" s="1"/>
  <c r="C29" i="1" s="1"/>
  <c r="C31" i="1" s="1"/>
  <c r="L54" i="1"/>
  <c r="C39" i="1" s="1"/>
  <c r="L53" i="1"/>
  <c r="C38" i="1" s="1"/>
  <c r="C40" i="1" l="1"/>
</calcChain>
</file>

<file path=xl/sharedStrings.xml><?xml version="1.0" encoding="utf-8"?>
<sst xmlns="http://schemas.openxmlformats.org/spreadsheetml/2006/main" count="213" uniqueCount="167">
  <si>
    <t>Calculated</t>
  </si>
  <si>
    <t>Bolt/screw data</t>
  </si>
  <si>
    <t>Tensile resilience of screw /bolt</t>
  </si>
  <si>
    <t>δb_bolt head</t>
  </si>
  <si>
    <t>Bolt head height</t>
  </si>
  <si>
    <t>Hh</t>
  </si>
  <si>
    <t>mm</t>
  </si>
  <si>
    <t>Compressive resilience of parts</t>
  </si>
  <si>
    <t>δb_clamped</t>
  </si>
  <si>
    <t>Young's modulus of bolt</t>
  </si>
  <si>
    <t>Eb</t>
  </si>
  <si>
    <t>MPa</t>
  </si>
  <si>
    <t>load factor</t>
  </si>
  <si>
    <t>λ</t>
  </si>
  <si>
    <t>δb_Nut side</t>
  </si>
  <si>
    <t>Bearing dia of bolt</t>
  </si>
  <si>
    <t>dw</t>
  </si>
  <si>
    <t>Dia of bolt</t>
  </si>
  <si>
    <t>d</t>
  </si>
  <si>
    <t>d1 (mm)</t>
  </si>
  <si>
    <t>d2 (mm)</t>
  </si>
  <si>
    <t>d3 (mm)</t>
  </si>
  <si>
    <t>Transverse force</t>
  </si>
  <si>
    <t>Fot</t>
  </si>
  <si>
    <t>Bolt</t>
  </si>
  <si>
    <t>standard</t>
  </si>
  <si>
    <t>Pitch</t>
  </si>
  <si>
    <t>p</t>
  </si>
  <si>
    <t>Tensile force</t>
  </si>
  <si>
    <t>Foa</t>
  </si>
  <si>
    <t>Threaded part</t>
  </si>
  <si>
    <t>Yield limit of bolt</t>
  </si>
  <si>
    <t>Re</t>
  </si>
  <si>
    <t>Recmin</t>
  </si>
  <si>
    <t>Compressive force</t>
  </si>
  <si>
    <t>Fob</t>
  </si>
  <si>
    <t>Ultimate limit of bolt</t>
  </si>
  <si>
    <t>Rm</t>
  </si>
  <si>
    <t>τsmin</t>
  </si>
  <si>
    <t>Length of bolt</t>
  </si>
  <si>
    <t>L</t>
  </si>
  <si>
    <t>Minumum functional preload</t>
  </si>
  <si>
    <t>Fof</t>
  </si>
  <si>
    <t>non standard</t>
  </si>
  <si>
    <t>Shear area of bolt</t>
  </si>
  <si>
    <t>As</t>
  </si>
  <si>
    <t>mm^2</t>
  </si>
  <si>
    <t>ΔLe</t>
  </si>
  <si>
    <t>Thread shear area of fastener</t>
  </si>
  <si>
    <t>Ass</t>
  </si>
  <si>
    <t>Loss of preload</t>
  </si>
  <si>
    <t>ΔFz</t>
  </si>
  <si>
    <t>Shear dia of bolt</t>
  </si>
  <si>
    <t>ds</t>
  </si>
  <si>
    <t>Preload Range</t>
  </si>
  <si>
    <t>Clamped parts</t>
  </si>
  <si>
    <t>Minimum required preload</t>
  </si>
  <si>
    <t>F0min</t>
  </si>
  <si>
    <t>Thickness(Lp)</t>
  </si>
  <si>
    <t>Inner dia (d)</t>
  </si>
  <si>
    <t>Effective outer dia(D)</t>
  </si>
  <si>
    <t>Material Name</t>
  </si>
  <si>
    <t>Yield</t>
  </si>
  <si>
    <t>Ultimate</t>
  </si>
  <si>
    <t>E</t>
  </si>
  <si>
    <t>Max allowable preload</t>
  </si>
  <si>
    <t>Fomax</t>
  </si>
  <si>
    <t>Part1</t>
  </si>
  <si>
    <t>ss</t>
  </si>
  <si>
    <t>Manual entries</t>
  </si>
  <si>
    <t>Part2</t>
  </si>
  <si>
    <t>Tightening calculation</t>
  </si>
  <si>
    <t>Part3</t>
  </si>
  <si>
    <t>Min achieved preload</t>
  </si>
  <si>
    <t>F0(-)</t>
  </si>
  <si>
    <t>Part4</t>
  </si>
  <si>
    <t>Nominal achieved preload</t>
  </si>
  <si>
    <t>F0</t>
  </si>
  <si>
    <t>Part5</t>
  </si>
  <si>
    <t>Max achieved preload</t>
  </si>
  <si>
    <t>F0(+)</t>
  </si>
  <si>
    <t>Part6</t>
  </si>
  <si>
    <t>alpha</t>
  </si>
  <si>
    <t>Part7</t>
  </si>
  <si>
    <t>Part8</t>
  </si>
  <si>
    <t>Elastic reserve of the screw</t>
  </si>
  <si>
    <t>Part9</t>
  </si>
  <si>
    <t>Mean elongation</t>
  </si>
  <si>
    <t>Δlb</t>
  </si>
  <si>
    <t>µm</t>
  </si>
  <si>
    <t>Part10</t>
  </si>
  <si>
    <t>Clamp length (Lp)</t>
  </si>
  <si>
    <t>Maximum stress in screw due to preload</t>
  </si>
  <si>
    <t>σPbmax</t>
  </si>
  <si>
    <t>Mpa</t>
  </si>
  <si>
    <t>dheq</t>
  </si>
  <si>
    <t>Max stress in screw due to external tensile load</t>
  </si>
  <si>
    <t>σLbmax</t>
  </si>
  <si>
    <t>X</t>
  </si>
  <si>
    <t>Maximum total tensile stress in bolt</t>
  </si>
  <si>
    <t>σTbmax</t>
  </si>
  <si>
    <t>seq</t>
  </si>
  <si>
    <t>Maximum torsional stress in screw due to tightening</t>
  </si>
  <si>
    <t>τbmax</t>
  </si>
  <si>
    <t>Axial force</t>
  </si>
  <si>
    <t>Maximum equivalent stress in screw</t>
  </si>
  <si>
    <t>σbequmax</t>
  </si>
  <si>
    <t>Shear force</t>
  </si>
  <si>
    <t>Nut Height</t>
  </si>
  <si>
    <t>Hn</t>
  </si>
  <si>
    <t>Effective thread length of engagement</t>
  </si>
  <si>
    <t>Lteff</t>
  </si>
  <si>
    <t>Bearing dia/min distance of flat faces</t>
  </si>
  <si>
    <t>Dtmin</t>
  </si>
  <si>
    <t>Minimum length of thread engagement</t>
  </si>
  <si>
    <t>Ltmin</t>
  </si>
  <si>
    <t>Dtmin/d</t>
  </si>
  <si>
    <t>Recommended length of thread engagement</t>
  </si>
  <si>
    <t>Ltrec</t>
  </si>
  <si>
    <t>τnmin</t>
  </si>
  <si>
    <t>Maximum tensile yield strength of screw</t>
  </si>
  <si>
    <t>Fes</t>
  </si>
  <si>
    <t>N</t>
  </si>
  <si>
    <t>Thead shear area of nut</t>
  </si>
  <si>
    <t>Asn</t>
  </si>
  <si>
    <t>Shear stripping load on fastener</t>
  </si>
  <si>
    <t>FSs</t>
  </si>
  <si>
    <t>Shear stripping load on tapped part</t>
  </si>
  <si>
    <t>FSn</t>
  </si>
  <si>
    <t>External data</t>
  </si>
  <si>
    <t>Minimum failure load</t>
  </si>
  <si>
    <t>Ffmin</t>
  </si>
  <si>
    <t>Fa</t>
  </si>
  <si>
    <t>Ft</t>
  </si>
  <si>
    <t>Bearing pressure check</t>
  </si>
  <si>
    <t>Load introduction factor</t>
  </si>
  <si>
    <t>β</t>
  </si>
  <si>
    <t>Contact parts</t>
  </si>
  <si>
    <t>Allowable pressure</t>
  </si>
  <si>
    <t>Achieved pressure</t>
  </si>
  <si>
    <t>Comment</t>
  </si>
  <si>
    <t>Co-efficient of friction (sliding faces)</t>
  </si>
  <si>
    <t>µmin</t>
  </si>
  <si>
    <t>Part1/Part2</t>
  </si>
  <si>
    <t>Applied torque</t>
  </si>
  <si>
    <t>T</t>
  </si>
  <si>
    <t>Nm</t>
  </si>
  <si>
    <t>Part2/Threaded Part</t>
  </si>
  <si>
    <t>Tightening torque accuracy</t>
  </si>
  <si>
    <t>ΔT/T</t>
  </si>
  <si>
    <t>Part2/Part3</t>
  </si>
  <si>
    <t>µ</t>
  </si>
  <si>
    <t>Δµ</t>
  </si>
  <si>
    <t>µ+</t>
  </si>
  <si>
    <t>µ-</t>
  </si>
  <si>
    <t>Part3/Threaded Part</t>
  </si>
  <si>
    <t>Thread coefficient of friction</t>
  </si>
  <si>
    <t>µt ± Δµt</t>
  </si>
  <si>
    <t>Friction co-efficient under the driven element</t>
  </si>
  <si>
    <t>µb ± Δµb</t>
  </si>
  <si>
    <t>Equivalent stress tightening ratio</t>
  </si>
  <si>
    <t>γE</t>
  </si>
  <si>
    <t>Other require parameters</t>
  </si>
  <si>
    <t>C1</t>
  </si>
  <si>
    <t>C2</t>
  </si>
  <si>
    <t>C3</t>
  </si>
  <si>
    <t>Rτ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</si>
</sst>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/>
    <xf numFmtId="2" fontId="0" fillId="0" borderId="0" xfId="0" applyNumberFormat="1"/>
    <xf numFmtId="11" fontId="0" fillId="0" borderId="0" xfId="0" applyNumberFormat="1"/>
    <xf numFmtId="0" fontId="2" fillId="0" borderId="0" xfId="0" applyFont="1"/>
    <xf numFmtId="0" fontId="2" fillId="0" borderId="0" xfId="0" applyFont="1" applyAlignment="1">
      <alignment horizontal="center"/>
    </xf>
    <xf numFmtId="0" fontId="0" fillId="2" borderId="0" xfId="0" applyFill="1"/>
    <xf numFmtId="164" fontId="0" fillId="0" borderId="0" xfId="0" applyNumberFormat="1"/>
    <xf numFmtId="1" fontId="0" fillId="0" borderId="0" xfId="0" applyNumberFormat="1"/>
    <xf numFmtId="0" fontId="5" fillId="0" borderId="0" xfId="0" applyFont="1"/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4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3" fillId="3" borderId="0" xfId="0" applyFont="1" applyFill="1"/>
    <xf numFmtId="0" fontId="0" fillId="2" borderId="0" xfId="0" applyFill="1" applyAlignment="1">
      <alignment horizontal="center"/>
    </xf>
    <xf numFmtId="2" fontId="0" fillId="0" borderId="0" xfId="0" applyNumberFormat="1" applyAlignment="1">
      <alignment horizontal="center"/>
    </xf>
    <xf numFmtId="9" fontId="0" fillId="2" borderId="0" xfId="0" applyNumberFormat="1" applyFill="1"/>
    <xf numFmtId="9" fontId="0" fillId="2" borderId="0" xfId="0" applyNumberFormat="1" applyFill="1" applyAlignment="1">
      <alignment horizontal="center"/>
    </xf>
    <xf numFmtId="0" fontId="6" fillId="0" borderId="0" xfId="0" applyFont="1"/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4" fillId="0" borderId="0" xfId="0" applyFont="1"/>
    <xf numFmtId="0" fontId="4" fillId="0" borderId="2" xfId="0" applyFont="1" applyBorder="1"/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0" fontId="0" fillId="0" borderId="0" xfId="0" applyAlignment="1">
      <alignment horizontal="center" vertical="center" wrapText="1"/>
    </xf>
    <xf numFmtId="0" fontId="0" fillId="0" borderId="0" xfId="0"/>
    <xf numFmtId="0" fontId="4" fillId="0" borderId="1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13" xfId="0" applyFont="1" applyBorder="1" applyAlignment="1">
      <alignment horizontal="center"/>
    </xf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94"/>
  <sheetViews>
    <sheetView tabSelected="1" topLeftCell="A4" zoomScale="70" zoomScaleNormal="70" workbookViewId="0">
      <selection activeCell="A42" sqref="A42:D42"/>
    </sheetView>
  </sheetViews>
  <sheetFormatPr defaultRowHeight="15" x14ac:dyDescent="0.25"/>
  <cols>
    <col min="1" max="1" width="60.42578125" style="34" customWidth="1"/>
    <col min="2" max="2" width="18.42578125" style="34" bestFit="1" customWidth="1"/>
    <col min="3" max="3" width="22.85546875" style="34" bestFit="1" customWidth="1"/>
    <col min="4" max="4" width="9.7109375" style="34" bestFit="1" customWidth="1"/>
    <col min="5" max="5" width="9.7109375" style="34" customWidth="1"/>
    <col min="6" max="6" width="14.7109375" style="34" customWidth="1"/>
    <col min="7" max="7" width="12.140625" style="34" customWidth="1"/>
    <col min="8" max="9" width="3.140625" style="34" customWidth="1"/>
    <col min="10" max="10" width="42.85546875" style="34" bestFit="1" customWidth="1"/>
    <col min="11" max="11" width="13.140625" style="34" bestFit="1" customWidth="1"/>
    <col min="12" max="12" width="12" style="34" bestFit="1" customWidth="1"/>
    <col min="13" max="13" width="20.28515625" style="34" bestFit="1" customWidth="1"/>
    <col min="14" max="14" width="14.28515625" style="34" bestFit="1" customWidth="1"/>
  </cols>
  <sheetData>
    <row r="1" spans="1:19" x14ac:dyDescent="0.25">
      <c r="C1" t="s">
        <v>0</v>
      </c>
      <c r="J1" s="9" t="s">
        <v>1</v>
      </c>
    </row>
    <row r="2" spans="1:19" ht="18.75" customHeight="1" x14ac:dyDescent="0.3">
      <c r="A2" s="1" t="s">
        <v>2</v>
      </c>
      <c r="C2">
        <f>SUM(G2:G4)</f>
        <v>2.9509640408274773E-6</v>
      </c>
      <c r="F2" t="s">
        <v>3</v>
      </c>
      <c r="G2" s="30">
        <f>IF(G6="Standard",(4/(L3*PI()))*((0.5*L2/L5^2)),(4/(L3*PI()))*((0.4/L5)))</f>
        <v>1.8947017034749444E-7</v>
      </c>
      <c r="J2" t="s">
        <v>4</v>
      </c>
      <c r="K2" t="s">
        <v>5</v>
      </c>
      <c r="L2" s="22">
        <v>1</v>
      </c>
      <c r="M2" t="s">
        <v>6</v>
      </c>
    </row>
    <row r="3" spans="1:19" ht="18.75" customHeight="1" x14ac:dyDescent="0.3">
      <c r="A3" s="1" t="s">
        <v>7</v>
      </c>
      <c r="C3" s="3">
        <f>(1/K29)*(K16/R16 + K17/R17 + K18/R18 + K19/R19 + K20/R20 +K21/R21 +K22/R22 +K23/R23 +K24/R24 +K25/R25)</f>
        <v>4.2078085958440665E-10</v>
      </c>
      <c r="F3" t="s">
        <v>8</v>
      </c>
      <c r="G3" s="30">
        <f>(4/(L3*PI()))* ( ((0.5*L5+K26)/S5^2))</f>
        <v>2.2120303764722491E-6</v>
      </c>
      <c r="J3" t="s">
        <v>9</v>
      </c>
      <c r="K3" t="s">
        <v>10</v>
      </c>
      <c r="L3" s="22">
        <v>210000</v>
      </c>
      <c r="M3" t="s">
        <v>11</v>
      </c>
    </row>
    <row r="4" spans="1:19" ht="18.75" customHeight="1" x14ac:dyDescent="0.3">
      <c r="A4" s="1" t="s">
        <v>12</v>
      </c>
      <c r="B4" s="5" t="s">
        <v>13</v>
      </c>
      <c r="C4" s="2">
        <f>L42*(C3/(C2+C3))</f>
        <v>7.1285326212371255E-4</v>
      </c>
      <c r="F4" t="s">
        <v>14</v>
      </c>
      <c r="G4" s="30">
        <f>IF(G7="Standard",(4/(L3*PI()))* ((0.5*L32/L5^2)),(4/(L3*PI()))* ((0.4/L5)))</f>
        <v>5.4946349400773385E-7</v>
      </c>
      <c r="J4" t="s">
        <v>15</v>
      </c>
      <c r="K4" t="s">
        <v>16</v>
      </c>
      <c r="L4" s="22">
        <v>26.549502610950899</v>
      </c>
      <c r="M4" t="s">
        <v>6</v>
      </c>
    </row>
    <row r="5" spans="1:19" ht="18.75" customHeight="1" x14ac:dyDescent="0.3">
      <c r="A5" s="1"/>
      <c r="J5" t="s">
        <v>17</v>
      </c>
      <c r="K5" t="s">
        <v>18</v>
      </c>
      <c r="L5" s="22">
        <v>4</v>
      </c>
      <c r="M5" t="s">
        <v>6</v>
      </c>
      <c r="N5" t="s">
        <v>19</v>
      </c>
      <c r="O5" s="23">
        <f>L5-1.082532*L6</f>
        <v>3.2422276000000001</v>
      </c>
      <c r="P5" t="s">
        <v>20</v>
      </c>
      <c r="Q5" s="23">
        <f>L5-0.6495*L6</f>
        <v>3.54535</v>
      </c>
      <c r="R5" t="s">
        <v>21</v>
      </c>
      <c r="S5" s="23">
        <f>L5-1.2268*L6</f>
        <v>3.1412400000000003</v>
      </c>
    </row>
    <row r="6" spans="1:19" ht="18.75" customHeight="1" x14ac:dyDescent="0.3">
      <c r="A6" s="1" t="s">
        <v>22</v>
      </c>
      <c r="B6" t="s">
        <v>23</v>
      </c>
      <c r="C6">
        <f>L41/L43</f>
        <v>1</v>
      </c>
      <c r="F6" t="s">
        <v>24</v>
      </c>
      <c r="G6" t="s">
        <v>25</v>
      </c>
      <c r="H6" t="s">
        <v>25</v>
      </c>
      <c r="J6" t="s">
        <v>26</v>
      </c>
      <c r="K6" t="s">
        <v>27</v>
      </c>
      <c r="L6" s="22">
        <v>0.7</v>
      </c>
      <c r="M6" t="s">
        <v>6</v>
      </c>
    </row>
    <row r="7" spans="1:19" ht="18.75" customHeight="1" x14ac:dyDescent="0.3">
      <c r="A7" s="1" t="s">
        <v>28</v>
      </c>
      <c r="B7" t="s">
        <v>29</v>
      </c>
      <c r="C7" s="8">
        <f>(1-C4)*L40</f>
        <v>53.961505923845323</v>
      </c>
      <c r="F7" t="s">
        <v>30</v>
      </c>
      <c r="G7" t="s">
        <v>25</v>
      </c>
      <c r="H7" t="s">
        <v>25</v>
      </c>
      <c r="J7" t="s">
        <v>31</v>
      </c>
      <c r="K7" t="s">
        <v>32</v>
      </c>
      <c r="L7" s="22">
        <v>240</v>
      </c>
      <c r="M7" t="s">
        <v>11</v>
      </c>
      <c r="N7" t="s">
        <v>33</v>
      </c>
      <c r="O7">
        <f>(L7+L8)/2</f>
        <v>320</v>
      </c>
      <c r="P7" t="s">
        <v>11</v>
      </c>
    </row>
    <row r="8" spans="1:19" ht="18.75" customHeight="1" x14ac:dyDescent="0.3">
      <c r="A8" s="1" t="s">
        <v>34</v>
      </c>
      <c r="B8" t="s">
        <v>35</v>
      </c>
      <c r="C8" s="8">
        <f>MAX(0,(C4*L40))</f>
        <v>3.8494076154680479E-2</v>
      </c>
      <c r="J8" t="s">
        <v>36</v>
      </c>
      <c r="K8" t="s">
        <v>37</v>
      </c>
      <c r="L8" s="22">
        <v>400</v>
      </c>
      <c r="M8" t="s">
        <v>11</v>
      </c>
      <c r="N8" s="4" t="s">
        <v>38</v>
      </c>
      <c r="O8" s="8">
        <f>0.577*L7</f>
        <v>138.47999999999999</v>
      </c>
      <c r="P8" s="4" t="s">
        <v>11</v>
      </c>
    </row>
    <row r="9" spans="1:19" ht="18.75" customHeight="1" x14ac:dyDescent="0.3">
      <c r="A9" s="1"/>
      <c r="F9" t="s">
        <v>25</v>
      </c>
      <c r="J9" t="s">
        <v>39</v>
      </c>
      <c r="K9" t="s">
        <v>40</v>
      </c>
      <c r="L9" s="22">
        <v>30</v>
      </c>
      <c r="M9" t="s">
        <v>6</v>
      </c>
    </row>
    <row r="10" spans="1:19" ht="18.75" customHeight="1" x14ac:dyDescent="0.3">
      <c r="A10" s="1" t="s">
        <v>41</v>
      </c>
      <c r="B10" t="s">
        <v>42</v>
      </c>
      <c r="C10" s="8">
        <f>C6+C7</f>
        <v>54.961505923845323</v>
      </c>
      <c r="D10" s="8"/>
      <c r="E10" s="8"/>
      <c r="F10" t="s">
        <v>43</v>
      </c>
      <c r="J10" t="s">
        <v>44</v>
      </c>
      <c r="K10" t="s">
        <v>45</v>
      </c>
      <c r="L10" s="20">
        <f>PI()*(AVERAGE(Q5,S5))^2 /4</f>
        <v>8.7788833634993466</v>
      </c>
      <c r="M10" t="s">
        <v>46</v>
      </c>
    </row>
    <row r="11" spans="1:19" ht="18.75" customHeight="1" x14ac:dyDescent="0.3">
      <c r="A11" s="1"/>
      <c r="B11" s="4" t="s">
        <v>47</v>
      </c>
      <c r="C11">
        <f>0.00329*(K26/L5)^0.34</f>
        <v>2.4093300370741206E-3</v>
      </c>
      <c r="J11" t="s">
        <v>48</v>
      </c>
      <c r="K11" t="s">
        <v>49</v>
      </c>
      <c r="L11" s="20">
        <f>C33*PI()*O5*(L6/2 + (Q5-O5)/3^0.5)/L6</f>
        <v>22.15435365382908</v>
      </c>
      <c r="M11" t="s">
        <v>46</v>
      </c>
    </row>
    <row r="12" spans="1:19" ht="18.75" customHeight="1" x14ac:dyDescent="0.3">
      <c r="A12" s="1" t="s">
        <v>50</v>
      </c>
      <c r="B12" s="4" t="s">
        <v>51</v>
      </c>
      <c r="C12" s="8">
        <f>C11/(C2+C3)</f>
        <v>816.33883164612428</v>
      </c>
      <c r="J12" t="s">
        <v>52</v>
      </c>
      <c r="K12" t="s">
        <v>53</v>
      </c>
      <c r="L12" s="23">
        <f>AVERAGE(Q5,S5)</f>
        <v>3.3432950000000003</v>
      </c>
      <c r="M12" t="s">
        <v>6</v>
      </c>
    </row>
    <row r="13" spans="1:19" ht="18.75" customHeight="1" x14ac:dyDescent="0.3">
      <c r="A13" s="1"/>
    </row>
    <row r="14" spans="1:19" ht="18.75" customHeight="1" x14ac:dyDescent="0.3">
      <c r="A14" s="26" t="s">
        <v>54</v>
      </c>
      <c r="J14" s="9" t="s">
        <v>55</v>
      </c>
    </row>
    <row r="15" spans="1:19" ht="19.5" customHeight="1" thickBot="1" x14ac:dyDescent="0.35">
      <c r="A15" s="1" t="s">
        <v>56</v>
      </c>
      <c r="B15" t="s">
        <v>57</v>
      </c>
      <c r="C15" s="8">
        <f>C10+C12</f>
        <v>871.30033756996954</v>
      </c>
      <c r="K15" t="s">
        <v>58</v>
      </c>
      <c r="L15" t="s">
        <v>59</v>
      </c>
      <c r="M15" t="s">
        <v>60</v>
      </c>
      <c r="N15" t="s">
        <v>61</v>
      </c>
      <c r="O15" t="s">
        <v>62</v>
      </c>
      <c r="P15" t="s">
        <v>63</v>
      </c>
      <c r="Q15" t="s">
        <v>33</v>
      </c>
      <c r="R15" t="s">
        <v>64</v>
      </c>
    </row>
    <row r="16" spans="1:19" ht="18.75" customHeight="1" x14ac:dyDescent="0.3">
      <c r="A16" s="1" t="s">
        <v>65</v>
      </c>
      <c r="B16" t="s">
        <v>66</v>
      </c>
      <c r="C16" s="8">
        <f>0.9*L7*L10/(1+3*(1.5*Q5/L12*(0.32*L6/Q5+1.16*0.18))^2)^0.5</f>
        <v>1517.476026563593</v>
      </c>
      <c r="J16" t="s">
        <v>67</v>
      </c>
      <c r="K16" s="10">
        <v>0.8</v>
      </c>
      <c r="L16" s="11">
        <v>4.3</v>
      </c>
      <c r="M16" s="11">
        <v>8.64</v>
      </c>
      <c r="N16" s="11" t="s">
        <v>68</v>
      </c>
      <c r="O16" s="11">
        <v>788</v>
      </c>
      <c r="P16" s="11">
        <v>76897</v>
      </c>
      <c r="Q16" s="27">
        <f t="shared" ref="Q16:Q25" si="0">AVERAGE(O16:P16)</f>
        <v>38842.5</v>
      </c>
      <c r="R16" s="12">
        <v>987997979</v>
      </c>
      <c r="S16" s="35" t="s">
        <v>69</v>
      </c>
    </row>
    <row r="17" spans="1:22" ht="18.75" customHeight="1" x14ac:dyDescent="0.3">
      <c r="A17" s="1"/>
      <c r="J17" t="s">
        <v>70</v>
      </c>
      <c r="K17" s="13">
        <v>0.8</v>
      </c>
      <c r="L17" s="14">
        <v>4.3</v>
      </c>
      <c r="M17" s="14">
        <v>8.64</v>
      </c>
      <c r="N17" s="14" t="s">
        <v>68</v>
      </c>
      <c r="O17" s="14">
        <v>2334</v>
      </c>
      <c r="P17" s="14">
        <v>3121</v>
      </c>
      <c r="Q17" s="28">
        <f t="shared" si="0"/>
        <v>2727.5</v>
      </c>
      <c r="R17" s="15">
        <v>3443543</v>
      </c>
      <c r="S17" s="36"/>
    </row>
    <row r="18" spans="1:22" ht="18.75" customHeight="1" x14ac:dyDescent="0.3">
      <c r="A18" s="26" t="s">
        <v>71</v>
      </c>
      <c r="F18" s="8"/>
      <c r="J18" t="s">
        <v>72</v>
      </c>
      <c r="K18" s="13">
        <v>0</v>
      </c>
      <c r="L18" s="14">
        <v>0</v>
      </c>
      <c r="M18" s="14">
        <v>0</v>
      </c>
      <c r="N18" s="14">
        <v>0</v>
      </c>
      <c r="O18" s="14">
        <v>0</v>
      </c>
      <c r="P18" s="14">
        <v>0</v>
      </c>
      <c r="Q18" s="28">
        <f t="shared" si="0"/>
        <v>0</v>
      </c>
      <c r="R18" s="15">
        <v>1</v>
      </c>
      <c r="S18" s="36"/>
    </row>
    <row r="19" spans="1:22" ht="18.75" customHeight="1" x14ac:dyDescent="0.3">
      <c r="A19" s="1" t="s">
        <v>73</v>
      </c>
      <c r="B19" t="s">
        <v>74</v>
      </c>
      <c r="C19" s="8">
        <f>L44*0.8*1000/(0.159*L6 + 0.577*0.18*Q5 +0.5* 0.18*L4)</f>
        <v>1394.2260219316868</v>
      </c>
      <c r="E19" t="str">
        <f>IF(C19&gt;=C15,"Pass","Fail")</f>
        <v>Pass</v>
      </c>
      <c r="F19" s="8"/>
      <c r="J19" t="s">
        <v>75</v>
      </c>
      <c r="K19" s="13">
        <v>0</v>
      </c>
      <c r="L19" s="14">
        <v>0</v>
      </c>
      <c r="M19" s="14">
        <v>0</v>
      </c>
      <c r="N19" s="14">
        <v>0</v>
      </c>
      <c r="O19" s="14">
        <v>0</v>
      </c>
      <c r="P19" s="14">
        <v>0</v>
      </c>
      <c r="Q19" s="28">
        <f t="shared" si="0"/>
        <v>0</v>
      </c>
      <c r="R19" s="15">
        <v>1</v>
      </c>
      <c r="S19" s="36"/>
    </row>
    <row r="20" spans="1:22" ht="18.75" customHeight="1" x14ac:dyDescent="0.3">
      <c r="A20" s="1" t="s">
        <v>76</v>
      </c>
      <c r="B20" t="s">
        <v>77</v>
      </c>
      <c r="C20" s="8">
        <f>L44*1000/(0.159*L6 + 0.577*0.15*Q5 +0.5* 0.15*L4)</f>
        <v>2075.2375391526411</v>
      </c>
      <c r="F20" s="8"/>
      <c r="J20" t="s">
        <v>78</v>
      </c>
      <c r="K20" s="13">
        <v>0</v>
      </c>
      <c r="L20" s="14">
        <v>0</v>
      </c>
      <c r="M20" s="14">
        <v>0</v>
      </c>
      <c r="N20" s="14">
        <v>0</v>
      </c>
      <c r="O20" s="14">
        <v>0</v>
      </c>
      <c r="P20" s="14">
        <v>0</v>
      </c>
      <c r="Q20" s="28">
        <f t="shared" si="0"/>
        <v>0</v>
      </c>
      <c r="R20" s="15">
        <v>1</v>
      </c>
      <c r="S20" s="36"/>
    </row>
    <row r="21" spans="1:22" ht="18.75" customHeight="1" x14ac:dyDescent="0.3">
      <c r="A21" s="1" t="s">
        <v>79</v>
      </c>
      <c r="B21" t="s">
        <v>80</v>
      </c>
      <c r="C21" s="8">
        <f>L44*1.2*1000/(0.159*L6 + 0.577*0.12*Q5 +0.5* 0.12*L4)</f>
        <v>3077.3173039044741</v>
      </c>
      <c r="E21" t="str">
        <f>IF(C21&lt;=C16,"Pass","Fail")</f>
        <v>Fail</v>
      </c>
      <c r="J21" t="s">
        <v>81</v>
      </c>
      <c r="K21" s="13">
        <v>0</v>
      </c>
      <c r="L21" s="14">
        <v>0</v>
      </c>
      <c r="M21" s="14">
        <v>0</v>
      </c>
      <c r="N21" s="14">
        <v>0</v>
      </c>
      <c r="O21" s="14">
        <v>0</v>
      </c>
      <c r="P21" s="14">
        <v>0</v>
      </c>
      <c r="Q21" s="28">
        <f t="shared" si="0"/>
        <v>0</v>
      </c>
      <c r="R21" s="15">
        <v>1</v>
      </c>
      <c r="S21" s="36"/>
    </row>
    <row r="22" spans="1:22" ht="18.75" customHeight="1" x14ac:dyDescent="0.3">
      <c r="A22" s="1"/>
      <c r="B22" t="s">
        <v>82</v>
      </c>
      <c r="C22" s="2">
        <f>C21/C19</f>
        <v>2.2071868230094291</v>
      </c>
      <c r="J22" t="s">
        <v>83</v>
      </c>
      <c r="K22" s="13">
        <v>0</v>
      </c>
      <c r="L22" s="14">
        <v>0</v>
      </c>
      <c r="M22" s="14">
        <v>0</v>
      </c>
      <c r="N22" s="14">
        <v>0</v>
      </c>
      <c r="O22" s="14">
        <v>0</v>
      </c>
      <c r="P22" s="14">
        <v>0</v>
      </c>
      <c r="Q22" s="28">
        <f t="shared" si="0"/>
        <v>0</v>
      </c>
      <c r="R22" s="15">
        <v>1</v>
      </c>
      <c r="S22" s="36"/>
    </row>
    <row r="23" spans="1:22" ht="18.75" customHeight="1" x14ac:dyDescent="0.3">
      <c r="A23" s="1"/>
      <c r="J23" t="s">
        <v>84</v>
      </c>
      <c r="K23" s="13">
        <v>0</v>
      </c>
      <c r="L23" s="14">
        <v>0</v>
      </c>
      <c r="M23" s="14">
        <v>0</v>
      </c>
      <c r="N23" s="14">
        <v>0</v>
      </c>
      <c r="O23" s="14">
        <v>0</v>
      </c>
      <c r="P23" s="14">
        <v>0</v>
      </c>
      <c r="Q23" s="28">
        <f t="shared" si="0"/>
        <v>0</v>
      </c>
      <c r="R23" s="15">
        <v>1</v>
      </c>
      <c r="S23" s="36"/>
    </row>
    <row r="24" spans="1:22" ht="18.75" customHeight="1" x14ac:dyDescent="0.3">
      <c r="A24" s="1" t="s">
        <v>85</v>
      </c>
      <c r="J24" t="s">
        <v>86</v>
      </c>
      <c r="K24" s="13">
        <v>0</v>
      </c>
      <c r="L24" s="14">
        <v>0</v>
      </c>
      <c r="M24" s="14">
        <v>0</v>
      </c>
      <c r="N24" s="14">
        <v>0</v>
      </c>
      <c r="O24" s="14">
        <v>0</v>
      </c>
      <c r="P24" s="14">
        <v>0</v>
      </c>
      <c r="Q24" s="28">
        <f t="shared" si="0"/>
        <v>0</v>
      </c>
      <c r="R24" s="15">
        <v>1</v>
      </c>
      <c r="S24" s="36"/>
    </row>
    <row r="25" spans="1:22" ht="19.5" customHeight="1" thickBot="1" x14ac:dyDescent="0.35">
      <c r="A25" s="1" t="s">
        <v>87</v>
      </c>
      <c r="B25" s="4" t="s">
        <v>88</v>
      </c>
      <c r="C25" s="8">
        <f>C20*C2*1000</f>
        <v>6.1239513542147481</v>
      </c>
      <c r="D25" s="4" t="s">
        <v>89</v>
      </c>
      <c r="E25" s="4"/>
      <c r="J25" t="s">
        <v>90</v>
      </c>
      <c r="K25" s="16">
        <v>0</v>
      </c>
      <c r="L25" s="17">
        <v>0</v>
      </c>
      <c r="M25" s="17">
        <v>0</v>
      </c>
      <c r="N25" s="17">
        <v>0</v>
      </c>
      <c r="O25" s="17">
        <v>0</v>
      </c>
      <c r="P25" s="17">
        <v>0</v>
      </c>
      <c r="Q25" s="29">
        <f t="shared" si="0"/>
        <v>0</v>
      </c>
      <c r="R25" s="18">
        <v>1</v>
      </c>
      <c r="S25" s="36"/>
    </row>
    <row r="26" spans="1:22" ht="18.75" customHeight="1" x14ac:dyDescent="0.3">
      <c r="A26" s="1"/>
      <c r="J26" s="32" t="s">
        <v>91</v>
      </c>
      <c r="K26" s="19">
        <f>SUM(K16:K25)</f>
        <v>1.6</v>
      </c>
      <c r="L26" s="31" t="s">
        <v>6</v>
      </c>
      <c r="M26" s="31"/>
      <c r="N26" s="31"/>
      <c r="O26" s="31"/>
      <c r="P26" s="31"/>
      <c r="Q26" s="31"/>
      <c r="R26" s="31"/>
    </row>
    <row r="27" spans="1:22" ht="18.75" customHeight="1" x14ac:dyDescent="0.3">
      <c r="A27" s="1" t="s">
        <v>92</v>
      </c>
      <c r="B27" s="4" t="s">
        <v>93</v>
      </c>
      <c r="C27" s="8">
        <f>C21/L10</f>
        <v>350.53630131359051</v>
      </c>
      <c r="D27" t="s">
        <v>94</v>
      </c>
      <c r="J27" t="s">
        <v>95</v>
      </c>
      <c r="K27" s="23">
        <f>(K16*L16+K17*L17+K18*L18+K19*L19+K20*L20+K21*L21+K22*L22+K23*L23+K24*L24+K25*L25)/K26</f>
        <v>4.3</v>
      </c>
      <c r="L27" t="s">
        <v>6</v>
      </c>
    </row>
    <row r="28" spans="1:22" ht="18.75" customHeight="1" x14ac:dyDescent="0.3">
      <c r="A28" s="1" t="s">
        <v>96</v>
      </c>
      <c r="B28" s="4" t="s">
        <v>97</v>
      </c>
      <c r="C28" s="8">
        <f>C8/L10</f>
        <v>4.384848796913093E-3</v>
      </c>
      <c r="D28" t="s">
        <v>11</v>
      </c>
      <c r="J28" t="s">
        <v>98</v>
      </c>
      <c r="K28" s="23">
        <f>((K26*L4)/(K26+L4)^2)^(1/3)</f>
        <v>0.37706102200180813</v>
      </c>
    </row>
    <row r="29" spans="1:22" ht="18.75" customHeight="1" x14ac:dyDescent="0.3">
      <c r="A29" s="1" t="s">
        <v>99</v>
      </c>
      <c r="B29" s="4" t="s">
        <v>100</v>
      </c>
      <c r="C29" s="8">
        <f>SUM(C27:C28)</f>
        <v>350.54068616238743</v>
      </c>
      <c r="D29" t="s">
        <v>11</v>
      </c>
      <c r="J29" t="s">
        <v>101</v>
      </c>
      <c r="K29" s="23">
        <f>(PI()*(L4^2 -K27^2)/4) + (PI()*L4*K26*(K28+2)*K28/8)</f>
        <v>554.03799283314845</v>
      </c>
    </row>
    <row r="30" spans="1:22" ht="18.75" customHeight="1" x14ac:dyDescent="0.3">
      <c r="A30" s="1" t="s">
        <v>102</v>
      </c>
      <c r="B30" s="4" t="s">
        <v>103</v>
      </c>
      <c r="C30" s="8">
        <f>16*C21*(0.159*L6+0.577*0.12*L5)/(PI()*L12^3)</f>
        <v>162.83244445735679</v>
      </c>
      <c r="D30" t="s">
        <v>11</v>
      </c>
      <c r="V30" t="s">
        <v>104</v>
      </c>
    </row>
    <row r="31" spans="1:22" ht="18.75" customHeight="1" x14ac:dyDescent="0.3">
      <c r="A31" s="1" t="s">
        <v>105</v>
      </c>
      <c r="B31" s="4" t="s">
        <v>106</v>
      </c>
      <c r="C31" s="8">
        <f>SQRT(C29^2+3*C30^2)</f>
        <v>449.91331116013004</v>
      </c>
      <c r="D31" t="s">
        <v>11</v>
      </c>
      <c r="J31" s="9" t="s">
        <v>30</v>
      </c>
      <c r="V31" t="s">
        <v>107</v>
      </c>
    </row>
    <row r="32" spans="1:22" ht="18.75" customHeight="1" x14ac:dyDescent="0.3">
      <c r="A32" s="1"/>
      <c r="J32" t="s">
        <v>108</v>
      </c>
      <c r="K32" t="s">
        <v>109</v>
      </c>
      <c r="L32" s="6">
        <v>2.9</v>
      </c>
      <c r="M32" t="s">
        <v>6</v>
      </c>
    </row>
    <row r="33" spans="1:16" ht="18.75" customHeight="1" x14ac:dyDescent="0.3">
      <c r="A33" s="1" t="s">
        <v>110</v>
      </c>
      <c r="B33" t="s">
        <v>111</v>
      </c>
      <c r="C33">
        <f>L32</f>
        <v>2.9</v>
      </c>
      <c r="D33" t="s">
        <v>6</v>
      </c>
      <c r="J33" t="s">
        <v>112</v>
      </c>
      <c r="K33" t="s">
        <v>113</v>
      </c>
      <c r="L33" s="6">
        <v>5.9</v>
      </c>
      <c r="M33" t="s">
        <v>6</v>
      </c>
    </row>
    <row r="34" spans="1:16" ht="18.75" customHeight="1" x14ac:dyDescent="0.3">
      <c r="A34" s="1" t="s">
        <v>114</v>
      </c>
      <c r="B34" t="s">
        <v>115</v>
      </c>
      <c r="C34" s="21"/>
      <c r="D34" t="s">
        <v>6</v>
      </c>
      <c r="K34" t="s">
        <v>116</v>
      </c>
      <c r="L34" s="6">
        <f>L33/L5</f>
        <v>1.4750000000000001</v>
      </c>
      <c r="M34" t="s">
        <v>6</v>
      </c>
    </row>
    <row r="35" spans="1:16" ht="18.75" customHeight="1" x14ac:dyDescent="0.3">
      <c r="A35" s="1" t="s">
        <v>117</v>
      </c>
      <c r="B35" t="s">
        <v>118</v>
      </c>
      <c r="C35" s="21"/>
      <c r="D35" t="s">
        <v>6</v>
      </c>
      <c r="K35" t="s">
        <v>32</v>
      </c>
      <c r="L35" s="6">
        <v>240</v>
      </c>
      <c r="M35" t="s">
        <v>11</v>
      </c>
      <c r="N35" t="s">
        <v>33</v>
      </c>
      <c r="O35">
        <f>(L35+L36)/2</f>
        <v>320</v>
      </c>
      <c r="P35" t="s">
        <v>11</v>
      </c>
    </row>
    <row r="36" spans="1:16" x14ac:dyDescent="0.25">
      <c r="K36" t="s">
        <v>37</v>
      </c>
      <c r="L36" s="6">
        <v>400</v>
      </c>
      <c r="M36" t="s">
        <v>11</v>
      </c>
      <c r="N36" s="4" t="s">
        <v>119</v>
      </c>
      <c r="O36" s="8">
        <f>0.577*L35</f>
        <v>138.47999999999999</v>
      </c>
      <c r="P36" s="4" t="s">
        <v>11</v>
      </c>
    </row>
    <row r="37" spans="1:16" ht="18.75" customHeight="1" x14ac:dyDescent="0.3">
      <c r="A37" s="1" t="s">
        <v>120</v>
      </c>
      <c r="B37" t="s">
        <v>121</v>
      </c>
      <c r="C37" s="8">
        <f>L7*L10</f>
        <v>2106.9320072398432</v>
      </c>
      <c r="D37" t="s">
        <v>122</v>
      </c>
      <c r="J37" t="s">
        <v>123</v>
      </c>
      <c r="K37" t="s">
        <v>124</v>
      </c>
      <c r="L37" s="7">
        <f>C33*PI()*O5*(L6/2 + (L5-Q5)/3^0.5)/L6</f>
        <v>25.846037033459666</v>
      </c>
      <c r="M37" t="s">
        <v>46</v>
      </c>
    </row>
    <row r="38" spans="1:16" ht="18.75" customHeight="1" x14ac:dyDescent="0.3">
      <c r="A38" s="1" t="s">
        <v>125</v>
      </c>
      <c r="B38" t="s">
        <v>126</v>
      </c>
      <c r="C38" s="8">
        <f>0.577*L52*L53*L7*L11</f>
        <v>15290.649206407295</v>
      </c>
      <c r="D38" t="s">
        <v>122</v>
      </c>
    </row>
    <row r="39" spans="1:16" ht="18.75" customHeight="1" x14ac:dyDescent="0.3">
      <c r="A39" s="1" t="s">
        <v>127</v>
      </c>
      <c r="B39" t="s">
        <v>128</v>
      </c>
      <c r="C39" s="8">
        <f>L35*L52*L54*0.577*L37</f>
        <v>16600.321603463959</v>
      </c>
      <c r="D39" t="s">
        <v>122</v>
      </c>
      <c r="J39" s="9" t="s">
        <v>129</v>
      </c>
    </row>
    <row r="40" spans="1:16" ht="18.75" customHeight="1" x14ac:dyDescent="0.3">
      <c r="A40" s="1" t="s">
        <v>130</v>
      </c>
      <c r="B40" t="s">
        <v>131</v>
      </c>
      <c r="C40" s="8">
        <f>MIN(C37:C39)</f>
        <v>2106.9320072398432</v>
      </c>
      <c r="D40" t="s">
        <v>122</v>
      </c>
      <c r="H40" s="8"/>
      <c r="I40" s="8"/>
      <c r="J40" t="s">
        <v>104</v>
      </c>
      <c r="K40" t="s">
        <v>132</v>
      </c>
      <c r="L40" s="6">
        <v>54</v>
      </c>
      <c r="M40" t="s">
        <v>122</v>
      </c>
      <c r="P40" s="37" t="s">
        <v>69</v>
      </c>
    </row>
    <row r="41" spans="1:16" x14ac:dyDescent="0.25">
      <c r="J41" t="s">
        <v>107</v>
      </c>
      <c r="K41" t="s">
        <v>133</v>
      </c>
      <c r="L41" s="6">
        <v>5</v>
      </c>
      <c r="M41" t="s">
        <v>122</v>
      </c>
      <c r="P41" s="38"/>
    </row>
    <row r="42" spans="1:16" x14ac:dyDescent="0.25">
      <c r="A42" s="39" t="s">
        <v>134</v>
      </c>
      <c r="B42" s="40"/>
      <c r="C42" s="40"/>
      <c r="D42" s="41"/>
      <c r="E42" s="32"/>
      <c r="J42" t="s">
        <v>135</v>
      </c>
      <c r="K42" s="4" t="s">
        <v>136</v>
      </c>
      <c r="L42" s="6">
        <v>5</v>
      </c>
      <c r="P42" s="38"/>
    </row>
    <row r="43" spans="1:16" x14ac:dyDescent="0.25">
      <c r="A43" s="33" t="s">
        <v>137</v>
      </c>
      <c r="B43" s="33" t="s">
        <v>138</v>
      </c>
      <c r="C43" s="33" t="s">
        <v>139</v>
      </c>
      <c r="D43" s="33" t="s">
        <v>140</v>
      </c>
      <c r="E43" s="32"/>
      <c r="J43" t="s">
        <v>141</v>
      </c>
      <c r="K43" s="4" t="s">
        <v>142</v>
      </c>
      <c r="L43" s="6">
        <v>5</v>
      </c>
      <c r="P43" s="38"/>
    </row>
    <row r="44" spans="1:16" x14ac:dyDescent="0.25">
      <c r="A44" t="s">
        <v>143</v>
      </c>
      <c r="B44">
        <f>MIN(Q16,Q17)</f>
        <v>2727.5</v>
      </c>
      <c r="D44" t="str">
        <f>IF(B44&gt;C44,"Pass","Fail")</f>
        <v>Pass</v>
      </c>
      <c r="J44" t="s">
        <v>144</v>
      </c>
      <c r="K44" s="4" t="s">
        <v>145</v>
      </c>
      <c r="L44" s="6">
        <v>5</v>
      </c>
      <c r="M44" t="s">
        <v>146</v>
      </c>
      <c r="P44" s="38"/>
    </row>
    <row r="45" spans="1:16" x14ac:dyDescent="0.25">
      <c r="A45" t="s">
        <v>147</v>
      </c>
      <c r="B45">
        <f>MIN(Q17,O35)</f>
        <v>320</v>
      </c>
      <c r="D45" t="str">
        <f>IF(B45&gt;C45,"Pass","Fail")</f>
        <v>Pass</v>
      </c>
      <c r="J45" t="s">
        <v>148</v>
      </c>
      <c r="K45" s="4" t="s">
        <v>149</v>
      </c>
      <c r="L45" s="24">
        <v>5</v>
      </c>
      <c r="P45" s="38"/>
    </row>
    <row r="46" spans="1:16" x14ac:dyDescent="0.25">
      <c r="A46" t="s">
        <v>150</v>
      </c>
      <c r="B46">
        <f>MIN(Q17,Q18)</f>
        <v>0</v>
      </c>
      <c r="D46" t="str">
        <f>IF(B46&gt;C46,"Pass","Fail")</f>
        <v>Fail</v>
      </c>
      <c r="L46" s="31" t="s">
        <v>151</v>
      </c>
      <c r="M46" s="31" t="s">
        <v>152</v>
      </c>
      <c r="N46" t="s">
        <v>153</v>
      </c>
      <c r="O46" t="s">
        <v>154</v>
      </c>
      <c r="P46" s="38"/>
    </row>
    <row r="47" spans="1:16" x14ac:dyDescent="0.25">
      <c r="A47" t="s">
        <v>155</v>
      </c>
      <c r="B47">
        <f>MIN(Q18,O35)</f>
        <v>0</v>
      </c>
      <c r="D47" t="str">
        <f>IF(B47&gt;C47,"Pass","Fail")</f>
        <v>Fail</v>
      </c>
      <c r="J47" t="s">
        <v>156</v>
      </c>
      <c r="K47" t="s">
        <v>157</v>
      </c>
      <c r="L47" s="22">
        <v>5</v>
      </c>
      <c r="M47" s="22">
        <v>5</v>
      </c>
      <c r="N47" s="31">
        <f>L47+M47</f>
        <v>10</v>
      </c>
      <c r="O47" s="31">
        <f>L47-M47</f>
        <v>0</v>
      </c>
      <c r="P47" s="38"/>
    </row>
    <row r="48" spans="1:16" x14ac:dyDescent="0.25">
      <c r="J48" t="s">
        <v>158</v>
      </c>
      <c r="K48" t="s">
        <v>159</v>
      </c>
      <c r="L48" s="22">
        <v>5</v>
      </c>
      <c r="M48" s="22">
        <v>5</v>
      </c>
      <c r="N48" s="31">
        <f>L48+M48</f>
        <v>10</v>
      </c>
      <c r="O48" s="31">
        <f>L48-M48</f>
        <v>0</v>
      </c>
      <c r="P48" s="38"/>
    </row>
    <row r="49" spans="10:16" x14ac:dyDescent="0.25">
      <c r="J49" t="s">
        <v>160</v>
      </c>
      <c r="K49" s="4" t="s">
        <v>161</v>
      </c>
      <c r="L49" s="25">
        <v>5</v>
      </c>
      <c r="M49" t="s">
        <v>32</v>
      </c>
      <c r="P49" s="38"/>
    </row>
    <row r="51" spans="10:16" x14ac:dyDescent="0.25">
      <c r="J51" s="9" t="s">
        <v>162</v>
      </c>
    </row>
    <row r="52" spans="10:16" x14ac:dyDescent="0.25">
      <c r="K52" t="s">
        <v>163</v>
      </c>
      <c r="L52">
        <f>IF(L34&lt;=1.9,-L34^2+3.8*L34-2.61,1)</f>
        <v>5.1706250000000011</v>
      </c>
    </row>
    <row r="53" spans="10:16" x14ac:dyDescent="0.25">
      <c r="K53" t="s">
        <v>164</v>
      </c>
      <c r="L53">
        <f>IF(L55&lt;=1,0.897,IF(L55&gt;=2.2,1.187,5.594-13.682*L55+14.107*L55^2-6.057*L55^3+0.9353*L55^4))</f>
        <v>0.96391057358697085</v>
      </c>
    </row>
    <row r="54" spans="10:16" x14ac:dyDescent="0.25">
      <c r="K54" t="s">
        <v>165</v>
      </c>
      <c r="L54">
        <f>IF(L55&lt;=0.4,1.055,IF(L55&gt;=1,0.897,0.728+1.769*L55-2.896*L55^2 +1.296*L55^3))</f>
        <v>0.89700000000000002</v>
      </c>
    </row>
    <row r="55" spans="10:16" x14ac:dyDescent="0.25">
      <c r="K55" t="s">
        <v>166</v>
      </c>
      <c r="L55">
        <f>O36*L37/(O8*L11*0.97)</f>
        <v>1.2027161532180999</v>
      </c>
    </row>
    <row r="94" spans="2:4" x14ac:dyDescent="0.25">
      <c r="B94">
        <f>MIN(O7,Q16)</f>
        <v>320</v>
      </c>
      <c r="D94" t="str">
        <f>IF(B44&gt;C44,"Pass","Fail")</f>
        <v>Pass</v>
      </c>
    </row>
  </sheetData>
  <mergeCells count="3">
    <mergeCell ref="S16:S25"/>
    <mergeCell ref="P40:P49"/>
    <mergeCell ref="A42:D42"/>
  </mergeCells>
  <conditionalFormatting sqref="D71:E86 D44:E47">
    <cfRule type="containsText" dxfId="1" priority="2" operator="containsText" text="Pass">
      <formula>NOT(ISERROR(SEARCH("Pass",D44)))</formula>
    </cfRule>
  </conditionalFormatting>
  <conditionalFormatting sqref="D71:E84 D45:E47">
    <cfRule type="containsText" dxfId="0" priority="1" operator="containsText" text="Fail">
      <formula>NOT(ISERROR(SEARCH("Fail",D45)))</formula>
    </cfRule>
  </conditionalFormatting>
  <dataValidations count="1">
    <dataValidation type="list" showInputMessage="1" showErrorMessage="1" sqref="G6:G7" xr:uid="{00000000-0002-0000-0000-000000000000}">
      <formula1>$F$9:$F$10</formula1>
    </dataValidation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calculation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Rahul Pon</cp:lastModifiedBy>
  <dcterms:created xsi:type="dcterms:W3CDTF">2015-06-05T18:19:34Z</dcterms:created>
  <dcterms:modified xsi:type="dcterms:W3CDTF">2019-07-19T04:13:54Z</dcterms:modified>
</cp:coreProperties>
</file>