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ml.chartshapes+xml"/>
  <Override PartName="/xl/charts/chart2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ml.chartshape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3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00- RRM003\0-DataBase\"/>
    </mc:Choice>
  </mc:AlternateContent>
  <bookViews>
    <workbookView xWindow="0" yWindow="0" windowWidth="20490" windowHeight="7620" tabRatio="601" firstSheet="5" activeTab="5"/>
  </bookViews>
  <sheets>
    <sheet name="مشخصات منطقه 2" sheetId="24" state="hidden" r:id="rId1"/>
    <sheet name="مشخصات منطقه" sheetId="26" r:id="rId2"/>
    <sheet name="مشخصات باند شرقی" sheetId="32" r:id="rId3"/>
    <sheet name="مشخصات باند غربی" sheetId="34" r:id="rId4"/>
    <sheet name="Sheet1" sheetId="35" r:id="rId5"/>
    <sheet name="A2" sheetId="1" r:id="rId6"/>
    <sheet name="B2" sheetId="2" r:id="rId7"/>
    <sheet name="C2" sheetId="3" r:id="rId8"/>
    <sheet name="D2" sheetId="4" r:id="rId9"/>
    <sheet name="WBS-با البرز شرقی" sheetId="10" r:id="rId10"/>
    <sheet name="کل منطقه 2 - با البرز شرقی" sheetId="14" r:id="rId11"/>
    <sheet name="WBS-بدون البرز شرقی" sheetId="13" r:id="rId12"/>
    <sheet name="کل منطقه 2 - بدون البرز شرقی" sheetId="15" r:id="rId13"/>
    <sheet name="گزارش مهندس بیگلر" sheetId="31" r:id="rId14"/>
    <sheet name="Bridges" sheetId="28" r:id="rId15"/>
    <sheet name="West Alborz Tunnel" sheetId="25" r:id="rId16"/>
    <sheet name="حفاری" sheetId="6" r:id="rId17"/>
    <sheet name="لاینینگ" sheetId="7" r:id="rId18"/>
    <sheet name="خاکبرداری" sheetId="5" r:id="rId19"/>
    <sheet name="خاکریزی" sheetId="8" r:id="rId20"/>
    <sheet name="خاکبرداری سال 97" sheetId="17" r:id="rId21"/>
    <sheet name="حفاری سال 97" sheetId="19" r:id="rId22"/>
    <sheet name="Every 2 Weeks" sheetId="16" r:id="rId23"/>
    <sheet name="2 pages report" sheetId="18" r:id="rId24"/>
    <sheet name="عملیات اجرایی" sheetId="9" r:id="rId25"/>
    <sheet name="وزن دهی کل پروژه" sheetId="29" r:id="rId26"/>
    <sheet name="وزن دهی قطعات-بدون البرز شرقی" sheetId="27" r:id="rId27"/>
    <sheet name="وضعیت مطالبات پیمانکاران" sheetId="21" r:id="rId28"/>
    <sheet name="خلاصه وضعیت مطالبات پیمانکاران" sheetId="22" r:id="rId29"/>
    <sheet name="مقایسه 96 و 97" sheetId="20" r:id="rId30"/>
    <sheet name="وضعیت تملک-نامه ویسان" sheetId="30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xlnm._FilterDatabase" localSheetId="11" hidden="1">'WBS-بدون البرز شرقی'!$G$4:$J$79</definedName>
    <definedName name="_xlnm.Print_Area" localSheetId="18">خاکبرداری!$A$1:$K$24</definedName>
    <definedName name="_xlnm.Print_Area" localSheetId="28">'خلاصه وضعیت مطالبات پیمانکاران'!$A$4:$V$25</definedName>
    <definedName name="_xlnm.Print_Area" localSheetId="13">'گزارش مهندس بیگلر'!$A$1:$I$13</definedName>
    <definedName name="_xlnm.Print_Area" localSheetId="2">'مشخصات باند شرقی'!#REF!</definedName>
    <definedName name="_xlnm.Print_Area" localSheetId="3">'مشخصات باند غربی'!#REF!</definedName>
    <definedName name="_xlnm.Print_Area" localSheetId="1">'مشخصات منطقه'!#REF!</definedName>
    <definedName name="_xlnm.Print_Area" localSheetId="0">'مشخصات منطقه 2'!$D$3:$P$12</definedName>
    <definedName name="_xlnm.Print_Area" localSheetId="26">'وزن دهی قطعات-بدون البرز شرقی'!$F$5:$I$56</definedName>
    <definedName name="_xlnm.Print_Area" localSheetId="25">'وزن دهی کل پروژه'!$D$1:$F$20</definedName>
    <definedName name="_xlnm.Print_Area" localSheetId="30">'وضعیت تملک-نامه ویسان'!$F$4:$I$17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5" l="1"/>
  <c r="G5" i="35"/>
  <c r="G6" i="35"/>
  <c r="G7" i="35"/>
  <c r="G4" i="35"/>
  <c r="F11" i="35"/>
  <c r="F5" i="35"/>
  <c r="F6" i="35"/>
  <c r="F7" i="35"/>
  <c r="F4" i="35"/>
  <c r="E5" i="35"/>
  <c r="E6" i="35"/>
  <c r="E4" i="35"/>
  <c r="D5" i="35"/>
  <c r="D6" i="35"/>
  <c r="D7" i="35"/>
  <c r="D4" i="35"/>
  <c r="D11" i="35" s="1"/>
  <c r="C5" i="35"/>
  <c r="C6" i="35"/>
  <c r="C7" i="35"/>
  <c r="C4" i="35"/>
  <c r="C11" i="35" s="1"/>
  <c r="F26" i="2" l="1"/>
  <c r="E26" i="2"/>
  <c r="D26" i="2"/>
  <c r="B17" i="3" l="1"/>
  <c r="B16" i="3"/>
  <c r="B15" i="3"/>
  <c r="B14" i="3"/>
  <c r="B13" i="3"/>
  <c r="B12" i="3"/>
  <c r="B11" i="3"/>
  <c r="V22" i="2"/>
  <c r="Y22" i="2"/>
  <c r="V23" i="2"/>
  <c r="Y23" i="2"/>
  <c r="V24" i="2"/>
  <c r="Y24" i="2"/>
  <c r="V25" i="2"/>
  <c r="Y25" i="2"/>
  <c r="V26" i="2"/>
  <c r="Y26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U3" i="2"/>
  <c r="T3" i="2"/>
  <c r="N22" i="2"/>
  <c r="Q22" i="2" s="1"/>
  <c r="N23" i="2"/>
  <c r="Q23" i="2"/>
  <c r="N24" i="2"/>
  <c r="Q24" i="2" s="1"/>
  <c r="N25" i="2"/>
  <c r="Q25" i="2"/>
  <c r="N26" i="2"/>
  <c r="Q26" i="2" s="1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M3" i="2"/>
  <c r="L3" i="2"/>
  <c r="D52" i="2"/>
  <c r="O26" i="2" s="1"/>
  <c r="P26" i="2" s="1"/>
  <c r="E52" i="2"/>
  <c r="W26" i="2" s="1"/>
  <c r="X26" i="2" s="1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B29" i="2"/>
  <c r="A29" i="2"/>
  <c r="F52" i="2"/>
  <c r="U6" i="32" l="1"/>
  <c r="V6" i="32"/>
  <c r="U7" i="32"/>
  <c r="V7" i="32"/>
  <c r="U8" i="32"/>
  <c r="V8" i="32"/>
  <c r="V5" i="32"/>
  <c r="U9" i="32"/>
  <c r="U10" i="32"/>
  <c r="U5" i="32"/>
  <c r="S6" i="32"/>
  <c r="T6" i="32"/>
  <c r="S7" i="32"/>
  <c r="T7" i="32"/>
  <c r="S8" i="32"/>
  <c r="T5" i="32"/>
  <c r="S9" i="32"/>
  <c r="S10" i="32"/>
  <c r="S5" i="32"/>
  <c r="U15" i="34"/>
  <c r="S9" i="26" l="1"/>
  <c r="S10" i="26"/>
  <c r="S5" i="26"/>
  <c r="E9" i="26"/>
  <c r="Q9" i="26"/>
  <c r="E10" i="26"/>
  <c r="Q10" i="26"/>
  <c r="R10" i="26"/>
  <c r="F12" i="26"/>
  <c r="Q5" i="32"/>
  <c r="P8" i="34" l="1"/>
  <c r="K8" i="34"/>
  <c r="I8" i="34"/>
  <c r="T8" i="32" l="1"/>
  <c r="E7" i="35"/>
  <c r="E11" i="35" s="1"/>
  <c r="Q8" i="32"/>
  <c r="P8" i="32"/>
  <c r="S8" i="26" s="1"/>
  <c r="P7" i="34" l="1"/>
  <c r="P7" i="32" l="1"/>
  <c r="S7" i="26" s="1"/>
  <c r="P6" i="34" l="1"/>
  <c r="P6" i="32" l="1"/>
  <c r="S6" i="26" s="1"/>
  <c r="S11" i="26" s="1"/>
  <c r="Q5" i="26" l="1"/>
  <c r="Q5" i="34"/>
  <c r="J21" i="34" l="1"/>
  <c r="H21" i="34"/>
  <c r="G21" i="34"/>
  <c r="E21" i="34"/>
  <c r="I18" i="34"/>
  <c r="I17" i="34"/>
  <c r="I16" i="34"/>
  <c r="I21" i="34" s="1"/>
  <c r="I15" i="34"/>
  <c r="O11" i="34"/>
  <c r="X18" i="34" s="1"/>
  <c r="N11" i="34"/>
  <c r="W18" i="34" s="1"/>
  <c r="M11" i="34"/>
  <c r="X19" i="34" s="1"/>
  <c r="L11" i="34"/>
  <c r="W19" i="34" s="1"/>
  <c r="K11" i="34"/>
  <c r="X17" i="34" s="1"/>
  <c r="U17" i="32" s="1"/>
  <c r="J11" i="34"/>
  <c r="W17" i="34" s="1"/>
  <c r="I11" i="34"/>
  <c r="P17" i="34" s="1"/>
  <c r="H11" i="34"/>
  <c r="W16" i="34" s="1"/>
  <c r="G11" i="34"/>
  <c r="X15" i="34" s="1"/>
  <c r="F11" i="34"/>
  <c r="W15" i="34" s="1"/>
  <c r="E11" i="34"/>
  <c r="F21" i="34" s="1"/>
  <c r="Q8" i="34"/>
  <c r="Q7" i="34"/>
  <c r="Q6" i="34"/>
  <c r="Q11" i="34" l="1"/>
  <c r="P19" i="34" s="1"/>
  <c r="O19" i="34" s="1"/>
  <c r="P18" i="34"/>
  <c r="O16" i="34"/>
  <c r="P11" i="34"/>
  <c r="W20" i="34" s="1"/>
  <c r="O18" i="34"/>
  <c r="X16" i="34"/>
  <c r="O17" i="34"/>
  <c r="P16" i="34"/>
  <c r="O11" i="32"/>
  <c r="X18" i="32" s="1"/>
  <c r="N11" i="32"/>
  <c r="W18" i="32" s="1"/>
  <c r="M11" i="32"/>
  <c r="X19" i="32" s="1"/>
  <c r="L11" i="32"/>
  <c r="W19" i="32" s="1"/>
  <c r="K11" i="32"/>
  <c r="P18" i="32" s="1"/>
  <c r="J11" i="32"/>
  <c r="W17" i="32" s="1"/>
  <c r="I11" i="32"/>
  <c r="H11" i="32"/>
  <c r="W16" i="32" s="1"/>
  <c r="G11" i="32"/>
  <c r="F11" i="32"/>
  <c r="W15" i="32" s="1"/>
  <c r="E11" i="32"/>
  <c r="Q7" i="32"/>
  <c r="Q6" i="32"/>
  <c r="P16" i="32" l="1"/>
  <c r="O16" i="32"/>
  <c r="O20" i="34"/>
  <c r="Q11" i="32"/>
  <c r="P19" i="32" s="1"/>
  <c r="O19" i="32" s="1"/>
  <c r="O17" i="32"/>
  <c r="X17" i="32"/>
  <c r="P17" i="32"/>
  <c r="X15" i="32"/>
  <c r="P11" i="32"/>
  <c r="O18" i="32"/>
  <c r="X16" i="32"/>
  <c r="F2" i="4"/>
  <c r="F3" i="4"/>
  <c r="F4" i="4"/>
  <c r="F5" i="4"/>
  <c r="F6" i="4"/>
  <c r="F7" i="4"/>
  <c r="F8" i="4"/>
  <c r="F9" i="4"/>
  <c r="F10" i="4"/>
  <c r="F11" i="4"/>
  <c r="F12" i="4"/>
  <c r="F13" i="4"/>
  <c r="W20" i="32" l="1"/>
  <c r="Q12" i="26"/>
  <c r="O20" i="32"/>
  <c r="E13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C14" i="1" l="1"/>
  <c r="C7" i="4" l="1"/>
  <c r="F8" i="3" l="1"/>
  <c r="F7" i="3"/>
  <c r="F6" i="3"/>
  <c r="F5" i="3"/>
  <c r="F4" i="3"/>
  <c r="F3" i="3"/>
  <c r="F2" i="3"/>
  <c r="E8" i="3"/>
  <c r="E7" i="3"/>
  <c r="E6" i="3"/>
  <c r="E5" i="3"/>
  <c r="E4" i="3"/>
  <c r="E3" i="3"/>
  <c r="E2" i="3"/>
  <c r="D8" i="3"/>
  <c r="D7" i="3"/>
  <c r="D6" i="3"/>
  <c r="D5" i="3"/>
  <c r="D4" i="3"/>
  <c r="D3" i="3"/>
  <c r="D2" i="3"/>
  <c r="F25" i="2"/>
  <c r="F51" i="2" s="1"/>
  <c r="F24" i="2"/>
  <c r="F50" i="2" s="1"/>
  <c r="F23" i="2"/>
  <c r="F49" i="2" s="1"/>
  <c r="F22" i="2"/>
  <c r="F48" i="2" s="1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5" i="2"/>
  <c r="E51" i="2" s="1"/>
  <c r="W25" i="2" s="1"/>
  <c r="X25" i="2" s="1"/>
  <c r="E24" i="2"/>
  <c r="E50" i="2" s="1"/>
  <c r="W24" i="2" s="1"/>
  <c r="X24" i="2" s="1"/>
  <c r="E23" i="2"/>
  <c r="E49" i="2" s="1"/>
  <c r="W23" i="2" s="1"/>
  <c r="X23" i="2" s="1"/>
  <c r="E22" i="2"/>
  <c r="E48" i="2" s="1"/>
  <c r="W22" i="2" s="1"/>
  <c r="X22" i="2" s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25" i="2"/>
  <c r="D51" i="2" s="1"/>
  <c r="O25" i="2" s="1"/>
  <c r="P25" i="2" s="1"/>
  <c r="D24" i="2"/>
  <c r="D50" i="2" s="1"/>
  <c r="O24" i="2" s="1"/>
  <c r="P24" i="2" s="1"/>
  <c r="D23" i="2"/>
  <c r="D49" i="2" s="1"/>
  <c r="O23" i="2" s="1"/>
  <c r="P23" i="2" s="1"/>
  <c r="D22" i="2"/>
  <c r="D48" i="2" s="1"/>
  <c r="O22" i="2" s="1"/>
  <c r="P22" i="2" s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9" i="2" s="1"/>
  <c r="O3" i="2" s="1"/>
  <c r="F27" i="2" l="1"/>
  <c r="E13" i="4"/>
  <c r="E12" i="4"/>
  <c r="E11" i="4"/>
  <c r="E10" i="4"/>
  <c r="E9" i="4"/>
  <c r="E8" i="4"/>
  <c r="E7" i="4"/>
  <c r="E6" i="4"/>
  <c r="E5" i="4"/>
  <c r="E4" i="4"/>
  <c r="E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6" i="4"/>
  <c r="C5" i="4"/>
  <c r="C4" i="4"/>
  <c r="C3" i="4"/>
  <c r="C2" i="4"/>
  <c r="F13" i="1" l="1"/>
  <c r="F12" i="1"/>
  <c r="F11" i="1"/>
  <c r="F10" i="1"/>
  <c r="F9" i="1"/>
  <c r="F8" i="1"/>
  <c r="F7" i="1"/>
  <c r="F6" i="1"/>
  <c r="F5" i="1"/>
  <c r="F4" i="1"/>
  <c r="F3" i="1"/>
  <c r="F2" i="1"/>
  <c r="E10" i="31" l="1"/>
  <c r="H10" i="31" s="1"/>
  <c r="E8" i="31"/>
  <c r="E7" i="31"/>
  <c r="H7" i="31" s="1"/>
  <c r="E6" i="31"/>
  <c r="H6" i="31" s="1"/>
  <c r="E5" i="31"/>
  <c r="H5" i="31" s="1"/>
  <c r="E4" i="31"/>
  <c r="H4" i="31" s="1"/>
  <c r="D10" i="31"/>
  <c r="D8" i="31"/>
  <c r="D6" i="31"/>
  <c r="D4" i="31"/>
  <c r="H8" i="31" l="1"/>
  <c r="G4" i="31"/>
  <c r="I4" i="31" s="1"/>
  <c r="G6" i="31"/>
  <c r="I6" i="31" s="1"/>
  <c r="G8" i="31"/>
  <c r="D5" i="31"/>
  <c r="G5" i="31" s="1"/>
  <c r="I5" i="31" s="1"/>
  <c r="G10" i="31"/>
  <c r="I10" i="31" s="1"/>
  <c r="R8" i="26"/>
  <c r="R7" i="26"/>
  <c r="R6" i="26"/>
  <c r="R5" i="26"/>
  <c r="E8" i="26"/>
  <c r="E11" i="26"/>
  <c r="E7" i="26"/>
  <c r="E6" i="26"/>
  <c r="E5" i="26"/>
  <c r="F11" i="26"/>
  <c r="H11" i="26"/>
  <c r="I8" i="31" l="1"/>
  <c r="R11" i="26"/>
  <c r="O16" i="26"/>
  <c r="P19" i="26" l="1"/>
  <c r="O19" i="26" s="1"/>
  <c r="P11" i="26"/>
  <c r="O11" i="26"/>
  <c r="W18" i="26" s="1"/>
  <c r="F10" i="24"/>
  <c r="M11" i="24"/>
  <c r="K11" i="24"/>
  <c r="I11" i="24"/>
  <c r="I16" i="26"/>
  <c r="Q6" i="26" s="1"/>
  <c r="I17" i="26"/>
  <c r="Q7" i="26" s="1"/>
  <c r="I18" i="26"/>
  <c r="Q8" i="26" s="1"/>
  <c r="I15" i="26"/>
  <c r="Q11" i="26" s="1"/>
  <c r="W20" i="26" s="1"/>
  <c r="F21" i="26"/>
  <c r="I11" i="26"/>
  <c r="W16" i="26" s="1"/>
  <c r="J11" i="26"/>
  <c r="K11" i="26"/>
  <c r="W17" i="26" s="1"/>
  <c r="L11" i="26"/>
  <c r="M11" i="26"/>
  <c r="W19" i="26" s="1"/>
  <c r="N11" i="26"/>
  <c r="G11" i="26"/>
  <c r="W15" i="26" s="1"/>
  <c r="X19" i="26" l="1"/>
  <c r="O18" i="26"/>
  <c r="X17" i="26"/>
  <c r="O17" i="26"/>
  <c r="O20" i="26" s="1"/>
  <c r="X16" i="26"/>
  <c r="X15" i="26"/>
  <c r="X18" i="26"/>
  <c r="P16" i="26"/>
  <c r="P18" i="26"/>
  <c r="P17" i="26"/>
  <c r="G21" i="26"/>
  <c r="H21" i="26"/>
  <c r="I21" i="26"/>
  <c r="J21" i="26"/>
  <c r="E21" i="26"/>
  <c r="E10" i="24"/>
  <c r="I10" i="24" l="1"/>
  <c r="J10" i="24"/>
  <c r="K10" i="24"/>
  <c r="L10" i="24"/>
  <c r="M10" i="24"/>
  <c r="N10" i="24"/>
  <c r="O10" i="24"/>
  <c r="P10" i="24"/>
  <c r="G10" i="24"/>
  <c r="H17" i="30" l="1"/>
  <c r="E12" i="29" l="1"/>
  <c r="E19" i="19" l="1"/>
  <c r="H55" i="27" l="1"/>
  <c r="H54" i="27"/>
  <c r="H53" i="27"/>
  <c r="H52" i="27"/>
  <c r="H51" i="27"/>
  <c r="H50" i="27"/>
  <c r="H49" i="27"/>
  <c r="H48" i="27"/>
  <c r="H47" i="27"/>
  <c r="H46" i="27"/>
  <c r="H45" i="27"/>
  <c r="H41" i="27"/>
  <c r="H40" i="27"/>
  <c r="H39" i="27"/>
  <c r="H38" i="27"/>
  <c r="H37" i="27"/>
  <c r="H36" i="27"/>
  <c r="H35" i="27"/>
  <c r="H34" i="27"/>
  <c r="H33" i="27"/>
  <c r="H32" i="27"/>
  <c r="H28" i="27"/>
  <c r="H27" i="27"/>
  <c r="H26" i="27"/>
  <c r="H25" i="27"/>
  <c r="H24" i="27"/>
  <c r="H23" i="27"/>
  <c r="H22" i="27"/>
  <c r="H21" i="27"/>
  <c r="H20" i="27"/>
  <c r="H19" i="27"/>
  <c r="H15" i="27"/>
  <c r="H14" i="27"/>
  <c r="H13" i="27"/>
  <c r="H12" i="27"/>
  <c r="H11" i="27"/>
  <c r="H10" i="27"/>
  <c r="H9" i="27"/>
  <c r="H8" i="27"/>
  <c r="H7" i="27"/>
  <c r="H6" i="27"/>
  <c r="E5" i="13"/>
  <c r="F5" i="29" s="1"/>
  <c r="I78" i="13"/>
  <c r="I60" i="13"/>
  <c r="I66" i="13"/>
  <c r="H78" i="13"/>
  <c r="I76" i="13"/>
  <c r="H76" i="13"/>
  <c r="I74" i="13"/>
  <c r="H74" i="13"/>
  <c r="H66" i="13"/>
  <c r="I62" i="13"/>
  <c r="H62" i="13"/>
  <c r="H60" i="13"/>
  <c r="H52" i="13"/>
  <c r="H51" i="13"/>
  <c r="H50" i="13"/>
  <c r="H48" i="13" s="1"/>
  <c r="I48" i="13"/>
  <c r="H42" i="13"/>
  <c r="H41" i="13"/>
  <c r="H40" i="13"/>
  <c r="H39" i="13"/>
  <c r="I37" i="13"/>
  <c r="H31" i="13"/>
  <c r="H30" i="13"/>
  <c r="H29" i="13"/>
  <c r="H28" i="13"/>
  <c r="I26" i="13"/>
  <c r="H20" i="13"/>
  <c r="H19" i="13"/>
  <c r="H18" i="13"/>
  <c r="H17" i="13"/>
  <c r="I15" i="13"/>
  <c r="I10" i="13"/>
  <c r="H10" i="13"/>
  <c r="I5" i="13"/>
  <c r="H5" i="13"/>
  <c r="I14" i="13" l="1"/>
  <c r="I65" i="13"/>
  <c r="I64" i="13" s="1"/>
  <c r="H15" i="13"/>
  <c r="H37" i="13"/>
  <c r="H65" i="13"/>
  <c r="H64" i="13" s="1"/>
  <c r="H26" i="13"/>
  <c r="AU28" i="21"/>
  <c r="AP28" i="21"/>
  <c r="H14" i="13" l="1"/>
  <c r="H13" i="13" s="1"/>
  <c r="H4" i="13" s="1"/>
  <c r="I13" i="13"/>
  <c r="I4" i="13" s="1"/>
  <c r="J7" i="13" s="1"/>
  <c r="AU34" i="21"/>
  <c r="AU32" i="21"/>
  <c r="AU30" i="21"/>
  <c r="AU36" i="21"/>
  <c r="AT36" i="21"/>
  <c r="AS36" i="21"/>
  <c r="AR36" i="21"/>
  <c r="AQ36" i="21"/>
  <c r="AP32" i="21"/>
  <c r="AP34" i="21"/>
  <c r="AP30" i="21"/>
  <c r="AP36" i="21"/>
  <c r="AO36" i="21"/>
  <c r="AL36" i="21"/>
  <c r="J61" i="13" l="1"/>
  <c r="J60" i="13" s="1"/>
  <c r="J71" i="13"/>
  <c r="J70" i="13"/>
  <c r="J79" i="13"/>
  <c r="J68" i="13"/>
  <c r="J67" i="13"/>
  <c r="J69" i="13"/>
  <c r="J73" i="13"/>
  <c r="J75" i="13"/>
  <c r="J74" i="13" s="1"/>
  <c r="J72" i="13"/>
  <c r="J55" i="13"/>
  <c r="J46" i="13"/>
  <c r="J38" i="13"/>
  <c r="J29" i="13"/>
  <c r="J20" i="13"/>
  <c r="J8" i="13"/>
  <c r="J12" i="13"/>
  <c r="J31" i="13"/>
  <c r="J11" i="13"/>
  <c r="J54" i="13"/>
  <c r="J45" i="13"/>
  <c r="J36" i="13"/>
  <c r="J28" i="13"/>
  <c r="J19" i="13"/>
  <c r="J32" i="13"/>
  <c r="J49" i="13"/>
  <c r="J77" i="13"/>
  <c r="J53" i="13"/>
  <c r="J44" i="13"/>
  <c r="J35" i="13"/>
  <c r="J27" i="13"/>
  <c r="J18" i="13"/>
  <c r="J63" i="13"/>
  <c r="J52" i="13"/>
  <c r="J43" i="13"/>
  <c r="J34" i="13"/>
  <c r="J25" i="13"/>
  <c r="J17" i="13"/>
  <c r="J51" i="13"/>
  <c r="J42" i="13"/>
  <c r="J33" i="13"/>
  <c r="J24" i="13"/>
  <c r="J16" i="13"/>
  <c r="J58" i="13"/>
  <c r="J50" i="13"/>
  <c r="J41" i="13"/>
  <c r="J23" i="13"/>
  <c r="J57" i="13"/>
  <c r="J40" i="13"/>
  <c r="J22" i="13"/>
  <c r="J59" i="13"/>
  <c r="J56" i="13"/>
  <c r="J47" i="13"/>
  <c r="J39" i="13"/>
  <c r="J30" i="13"/>
  <c r="J21" i="13"/>
  <c r="J9" i="13"/>
  <c r="J6" i="13"/>
  <c r="F21" i="9"/>
  <c r="H21" i="9" s="1"/>
  <c r="H22" i="9"/>
  <c r="J78" i="13" l="1"/>
  <c r="E78" i="13"/>
  <c r="F15" i="29" s="1"/>
  <c r="J76" i="13"/>
  <c r="J62" i="13"/>
  <c r="J66" i="13"/>
  <c r="J65" i="13" s="1"/>
  <c r="J64" i="13" s="1"/>
  <c r="J37" i="13"/>
  <c r="J48" i="13"/>
  <c r="J15" i="13"/>
  <c r="J26" i="13"/>
  <c r="J5" i="13"/>
  <c r="J10" i="13"/>
  <c r="H56" i="27"/>
  <c r="G55" i="27"/>
  <c r="G54" i="27"/>
  <c r="G53" i="27"/>
  <c r="G52" i="27"/>
  <c r="G51" i="27"/>
  <c r="G50" i="27"/>
  <c r="G49" i="27"/>
  <c r="G47" i="27"/>
  <c r="G46" i="27"/>
  <c r="G45" i="27"/>
  <c r="G41" i="27"/>
  <c r="G40" i="27"/>
  <c r="G39" i="27"/>
  <c r="G38" i="27"/>
  <c r="G37" i="27"/>
  <c r="G34" i="27"/>
  <c r="G33" i="27"/>
  <c r="H42" i="27"/>
  <c r="I35" i="27" s="1"/>
  <c r="G32" i="27"/>
  <c r="G28" i="27"/>
  <c r="G27" i="27"/>
  <c r="G26" i="27"/>
  <c r="G25" i="27"/>
  <c r="G24" i="27"/>
  <c r="G21" i="27"/>
  <c r="G20" i="27"/>
  <c r="G19" i="27"/>
  <c r="G15" i="27"/>
  <c r="G14" i="27"/>
  <c r="G13" i="27"/>
  <c r="G12" i="27"/>
  <c r="G11" i="27"/>
  <c r="G8" i="27"/>
  <c r="G7" i="27"/>
  <c r="G6" i="27"/>
  <c r="I39" i="27" l="1"/>
  <c r="I40" i="27"/>
  <c r="I36" i="27"/>
  <c r="I37" i="27"/>
  <c r="I38" i="27"/>
  <c r="I32" i="27"/>
  <c r="I33" i="27"/>
  <c r="I41" i="27"/>
  <c r="I34" i="27"/>
  <c r="J14" i="13"/>
  <c r="H29" i="27"/>
  <c r="H16" i="27"/>
  <c r="E38" i="10"/>
  <c r="E9" i="29" s="1"/>
  <c r="I23" i="27" l="1"/>
  <c r="I26" i="27"/>
  <c r="F43" i="10"/>
  <c r="F48" i="10"/>
  <c r="F42" i="10"/>
  <c r="F39" i="10"/>
  <c r="F41" i="10"/>
  <c r="F40" i="10"/>
  <c r="F47" i="10"/>
  <c r="F46" i="10"/>
  <c r="F45" i="10"/>
  <c r="F44" i="10"/>
  <c r="I49" i="27"/>
  <c r="I48" i="27"/>
  <c r="I47" i="27"/>
  <c r="I54" i="27"/>
  <c r="I46" i="27"/>
  <c r="I53" i="27"/>
  <c r="I52" i="27"/>
  <c r="I51" i="27"/>
  <c r="I45" i="27"/>
  <c r="I50" i="27"/>
  <c r="I55" i="27"/>
  <c r="I24" i="27"/>
  <c r="I27" i="27"/>
  <c r="I21" i="27"/>
  <c r="I20" i="27"/>
  <c r="I28" i="27"/>
  <c r="I25" i="27"/>
  <c r="I22" i="27"/>
  <c r="I19" i="27"/>
  <c r="I9" i="27"/>
  <c r="I10" i="27"/>
  <c r="I11" i="27"/>
  <c r="I12" i="27"/>
  <c r="I13" i="27"/>
  <c r="I6" i="27"/>
  <c r="I14" i="27"/>
  <c r="I7" i="27"/>
  <c r="I15" i="27"/>
  <c r="I8" i="27"/>
  <c r="T9" i="4"/>
  <c r="Q9" i="4"/>
  <c r="Q10" i="4"/>
  <c r="T10" i="4" s="1"/>
  <c r="Q11" i="4"/>
  <c r="T11" i="4" s="1"/>
  <c r="Q12" i="4"/>
  <c r="P9" i="4"/>
  <c r="P11" i="4"/>
  <c r="P6" i="4"/>
  <c r="M9" i="4"/>
  <c r="M10" i="4"/>
  <c r="P10" i="4" s="1"/>
  <c r="M11" i="4"/>
  <c r="F18" i="4"/>
  <c r="F19" i="4"/>
  <c r="F20" i="4"/>
  <c r="F21" i="4"/>
  <c r="F22" i="4"/>
  <c r="F23" i="4"/>
  <c r="F24" i="4"/>
  <c r="F25" i="4"/>
  <c r="F26" i="4"/>
  <c r="F27" i="4"/>
  <c r="F28" i="4"/>
  <c r="E18" i="4"/>
  <c r="R7" i="4" s="1"/>
  <c r="S7" i="4" s="1"/>
  <c r="E19" i="4"/>
  <c r="R8" i="4" s="1"/>
  <c r="S8" i="4" s="1"/>
  <c r="E20" i="4"/>
  <c r="R9" i="4" s="1"/>
  <c r="S9" i="4" s="1"/>
  <c r="E21" i="4"/>
  <c r="R10" i="4" s="1"/>
  <c r="S10" i="4" s="1"/>
  <c r="E22" i="4"/>
  <c r="R11" i="4" s="1"/>
  <c r="S11" i="4" s="1"/>
  <c r="E23" i="4"/>
  <c r="R12" i="4" s="1"/>
  <c r="S12" i="4" s="1"/>
  <c r="E24" i="4"/>
  <c r="R13" i="4" s="1"/>
  <c r="S13" i="4" s="1"/>
  <c r="E25" i="4"/>
  <c r="R14" i="4" s="1"/>
  <c r="S14" i="4" s="1"/>
  <c r="E26" i="4"/>
  <c r="R15" i="4" s="1"/>
  <c r="S15" i="4" s="1"/>
  <c r="E27" i="4"/>
  <c r="R16" i="4" s="1"/>
  <c r="S16" i="4" s="1"/>
  <c r="E28" i="4"/>
  <c r="R17" i="4" s="1"/>
  <c r="S17" i="4" s="1"/>
  <c r="D18" i="4"/>
  <c r="N7" i="4" s="1"/>
  <c r="O7" i="4" s="1"/>
  <c r="D19" i="4"/>
  <c r="N8" i="4" s="1"/>
  <c r="O8" i="4" s="1"/>
  <c r="D20" i="4"/>
  <c r="N9" i="4" s="1"/>
  <c r="O9" i="4" s="1"/>
  <c r="D21" i="4"/>
  <c r="N10" i="4" s="1"/>
  <c r="O10" i="4" s="1"/>
  <c r="D22" i="4"/>
  <c r="N11" i="4" s="1"/>
  <c r="O11" i="4" s="1"/>
  <c r="D23" i="4"/>
  <c r="N12" i="4" s="1"/>
  <c r="O12" i="4" s="1"/>
  <c r="D24" i="4"/>
  <c r="N13" i="4" s="1"/>
  <c r="O13" i="4" s="1"/>
  <c r="D25" i="4"/>
  <c r="N14" i="4" s="1"/>
  <c r="O14" i="4" s="1"/>
  <c r="D26" i="4"/>
  <c r="N15" i="4" s="1"/>
  <c r="O15" i="4" s="1"/>
  <c r="D27" i="4"/>
  <c r="N16" i="4" s="1"/>
  <c r="O16" i="4" s="1"/>
  <c r="D28" i="4"/>
  <c r="N17" i="4" s="1"/>
  <c r="O17" i="4" s="1"/>
  <c r="I56" i="27" l="1"/>
  <c r="J13" i="13"/>
  <c r="J4" i="13" s="1"/>
  <c r="I42" i="27"/>
  <c r="I29" i="27"/>
  <c r="I16" i="27"/>
  <c r="H8" i="24"/>
  <c r="E14" i="4" l="1"/>
  <c r="D14" i="4"/>
  <c r="E11" i="31" s="1"/>
  <c r="C14" i="4"/>
  <c r="D11" i="31" s="1"/>
  <c r="G11" i="31" l="1"/>
  <c r="H11" i="31"/>
  <c r="F31" i="21"/>
  <c r="E31" i="21"/>
  <c r="D31" i="21"/>
  <c r="G29" i="21"/>
  <c r="G27" i="21"/>
  <c r="G25" i="21"/>
  <c r="G23" i="21"/>
  <c r="I11" i="31" l="1"/>
  <c r="G31" i="21"/>
  <c r="O28" i="6"/>
  <c r="F37" i="6"/>
  <c r="E22" i="9"/>
  <c r="E21" i="9"/>
  <c r="G22" i="9"/>
  <c r="G21" i="9"/>
  <c r="AB17" i="19" l="1"/>
  <c r="AB15" i="19"/>
  <c r="AB16" i="19"/>
  <c r="AB14" i="19"/>
  <c r="Z25" i="19" l="1"/>
  <c r="Z24" i="19"/>
  <c r="Z23" i="19"/>
  <c r="Z22" i="19"/>
  <c r="Z21" i="19"/>
  <c r="Z20" i="19"/>
  <c r="Z19" i="19"/>
  <c r="Z18" i="19"/>
  <c r="Z17" i="19"/>
  <c r="Z16" i="19"/>
  <c r="Z15" i="19"/>
  <c r="Z14" i="19"/>
  <c r="D19" i="19"/>
  <c r="D20" i="19"/>
  <c r="P10" i="19" l="1"/>
  <c r="P8" i="19"/>
  <c r="N8" i="19"/>
  <c r="L8" i="19"/>
  <c r="G7" i="25" l="1"/>
  <c r="R12" i="3" l="1"/>
  <c r="R13" i="3"/>
  <c r="O12" i="3"/>
  <c r="O13" i="3"/>
  <c r="N12" i="3"/>
  <c r="N13" i="3"/>
  <c r="K12" i="3"/>
  <c r="K13" i="3"/>
  <c r="E11" i="3"/>
  <c r="D11" i="3"/>
  <c r="L7" i="3" s="1"/>
  <c r="D17" i="3"/>
  <c r="L13" i="3" s="1"/>
  <c r="M13" i="3" s="1"/>
  <c r="V21" i="2"/>
  <c r="Y21" i="2" s="1"/>
  <c r="N21" i="2"/>
  <c r="Q21" i="2" s="1"/>
  <c r="F47" i="2"/>
  <c r="E47" i="2"/>
  <c r="W21" i="2" s="1"/>
  <c r="X21" i="2" s="1"/>
  <c r="D47" i="2"/>
  <c r="U7" i="1"/>
  <c r="U6" i="1"/>
  <c r="R7" i="1"/>
  <c r="R6" i="1"/>
  <c r="Q7" i="1"/>
  <c r="Q6" i="1"/>
  <c r="N7" i="1"/>
  <c r="N6" i="1"/>
  <c r="O21" i="2" l="1"/>
  <c r="P21" i="2" s="1"/>
  <c r="K12" i="24"/>
  <c r="F16" i="3"/>
  <c r="D16" i="3"/>
  <c r="L12" i="3" s="1"/>
  <c r="M12" i="3" s="1"/>
  <c r="E13" i="3"/>
  <c r="F17" i="3"/>
  <c r="E17" i="3"/>
  <c r="P13" i="3" s="1"/>
  <c r="Q13" i="3" s="1"/>
  <c r="E16" i="3"/>
  <c r="P12" i="3" s="1"/>
  <c r="Q12" i="3" s="1"/>
  <c r="F15" i="3"/>
  <c r="E15" i="3"/>
  <c r="P11" i="3" s="1"/>
  <c r="D15" i="3"/>
  <c r="L11" i="3" s="1"/>
  <c r="F14" i="3"/>
  <c r="E14" i="3"/>
  <c r="D14" i="3"/>
  <c r="L10" i="3" s="1"/>
  <c r="F13" i="3"/>
  <c r="D13" i="3"/>
  <c r="L9" i="3" s="1"/>
  <c r="F12" i="3"/>
  <c r="E12" i="3"/>
  <c r="D12" i="3"/>
  <c r="L8" i="3" s="1"/>
  <c r="F11" i="3"/>
  <c r="E14" i="1" l="1"/>
  <c r="D14" i="1"/>
  <c r="D4" i="6" s="1"/>
  <c r="G33" i="6" s="1"/>
  <c r="H33" i="6" s="1"/>
  <c r="H4" i="24" l="1"/>
  <c r="C9" i="3"/>
  <c r="D9" i="31" s="1"/>
  <c r="H6" i="24" l="1"/>
  <c r="C27" i="2"/>
  <c r="H5" i="24" l="1"/>
  <c r="D7" i="31"/>
  <c r="E20" i="1"/>
  <c r="S8" i="1" s="1"/>
  <c r="E16" i="1"/>
  <c r="S4" i="1" s="1"/>
  <c r="F27" i="1"/>
  <c r="E27" i="1"/>
  <c r="S15" i="1" s="1"/>
  <c r="D27" i="1"/>
  <c r="O15" i="1" s="1"/>
  <c r="F26" i="1"/>
  <c r="E26" i="1"/>
  <c r="S14" i="1" s="1"/>
  <c r="D26" i="1"/>
  <c r="O14" i="1" s="1"/>
  <c r="F25" i="1"/>
  <c r="E25" i="1"/>
  <c r="S13" i="1" s="1"/>
  <c r="D25" i="1"/>
  <c r="O13" i="1" s="1"/>
  <c r="F24" i="1"/>
  <c r="E24" i="1"/>
  <c r="S12" i="1" s="1"/>
  <c r="D24" i="1"/>
  <c r="O12" i="1" s="1"/>
  <c r="F23" i="1"/>
  <c r="E23" i="1"/>
  <c r="S11" i="1" s="1"/>
  <c r="D23" i="1"/>
  <c r="O11" i="1" s="1"/>
  <c r="F22" i="1"/>
  <c r="E22" i="1"/>
  <c r="S10" i="1" s="1"/>
  <c r="D22" i="1"/>
  <c r="O10" i="1" s="1"/>
  <c r="F21" i="1"/>
  <c r="E21" i="1"/>
  <c r="S9" i="1" s="1"/>
  <c r="D21" i="1"/>
  <c r="O9" i="1" s="1"/>
  <c r="F20" i="1"/>
  <c r="D20" i="1"/>
  <c r="O8" i="1" s="1"/>
  <c r="F19" i="1"/>
  <c r="E19" i="1"/>
  <c r="S7" i="1" s="1"/>
  <c r="T7" i="1" s="1"/>
  <c r="D19" i="1"/>
  <c r="O7" i="1" s="1"/>
  <c r="P7" i="1" s="1"/>
  <c r="F18" i="1"/>
  <c r="E18" i="1"/>
  <c r="S6" i="1" s="1"/>
  <c r="T6" i="1" s="1"/>
  <c r="D18" i="1"/>
  <c r="O6" i="1" s="1"/>
  <c r="P6" i="1" s="1"/>
  <c r="F17" i="1"/>
  <c r="E17" i="1"/>
  <c r="S5" i="1" s="1"/>
  <c r="D17" i="1"/>
  <c r="O5" i="1" s="1"/>
  <c r="F16" i="1"/>
  <c r="D16" i="1"/>
  <c r="O4" i="1" s="1"/>
  <c r="G7" i="31" l="1"/>
  <c r="I7" i="31" s="1"/>
  <c r="D12" i="31"/>
  <c r="E13" i="20"/>
  <c r="C17" i="22" l="1"/>
  <c r="C16" i="22"/>
  <c r="C15" i="22"/>
  <c r="C14" i="22"/>
  <c r="C18" i="22" l="1"/>
  <c r="C23" i="22" s="1"/>
  <c r="AE16" i="21"/>
  <c r="AC16" i="21"/>
  <c r="AB16" i="21"/>
  <c r="Y16" i="21"/>
  <c r="E7" i="22" s="1"/>
  <c r="X16" i="21"/>
  <c r="E8" i="22" s="1"/>
  <c r="W16" i="21"/>
  <c r="V16" i="21"/>
  <c r="S16" i="21"/>
  <c r="R16" i="21"/>
  <c r="Q16" i="21"/>
  <c r="O16" i="21"/>
  <c r="N16" i="21"/>
  <c r="M16" i="21"/>
  <c r="L16" i="21"/>
  <c r="K16" i="21"/>
  <c r="J16" i="21"/>
  <c r="H16" i="21"/>
  <c r="E16" i="21"/>
  <c r="AD15" i="21"/>
  <c r="AA15" i="21"/>
  <c r="Z15" i="21"/>
  <c r="AD14" i="21"/>
  <c r="U14" i="21"/>
  <c r="AA14" i="21" s="1"/>
  <c r="T14" i="21"/>
  <c r="Z14" i="21" s="1"/>
  <c r="P14" i="21"/>
  <c r="I14" i="21"/>
  <c r="AD13" i="21"/>
  <c r="AA13" i="21"/>
  <c r="Z13" i="21"/>
  <c r="P13" i="21"/>
  <c r="AD12" i="21"/>
  <c r="U12" i="21"/>
  <c r="AA12" i="21" s="1"/>
  <c r="T12" i="21"/>
  <c r="Z12" i="21" s="1"/>
  <c r="P12" i="21"/>
  <c r="I12" i="21"/>
  <c r="AD11" i="21"/>
  <c r="AA11" i="21"/>
  <c r="Z11" i="21"/>
  <c r="P11" i="21"/>
  <c r="AD10" i="21"/>
  <c r="U10" i="21"/>
  <c r="T10" i="21"/>
  <c r="P10" i="21"/>
  <c r="I10" i="21"/>
  <c r="AD9" i="21"/>
  <c r="AA9" i="21"/>
  <c r="D14" i="22" s="1"/>
  <c r="Z9" i="21"/>
  <c r="E14" i="22" s="1"/>
  <c r="P9" i="21"/>
  <c r="AD8" i="21"/>
  <c r="AA8" i="21"/>
  <c r="T8" i="21"/>
  <c r="Z8" i="21" s="1"/>
  <c r="P8" i="21"/>
  <c r="I8" i="21"/>
  <c r="E16" i="22" l="1"/>
  <c r="F14" i="22"/>
  <c r="U16" i="21"/>
  <c r="D7" i="22" s="1"/>
  <c r="G7" i="22" s="1"/>
  <c r="E17" i="22"/>
  <c r="D16" i="22"/>
  <c r="F16" i="22" s="1"/>
  <c r="D17" i="22"/>
  <c r="F17" i="22" s="1"/>
  <c r="P16" i="21"/>
  <c r="E6" i="22" s="1"/>
  <c r="C24" i="22"/>
  <c r="C25" i="22"/>
  <c r="C22" i="22"/>
  <c r="T16" i="21"/>
  <c r="D8" i="22" s="1"/>
  <c r="G8" i="22" s="1"/>
  <c r="AA10" i="21"/>
  <c r="D15" i="22" s="1"/>
  <c r="AD16" i="21"/>
  <c r="I16" i="21"/>
  <c r="Z10" i="21"/>
  <c r="E11" i="20"/>
  <c r="F7" i="22" l="1"/>
  <c r="F8" i="22"/>
  <c r="D18" i="22"/>
  <c r="D23" i="22"/>
  <c r="Z16" i="21"/>
  <c r="E15" i="22"/>
  <c r="AA16" i="21"/>
  <c r="D24" i="22"/>
  <c r="D6" i="22"/>
  <c r="G6" i="22" s="1"/>
  <c r="E9" i="22"/>
  <c r="Y26" i="19"/>
  <c r="X26" i="19"/>
  <c r="W26" i="19"/>
  <c r="V26" i="19"/>
  <c r="E18" i="22" l="1"/>
  <c r="E23" i="22"/>
  <c r="F15" i="22"/>
  <c r="F18" i="22" s="1"/>
  <c r="D25" i="22"/>
  <c r="D22" i="22"/>
  <c r="F6" i="22"/>
  <c r="D9" i="22"/>
  <c r="F9" i="22" s="1"/>
  <c r="C21" i="19"/>
  <c r="I20" i="19"/>
  <c r="M22" i="19"/>
  <c r="L22" i="19"/>
  <c r="K22" i="19"/>
  <c r="J22" i="19"/>
  <c r="I22" i="19"/>
  <c r="H22" i="19"/>
  <c r="G22" i="19"/>
  <c r="F22" i="19"/>
  <c r="E22" i="19"/>
  <c r="D22" i="19"/>
  <c r="C22" i="19"/>
  <c r="M21" i="19"/>
  <c r="L21" i="19"/>
  <c r="K21" i="19"/>
  <c r="J21" i="19"/>
  <c r="I21" i="19"/>
  <c r="H21" i="19"/>
  <c r="G21" i="19"/>
  <c r="F21" i="19"/>
  <c r="E21" i="19"/>
  <c r="D21" i="19"/>
  <c r="D23" i="19" s="1"/>
  <c r="M20" i="19"/>
  <c r="L20" i="19"/>
  <c r="K20" i="19"/>
  <c r="J20" i="19"/>
  <c r="H20" i="19"/>
  <c r="G20" i="19"/>
  <c r="F20" i="19"/>
  <c r="E20" i="19"/>
  <c r="C20" i="19"/>
  <c r="M19" i="19"/>
  <c r="L19" i="19"/>
  <c r="K19" i="19"/>
  <c r="J19" i="19"/>
  <c r="I19" i="19"/>
  <c r="H19" i="19"/>
  <c r="G19" i="19"/>
  <c r="F19" i="19"/>
  <c r="B27" i="19"/>
  <c r="C19" i="19" s="1"/>
  <c r="B22" i="19"/>
  <c r="B21" i="19"/>
  <c r="B20" i="19"/>
  <c r="E24" i="22" l="1"/>
  <c r="E22" i="22"/>
  <c r="E25" i="22"/>
  <c r="G9" i="22"/>
  <c r="L23" i="19"/>
  <c r="I23" i="19"/>
  <c r="F23" i="19"/>
  <c r="H23" i="19"/>
  <c r="G23" i="19"/>
  <c r="M23" i="19"/>
  <c r="J23" i="19"/>
  <c r="K23" i="19"/>
  <c r="E23" i="19"/>
  <c r="C23" i="19"/>
  <c r="R27" i="19"/>
  <c r="B19" i="19" s="1"/>
  <c r="B23" i="19" s="1"/>
  <c r="I15" i="19" l="1"/>
  <c r="H15" i="19" l="1"/>
  <c r="G15" i="19"/>
  <c r="F15" i="19"/>
  <c r="E15" i="19"/>
  <c r="D15" i="19"/>
  <c r="C15" i="19"/>
  <c r="B15" i="19"/>
  <c r="I15" i="17" l="1"/>
  <c r="I16" i="17" l="1"/>
  <c r="E4" i="18" l="1"/>
  <c r="G4" i="16" l="1"/>
  <c r="F4" i="16"/>
  <c r="E4" i="16"/>
  <c r="D4" i="16"/>
  <c r="V20" i="2" l="1"/>
  <c r="Y20" i="2" s="1"/>
  <c r="N20" i="2"/>
  <c r="Q20" i="2" s="1"/>
  <c r="V19" i="2"/>
  <c r="Y19" i="2" s="1"/>
  <c r="N19" i="2"/>
  <c r="Q19" i="2" s="1"/>
  <c r="D27" i="2" l="1"/>
  <c r="E11" i="10" l="1"/>
  <c r="E6" i="29" s="1"/>
  <c r="C9" i="14" l="1"/>
  <c r="D10" i="13" l="1"/>
  <c r="D5" i="13"/>
  <c r="D78" i="13"/>
  <c r="C15" i="15" s="1"/>
  <c r="E76" i="13"/>
  <c r="D76" i="13"/>
  <c r="E74" i="13"/>
  <c r="D74" i="13"/>
  <c r="E66" i="13"/>
  <c r="D66" i="13"/>
  <c r="E62" i="13"/>
  <c r="F13" i="29" s="1"/>
  <c r="D62" i="13"/>
  <c r="C14" i="15" s="1"/>
  <c r="E60" i="13"/>
  <c r="F14" i="29" s="1"/>
  <c r="D60" i="13"/>
  <c r="D51" i="13"/>
  <c r="D50" i="13"/>
  <c r="E48" i="13"/>
  <c r="F10" i="29" s="1"/>
  <c r="D40" i="13"/>
  <c r="E37" i="13"/>
  <c r="F9" i="29" s="1"/>
  <c r="D29" i="13"/>
  <c r="E26" i="13"/>
  <c r="F8" i="29" s="1"/>
  <c r="D17" i="13"/>
  <c r="E15" i="13"/>
  <c r="F7" i="29" s="1"/>
  <c r="E10" i="13"/>
  <c r="D11" i="10"/>
  <c r="C3" i="14" s="1"/>
  <c r="F6" i="29" l="1"/>
  <c r="C13" i="15"/>
  <c r="C7" i="15"/>
  <c r="C6" i="15"/>
  <c r="E65" i="13"/>
  <c r="D65" i="13"/>
  <c r="D64" i="13" s="1"/>
  <c r="E14" i="13"/>
  <c r="E64" i="13" l="1"/>
  <c r="F11" i="29"/>
  <c r="F16" i="29"/>
  <c r="C12" i="15"/>
  <c r="E13" i="13"/>
  <c r="E4" i="13" s="1"/>
  <c r="D5" i="10" l="1"/>
  <c r="E49" i="10"/>
  <c r="E10" i="29" s="1"/>
  <c r="D61" i="10"/>
  <c r="D63" i="10"/>
  <c r="D68" i="10"/>
  <c r="D76" i="10"/>
  <c r="D78" i="10"/>
  <c r="D80" i="10"/>
  <c r="E80" i="10"/>
  <c r="E15" i="29" s="1"/>
  <c r="E78" i="10"/>
  <c r="E76" i="10"/>
  <c r="E68" i="10"/>
  <c r="E63" i="10"/>
  <c r="E13" i="29" s="1"/>
  <c r="E61" i="10"/>
  <c r="E14" i="29" s="1"/>
  <c r="E27" i="10"/>
  <c r="E8" i="29" s="1"/>
  <c r="E16" i="10"/>
  <c r="E7" i="29" s="1"/>
  <c r="E5" i="10"/>
  <c r="E5" i="29" s="1"/>
  <c r="C4" i="14" l="1"/>
  <c r="C12" i="14"/>
  <c r="C13" i="14"/>
  <c r="C11" i="14"/>
  <c r="D67" i="10"/>
  <c r="D65" i="10" s="1"/>
  <c r="E67" i="10"/>
  <c r="E11" i="29" s="1"/>
  <c r="E16" i="29" s="1"/>
  <c r="E15" i="10"/>
  <c r="D52" i="10"/>
  <c r="D51" i="10"/>
  <c r="D41" i="10"/>
  <c r="D30" i="10"/>
  <c r="D19" i="10"/>
  <c r="D18" i="10"/>
  <c r="G11" i="9"/>
  <c r="E11" i="9"/>
  <c r="D9" i="8"/>
  <c r="E9" i="8"/>
  <c r="F9" i="8"/>
  <c r="F4" i="18" s="1"/>
  <c r="G8" i="8"/>
  <c r="G7" i="8"/>
  <c r="G6" i="8"/>
  <c r="G5" i="8"/>
  <c r="D18" i="13" s="1"/>
  <c r="G9" i="8" l="1"/>
  <c r="C10" i="14"/>
  <c r="E65" i="10"/>
  <c r="E14" i="10" l="1"/>
  <c r="F9" i="3"/>
  <c r="D6" i="7" s="1"/>
  <c r="F7" i="16" s="1"/>
  <c r="E4" i="10" l="1"/>
  <c r="Q6" i="4"/>
  <c r="T6" i="4" s="1"/>
  <c r="Q17" i="4"/>
  <c r="T17" i="4" s="1"/>
  <c r="Q16" i="4"/>
  <c r="T16" i="4" s="1"/>
  <c r="Q15" i="4"/>
  <c r="T15" i="4" s="1"/>
  <c r="Q14" i="4"/>
  <c r="T14" i="4" s="1"/>
  <c r="Q13" i="4"/>
  <c r="T13" i="4" s="1"/>
  <c r="T12" i="4"/>
  <c r="Q8" i="4"/>
  <c r="T8" i="4" s="1"/>
  <c r="Q7" i="4"/>
  <c r="T7" i="4" s="1"/>
  <c r="M7" i="4"/>
  <c r="P7" i="4" s="1"/>
  <c r="M12" i="4"/>
  <c r="P12" i="4" s="1"/>
  <c r="M13" i="4"/>
  <c r="P13" i="4" s="1"/>
  <c r="M14" i="4"/>
  <c r="P14" i="4" s="1"/>
  <c r="M15" i="4"/>
  <c r="P15" i="4" s="1"/>
  <c r="M16" i="4"/>
  <c r="P16" i="4" s="1"/>
  <c r="M17" i="4"/>
  <c r="P17" i="4" s="1"/>
  <c r="M8" i="4"/>
  <c r="P8" i="4" s="1"/>
  <c r="E17" i="4"/>
  <c r="R6" i="4" s="1"/>
  <c r="S6" i="4" s="1"/>
  <c r="L7" i="4"/>
  <c r="L8" i="4"/>
  <c r="L14" i="4"/>
  <c r="L15" i="4"/>
  <c r="L16" i="4"/>
  <c r="L17" i="4"/>
  <c r="F17" i="4"/>
  <c r="D17" i="4"/>
  <c r="L6" i="4" s="1"/>
  <c r="N6" i="4" l="1"/>
  <c r="O6" i="4" s="1"/>
  <c r="L13" i="4"/>
  <c r="L12" i="4"/>
  <c r="O7" i="3"/>
  <c r="R11" i="3"/>
  <c r="O11" i="3"/>
  <c r="R10" i="3"/>
  <c r="O10" i="3"/>
  <c r="R9" i="3"/>
  <c r="O9" i="3"/>
  <c r="R8" i="3"/>
  <c r="O8" i="3"/>
  <c r="R7" i="3"/>
  <c r="N7" i="3"/>
  <c r="N11" i="3"/>
  <c r="N10" i="3"/>
  <c r="N9" i="3"/>
  <c r="N8" i="3"/>
  <c r="K8" i="3"/>
  <c r="K10" i="3"/>
  <c r="K11" i="3"/>
  <c r="K9" i="3"/>
  <c r="P7" i="3"/>
  <c r="Q7" i="3" s="1"/>
  <c r="P8" i="3"/>
  <c r="Q8" i="3" s="1"/>
  <c r="P9" i="3"/>
  <c r="Q9" i="3" s="1"/>
  <c r="P10" i="3"/>
  <c r="Q10" i="3" s="1"/>
  <c r="Q11" i="3"/>
  <c r="M8" i="3"/>
  <c r="M9" i="3"/>
  <c r="M10" i="3"/>
  <c r="M11" i="3"/>
  <c r="M7" i="3"/>
  <c r="F5" i="5" l="1"/>
  <c r="F4" i="5"/>
  <c r="E8" i="5"/>
  <c r="D8" i="5"/>
  <c r="C8" i="5"/>
  <c r="F7" i="5"/>
  <c r="F6" i="5"/>
  <c r="E3" i="18" l="1"/>
  <c r="E10" i="9"/>
  <c r="D28" i="13"/>
  <c r="D29" i="10"/>
  <c r="F8" i="5"/>
  <c r="G8" i="5" s="1"/>
  <c r="F3" i="18"/>
  <c r="F10" i="9"/>
  <c r="G10" i="9" s="1"/>
  <c r="D39" i="13"/>
  <c r="D40" i="10"/>
  <c r="T5" i="1"/>
  <c r="R4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5" i="1"/>
  <c r="R5" i="1"/>
  <c r="U4" i="1"/>
  <c r="Q15" i="1"/>
  <c r="Q14" i="1"/>
  <c r="Q13" i="1"/>
  <c r="Q12" i="1"/>
  <c r="Q11" i="1"/>
  <c r="Q10" i="1"/>
  <c r="Q9" i="1"/>
  <c r="Q8" i="1"/>
  <c r="Q5" i="1"/>
  <c r="Q4" i="1"/>
  <c r="N5" i="1"/>
  <c r="N8" i="1"/>
  <c r="N10" i="1"/>
  <c r="N11" i="1"/>
  <c r="N12" i="1"/>
  <c r="N13" i="1"/>
  <c r="N14" i="1"/>
  <c r="N15" i="1"/>
  <c r="N9" i="1"/>
  <c r="T15" i="1"/>
  <c r="T14" i="1"/>
  <c r="T13" i="1"/>
  <c r="T12" i="1"/>
  <c r="T11" i="1"/>
  <c r="T10" i="1"/>
  <c r="T9" i="1"/>
  <c r="T8" i="1"/>
  <c r="T4" i="1"/>
  <c r="P15" i="1"/>
  <c r="P14" i="1"/>
  <c r="P13" i="1"/>
  <c r="P12" i="1"/>
  <c r="P11" i="1"/>
  <c r="P10" i="1"/>
  <c r="P5" i="1"/>
  <c r="P8" i="1"/>
  <c r="P9" i="1"/>
  <c r="P4" i="1"/>
  <c r="V3" i="2"/>
  <c r="Y3" i="2" s="1"/>
  <c r="N4" i="2"/>
  <c r="Q4" i="2" s="1"/>
  <c r="V5" i="2"/>
  <c r="Y5" i="2" s="1"/>
  <c r="V4" i="2"/>
  <c r="Y4" i="2" s="1"/>
  <c r="V18" i="2"/>
  <c r="Y18" i="2" s="1"/>
  <c r="V17" i="2"/>
  <c r="Y17" i="2" s="1"/>
  <c r="V16" i="2"/>
  <c r="Y16" i="2" s="1"/>
  <c r="V15" i="2"/>
  <c r="Y15" i="2" s="1"/>
  <c r="V14" i="2"/>
  <c r="Y14" i="2" s="1"/>
  <c r="V13" i="2"/>
  <c r="Y13" i="2" s="1"/>
  <c r="V12" i="2"/>
  <c r="Y12" i="2" s="1"/>
  <c r="V11" i="2"/>
  <c r="Y11" i="2" s="1"/>
  <c r="V10" i="2"/>
  <c r="Y10" i="2" s="1"/>
  <c r="V9" i="2"/>
  <c r="Y9" i="2" s="1"/>
  <c r="V8" i="2"/>
  <c r="Y8" i="2" s="1"/>
  <c r="V7" i="2"/>
  <c r="Y7" i="2" s="1"/>
  <c r="V6" i="2"/>
  <c r="Y6" i="2" s="1"/>
  <c r="Q3" i="2"/>
  <c r="N5" i="2"/>
  <c r="Q5" i="2" s="1"/>
  <c r="N6" i="2"/>
  <c r="Q6" i="2" s="1"/>
  <c r="N7" i="2"/>
  <c r="Q7" i="2" s="1"/>
  <c r="N8" i="2"/>
  <c r="Q8" i="2" s="1"/>
  <c r="N9" i="2"/>
  <c r="Q9" i="2" s="1"/>
  <c r="N10" i="2"/>
  <c r="Q10" i="2" s="1"/>
  <c r="N11" i="2"/>
  <c r="Q11" i="2" s="1"/>
  <c r="N12" i="2"/>
  <c r="Q12" i="2" s="1"/>
  <c r="N13" i="2"/>
  <c r="Q13" i="2" s="1"/>
  <c r="N14" i="2"/>
  <c r="Q14" i="2" s="1"/>
  <c r="N15" i="2"/>
  <c r="Q15" i="2" s="1"/>
  <c r="N16" i="2"/>
  <c r="Q16" i="2" s="1"/>
  <c r="N17" i="2"/>
  <c r="Q17" i="2" s="1"/>
  <c r="N18" i="2"/>
  <c r="Q18" i="2" s="1"/>
  <c r="E37" i="2"/>
  <c r="W11" i="2" s="1"/>
  <c r="E31" i="2"/>
  <c r="W5" i="2" s="1"/>
  <c r="E29" i="2"/>
  <c r="F29" i="2"/>
  <c r="E30" i="2"/>
  <c r="W4" i="2" s="1"/>
  <c r="F30" i="2"/>
  <c r="F31" i="2"/>
  <c r="E32" i="2"/>
  <c r="W6" i="2" s="1"/>
  <c r="F32" i="2"/>
  <c r="E33" i="2"/>
  <c r="W7" i="2" s="1"/>
  <c r="F33" i="2"/>
  <c r="E34" i="2"/>
  <c r="W8" i="2" s="1"/>
  <c r="F34" i="2"/>
  <c r="E35" i="2"/>
  <c r="W9" i="2" s="1"/>
  <c r="F35" i="2"/>
  <c r="E36" i="2"/>
  <c r="W10" i="2" s="1"/>
  <c r="F36" i="2"/>
  <c r="F37" i="2"/>
  <c r="E38" i="2"/>
  <c r="W12" i="2" s="1"/>
  <c r="F38" i="2"/>
  <c r="E39" i="2"/>
  <c r="W13" i="2" s="1"/>
  <c r="F39" i="2"/>
  <c r="E40" i="2"/>
  <c r="W14" i="2" s="1"/>
  <c r="F40" i="2"/>
  <c r="E41" i="2"/>
  <c r="F41" i="2"/>
  <c r="E42" i="2"/>
  <c r="W16" i="2" s="1"/>
  <c r="F42" i="2"/>
  <c r="E43" i="2"/>
  <c r="W17" i="2" s="1"/>
  <c r="F43" i="2"/>
  <c r="E44" i="2"/>
  <c r="W18" i="2" s="1"/>
  <c r="F44" i="2"/>
  <c r="E45" i="2"/>
  <c r="W19" i="2" s="1"/>
  <c r="F45" i="2"/>
  <c r="E46" i="2"/>
  <c r="W20" i="2" s="1"/>
  <c r="X20" i="2" s="1"/>
  <c r="F46" i="2"/>
  <c r="D30" i="2"/>
  <c r="D31" i="2"/>
  <c r="O5" i="2" s="1"/>
  <c r="D32" i="2"/>
  <c r="D33" i="2"/>
  <c r="O7" i="2" s="1"/>
  <c r="D34" i="2"/>
  <c r="O8" i="2" s="1"/>
  <c r="D35" i="2"/>
  <c r="D36" i="2"/>
  <c r="D37" i="2"/>
  <c r="D38" i="2"/>
  <c r="D39" i="2"/>
  <c r="O13" i="2" s="1"/>
  <c r="D40" i="2"/>
  <c r="O14" i="2" s="1"/>
  <c r="D41" i="2"/>
  <c r="D42" i="2"/>
  <c r="D43" i="2"/>
  <c r="O17" i="2" s="1"/>
  <c r="D44" i="2"/>
  <c r="O18" i="2" s="1"/>
  <c r="D45" i="2"/>
  <c r="O19" i="2" s="1"/>
  <c r="D46" i="2"/>
  <c r="O11" i="2" l="1"/>
  <c r="P11" i="2" s="1"/>
  <c r="W3" i="2"/>
  <c r="X3" i="2" s="1"/>
  <c r="O16" i="2"/>
  <c r="P16" i="2" s="1"/>
  <c r="W15" i="2"/>
  <c r="X15" i="2" s="1"/>
  <c r="O6" i="2"/>
  <c r="P6" i="2" s="1"/>
  <c r="P3" i="2"/>
  <c r="P19" i="2"/>
  <c r="O20" i="2"/>
  <c r="P20" i="2" s="1"/>
  <c r="O12" i="2"/>
  <c r="P12" i="2" s="1"/>
  <c r="O4" i="2"/>
  <c r="P4" i="2" s="1"/>
  <c r="O10" i="2"/>
  <c r="P10" i="2" s="1"/>
  <c r="O15" i="2"/>
  <c r="P15" i="2" s="1"/>
  <c r="O9" i="2"/>
  <c r="P9" i="2" s="1"/>
  <c r="X4" i="2"/>
  <c r="X16" i="2"/>
  <c r="X12" i="2"/>
  <c r="X7" i="2"/>
  <c r="X5" i="2"/>
  <c r="X11" i="2"/>
  <c r="X10" i="2"/>
  <c r="X14" i="2"/>
  <c r="X13" i="2"/>
  <c r="X8" i="2"/>
  <c r="X6" i="2"/>
  <c r="X9" i="2"/>
  <c r="P7" i="2"/>
  <c r="P17" i="2"/>
  <c r="P8" i="2"/>
  <c r="P14" i="2"/>
  <c r="X18" i="2"/>
  <c r="X19" i="2"/>
  <c r="P13" i="2"/>
  <c r="P5" i="2"/>
  <c r="X17" i="2"/>
  <c r="P18" i="2"/>
  <c r="F14" i="4"/>
  <c r="D7" i="7" s="1"/>
  <c r="J7" i="6"/>
  <c r="P28" i="6" s="1"/>
  <c r="Q28" i="6" s="1"/>
  <c r="D7" i="6"/>
  <c r="G36" i="6" s="1"/>
  <c r="H36" i="6" s="1"/>
  <c r="P7" i="6" l="1"/>
  <c r="H7" i="24"/>
  <c r="H10" i="24" s="1"/>
  <c r="C7" i="7"/>
  <c r="E7" i="7" s="1"/>
  <c r="C7" i="6"/>
  <c r="E9" i="3"/>
  <c r="J6" i="6" s="1"/>
  <c r="P27" i="6" s="1"/>
  <c r="D9" i="3"/>
  <c r="O27" i="6" l="1"/>
  <c r="O29" i="6" s="1"/>
  <c r="D6" i="6"/>
  <c r="P6" i="6" s="1"/>
  <c r="F6" i="16" s="1"/>
  <c r="E9" i="31"/>
  <c r="G12" i="24"/>
  <c r="G11" i="24"/>
  <c r="I7" i="6"/>
  <c r="N28" i="6" s="1"/>
  <c r="E36" i="6"/>
  <c r="E7" i="6"/>
  <c r="G6" i="16"/>
  <c r="C6" i="7"/>
  <c r="C6" i="6"/>
  <c r="D5" i="7"/>
  <c r="E27" i="2"/>
  <c r="J5" i="6" s="1"/>
  <c r="P26" i="6" s="1"/>
  <c r="Q26" i="6" s="1"/>
  <c r="D5" i="6"/>
  <c r="G34" i="6" s="1"/>
  <c r="H34" i="6" s="1"/>
  <c r="Q27" i="6" l="1"/>
  <c r="G35" i="6"/>
  <c r="H35" i="6" s="1"/>
  <c r="H9" i="31"/>
  <c r="H12" i="31" s="1"/>
  <c r="G9" i="31"/>
  <c r="E12" i="31"/>
  <c r="G12" i="31" s="1"/>
  <c r="H37" i="6"/>
  <c r="Q7" i="6"/>
  <c r="D52" i="13" s="1"/>
  <c r="D48" i="13" s="1"/>
  <c r="C11" i="15" s="1"/>
  <c r="K7" i="6"/>
  <c r="E6" i="6"/>
  <c r="E35" i="6"/>
  <c r="P5" i="6"/>
  <c r="C5" i="7"/>
  <c r="E5" i="7" s="1"/>
  <c r="C5" i="6"/>
  <c r="I6" i="6"/>
  <c r="E6" i="7"/>
  <c r="F14" i="1"/>
  <c r="D4" i="7" s="1"/>
  <c r="D8" i="7" s="1"/>
  <c r="F6" i="18" s="1"/>
  <c r="J4" i="6"/>
  <c r="G37" i="6" l="1"/>
  <c r="I9" i="31"/>
  <c r="I12" i="31"/>
  <c r="P4" i="6"/>
  <c r="D6" i="16" s="1"/>
  <c r="P25" i="6"/>
  <c r="I5" i="6"/>
  <c r="E34" i="6"/>
  <c r="Q5" i="6"/>
  <c r="D30" i="13" s="1"/>
  <c r="D53" i="10"/>
  <c r="Q6" i="6"/>
  <c r="N27" i="6"/>
  <c r="C4" i="6"/>
  <c r="C4" i="7"/>
  <c r="E4" i="7" s="1"/>
  <c r="E5" i="6"/>
  <c r="D42" i="13"/>
  <c r="D43" i="10"/>
  <c r="G36" i="27" s="1"/>
  <c r="K6" i="6"/>
  <c r="E6" i="16"/>
  <c r="D31" i="13"/>
  <c r="D32" i="10"/>
  <c r="G23" i="27" s="1"/>
  <c r="F9" i="9"/>
  <c r="G20" i="9" s="1"/>
  <c r="H20" i="9" s="1"/>
  <c r="J8" i="6"/>
  <c r="D8" i="6"/>
  <c r="C8" i="7" l="1"/>
  <c r="E9" i="9" s="1"/>
  <c r="E20" i="9" s="1"/>
  <c r="F5" i="18"/>
  <c r="E4" i="6"/>
  <c r="E33" i="6"/>
  <c r="E37" i="6" s="1"/>
  <c r="D49" i="10"/>
  <c r="C8" i="14" s="1"/>
  <c r="F14" i="18" s="1"/>
  <c r="G48" i="27"/>
  <c r="P29" i="6"/>
  <c r="Q29" i="6" s="1"/>
  <c r="Q25" i="6"/>
  <c r="K5" i="6"/>
  <c r="N26" i="6"/>
  <c r="D20" i="13"/>
  <c r="D21" i="10"/>
  <c r="G10" i="27" s="1"/>
  <c r="I4" i="6"/>
  <c r="C8" i="6"/>
  <c r="E8" i="7"/>
  <c r="F8" i="7" s="1"/>
  <c r="G9" i="9"/>
  <c r="D26" i="13"/>
  <c r="C9" i="15" s="1"/>
  <c r="D31" i="10"/>
  <c r="D41" i="13"/>
  <c r="D37" i="13" s="1"/>
  <c r="C10" i="15" s="1"/>
  <c r="D42" i="10"/>
  <c r="F8" i="9"/>
  <c r="G19" i="9" s="1"/>
  <c r="H19" i="9" s="1"/>
  <c r="F7" i="9"/>
  <c r="G18" i="9" s="1"/>
  <c r="H18" i="9" s="1"/>
  <c r="Q4" i="6" l="1"/>
  <c r="D19" i="13" s="1"/>
  <c r="D15" i="13" s="1"/>
  <c r="C8" i="15" s="1"/>
  <c r="N25" i="6"/>
  <c r="N29" i="6" s="1"/>
  <c r="D38" i="10"/>
  <c r="C7" i="14" s="1"/>
  <c r="F13" i="18" s="1"/>
  <c r="G35" i="27"/>
  <c r="D27" i="10"/>
  <c r="C6" i="14" s="1"/>
  <c r="F12" i="18" s="1"/>
  <c r="G22" i="27"/>
  <c r="E8" i="6"/>
  <c r="F8" i="6" s="1"/>
  <c r="E5" i="18"/>
  <c r="E6" i="18" s="1"/>
  <c r="E7" i="9"/>
  <c r="I8" i="6"/>
  <c r="K4" i="6"/>
  <c r="D20" i="10" l="1"/>
  <c r="G9" i="27" s="1"/>
  <c r="D14" i="13"/>
  <c r="D13" i="13" s="1"/>
  <c r="D4" i="13" s="1"/>
  <c r="G7" i="9"/>
  <c r="E18" i="9"/>
  <c r="E8" i="9"/>
  <c r="K8" i="6"/>
  <c r="L8" i="6" s="1"/>
  <c r="D16" i="10" l="1"/>
  <c r="C5" i="14" s="1"/>
  <c r="F11" i="18" s="1"/>
  <c r="G8" i="9"/>
  <c r="E19" i="9"/>
  <c r="D15" i="10" l="1"/>
  <c r="D14" i="10" s="1"/>
  <c r="D4" i="10" s="1"/>
  <c r="F10" i="18" s="1"/>
</calcChain>
</file>

<file path=xl/comments1.xml><?xml version="1.0" encoding="utf-8"?>
<comments xmlns="http://schemas.openxmlformats.org/spreadsheetml/2006/main">
  <authors>
    <author>امید رحمانی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امید رحمانی:</t>
        </r>
        <r>
          <rPr>
            <sz val="9"/>
            <color indexed="81"/>
            <rFont val="Tahoma"/>
            <family val="2"/>
          </rPr>
          <t xml:space="preserve">
جهت درج در گزارش دو صفحه ای</t>
        </r>
      </text>
    </comment>
  </commentList>
</comments>
</file>

<file path=xl/sharedStrings.xml><?xml version="1.0" encoding="utf-8"?>
<sst xmlns="http://schemas.openxmlformats.org/spreadsheetml/2006/main" count="1357" uniqueCount="501">
  <si>
    <t>19 L</t>
  </si>
  <si>
    <t>19 R</t>
  </si>
  <si>
    <t>20 L</t>
  </si>
  <si>
    <t>20 R</t>
  </si>
  <si>
    <t>21 L</t>
  </si>
  <si>
    <t>21 R</t>
  </si>
  <si>
    <t>22 L</t>
  </si>
  <si>
    <t>R 22</t>
  </si>
  <si>
    <t>23 L</t>
  </si>
  <si>
    <t>23 R</t>
  </si>
  <si>
    <t>نام تونل</t>
  </si>
  <si>
    <t>ردیف</t>
  </si>
  <si>
    <t>جمع کل</t>
  </si>
  <si>
    <t>L 24</t>
  </si>
  <si>
    <t>R 24</t>
  </si>
  <si>
    <t>L 25</t>
  </si>
  <si>
    <t>R 25</t>
  </si>
  <si>
    <t>L 26</t>
  </si>
  <si>
    <t>R 26</t>
  </si>
  <si>
    <t>L 27</t>
  </si>
  <si>
    <t>R 27</t>
  </si>
  <si>
    <t>L 28</t>
  </si>
  <si>
    <t>L 29</t>
  </si>
  <si>
    <t>L 30</t>
  </si>
  <si>
    <t>R 30</t>
  </si>
  <si>
    <t>L 31</t>
  </si>
  <si>
    <t>R 31</t>
  </si>
  <si>
    <t>L 32</t>
  </si>
  <si>
    <t>R 32</t>
  </si>
  <si>
    <t>L 33</t>
  </si>
  <si>
    <t>R 33</t>
  </si>
  <si>
    <t>L 34</t>
  </si>
  <si>
    <t>L 35</t>
  </si>
  <si>
    <t>R 35</t>
  </si>
  <si>
    <t>L 36</t>
  </si>
  <si>
    <t>R 36</t>
  </si>
  <si>
    <t>L37</t>
  </si>
  <si>
    <t>R37</t>
  </si>
  <si>
    <t>L38</t>
  </si>
  <si>
    <t>R38</t>
  </si>
  <si>
    <t>L38-1</t>
  </si>
  <si>
    <t>R38-1</t>
  </si>
  <si>
    <t>L39</t>
  </si>
  <si>
    <t>R39</t>
  </si>
  <si>
    <t>L39-1</t>
  </si>
  <si>
    <t>R39-1</t>
  </si>
  <si>
    <t>طول کل
متر</t>
  </si>
  <si>
    <t>بنچ
متر</t>
  </si>
  <si>
    <t>لاینینگ
متر</t>
  </si>
  <si>
    <t>طول کل
(متر)</t>
  </si>
  <si>
    <t>بنچ
(متر)</t>
  </si>
  <si>
    <t>لاینینگ
(متر)</t>
  </si>
  <si>
    <t>هد</t>
  </si>
  <si>
    <t>بنچ</t>
  </si>
  <si>
    <t>لاینینگ</t>
  </si>
  <si>
    <t>ته</t>
  </si>
  <si>
    <t>پر</t>
  </si>
  <si>
    <t>خالی</t>
  </si>
  <si>
    <t>سر</t>
  </si>
  <si>
    <t>حفاری هد قطعه A</t>
  </si>
  <si>
    <t>حفاری بنچ قطعه A</t>
  </si>
  <si>
    <t>حفاری هد قطعه B</t>
  </si>
  <si>
    <t>حفاری بنچ قطعه B</t>
  </si>
  <si>
    <t>اسم</t>
  </si>
  <si>
    <t>درصد پیشرفت</t>
  </si>
  <si>
    <r>
      <t xml:space="preserve">حجم خاکبرداری قراردادی 
</t>
    </r>
    <r>
      <rPr>
        <b/>
        <sz val="11"/>
        <color theme="1"/>
        <rFont val="Times New Roman"/>
        <family val="1"/>
      </rPr>
      <t>m</t>
    </r>
    <r>
      <rPr>
        <b/>
        <vertAlign val="superscript"/>
        <sz val="11"/>
        <color theme="1"/>
        <rFont val="Times New Roman"/>
        <family val="1"/>
      </rPr>
      <t>3</t>
    </r>
  </si>
  <si>
    <r>
      <t xml:space="preserve">حجم کل نقشه ای
</t>
    </r>
    <r>
      <rPr>
        <b/>
        <sz val="11"/>
        <color theme="1"/>
        <rFont val="Times New Roman"/>
        <family val="1"/>
      </rPr>
      <t>m</t>
    </r>
    <r>
      <rPr>
        <b/>
        <vertAlign val="superscript"/>
        <sz val="11"/>
        <color theme="1"/>
        <rFont val="Times New Roman"/>
        <family val="1"/>
      </rPr>
      <t>3</t>
    </r>
  </si>
  <si>
    <r>
      <t xml:space="preserve">انجام شده
</t>
    </r>
    <r>
      <rPr>
        <b/>
        <sz val="11"/>
        <color theme="1"/>
        <rFont val="Times New Roman"/>
        <family val="1"/>
      </rPr>
      <t>m</t>
    </r>
    <r>
      <rPr>
        <b/>
        <vertAlign val="superscript"/>
        <sz val="11"/>
        <color theme="1"/>
        <rFont val="Times New Roman"/>
        <family val="1"/>
      </rPr>
      <t>3</t>
    </r>
  </si>
  <si>
    <t>نام قطعه</t>
  </si>
  <si>
    <t>A2</t>
  </si>
  <si>
    <t>B2</t>
  </si>
  <si>
    <t>C2</t>
  </si>
  <si>
    <t>D2</t>
  </si>
  <si>
    <t>حفاری هد قطعه C</t>
  </si>
  <si>
    <t>حفاری بنچ قطعه C</t>
  </si>
  <si>
    <t>حفاری هد قطعه D</t>
  </si>
  <si>
    <t>حفاری بنچ قطعه D</t>
  </si>
  <si>
    <t>حجم کل</t>
  </si>
  <si>
    <t>انجام شده</t>
  </si>
  <si>
    <t>حفاری بنچ</t>
  </si>
  <si>
    <t>حفاری کل</t>
  </si>
  <si>
    <t>شرح عملیات</t>
  </si>
  <si>
    <t>حفاری تاپ تونل(مترطول)</t>
  </si>
  <si>
    <t>حفاری تاپ تونل</t>
  </si>
  <si>
    <t>حفاری بنچ تونل(مترطول)</t>
  </si>
  <si>
    <t>حفاری بنچ تونل</t>
  </si>
  <si>
    <t>خاکبرداری(هزار مترمکعب)</t>
  </si>
  <si>
    <t>خاکبرداری</t>
  </si>
  <si>
    <t>خاکریزی(هزار مترمکعب)</t>
  </si>
  <si>
    <t>خاکریزی</t>
  </si>
  <si>
    <t>درصد</t>
  </si>
  <si>
    <t>مطالعات و طراحی منطقه دو</t>
  </si>
  <si>
    <t>مطالعات منطقه دو (تا پايان سال 1395)</t>
  </si>
  <si>
    <t>تکمیل مطالعات مسیر منطقه دو</t>
  </si>
  <si>
    <t xml:space="preserve">تکمیل مطالعات تونل  البرز شرقی </t>
  </si>
  <si>
    <t>تکمیل مطالعات تونل  البرز غربی</t>
  </si>
  <si>
    <t>طراحی راه اتصال  به جاده موجود</t>
  </si>
  <si>
    <t>تملک و اراضی منطقه دو</t>
  </si>
  <si>
    <t>تملک اراضی منطقه دو (تا پايان سال 1395)</t>
  </si>
  <si>
    <t xml:space="preserve"> تملک اراضی باقيمانده منطقه دو ( از ابتدای سال 1396)</t>
  </si>
  <si>
    <t>عملیات اجرایی منطقه دو</t>
  </si>
  <si>
    <t xml:space="preserve">   احداث مسیر منطقه دو</t>
  </si>
  <si>
    <t xml:space="preserve">      احداث قطعه A2</t>
  </si>
  <si>
    <t xml:space="preserve">         تجهیز کارگاه اولیه</t>
  </si>
  <si>
    <t xml:space="preserve">         خاکبرداری</t>
  </si>
  <si>
    <t xml:space="preserve">         خاکریزی</t>
  </si>
  <si>
    <t xml:space="preserve">         حفاری و تحکیم اوليه تونل</t>
  </si>
  <si>
    <t xml:space="preserve">         لاینینگ تونل</t>
  </si>
  <si>
    <t xml:space="preserve">         احداث پل</t>
  </si>
  <si>
    <t xml:space="preserve">         احداث آبرو</t>
  </si>
  <si>
    <t xml:space="preserve">         دیوار سازی</t>
  </si>
  <si>
    <t xml:space="preserve">         کانال تاسیسات و دیچ</t>
  </si>
  <si>
    <t xml:space="preserve">         سایر عملیات</t>
  </si>
  <si>
    <t xml:space="preserve">      احداث قطعه B2</t>
  </si>
  <si>
    <t xml:space="preserve">      احداث قطعه C2</t>
  </si>
  <si>
    <t xml:space="preserve">      احداث قطعه D2</t>
  </si>
  <si>
    <t xml:space="preserve">         راه جایگزین جاده چالوس</t>
  </si>
  <si>
    <t>نام فعالیت</t>
  </si>
  <si>
    <t>کد wbs</t>
  </si>
  <si>
    <t>پروژه آزادراه تهران شمال</t>
  </si>
  <si>
    <t>روسازی و عملیات تکمیلی مسیر منطقه دو</t>
  </si>
  <si>
    <t xml:space="preserve">   اجرای روسازی مسیر و عملیات تکمیلی</t>
  </si>
  <si>
    <t>تاسیسات مسیر منطقه دو</t>
  </si>
  <si>
    <t xml:space="preserve">   خرید،حمل،نصب و راه اندازی تاسیسات الکترومکانیکال مسیرمنطقه دو</t>
  </si>
  <si>
    <t>احداث تونل های البرز</t>
  </si>
  <si>
    <t>تونل البرز غربی</t>
  </si>
  <si>
    <t>تونل البرز شرقی و اکتشافی</t>
  </si>
  <si>
    <t>تونل البرز غربی - عملیات سیویل</t>
  </si>
  <si>
    <t xml:space="preserve">تونل البرز غربی -تاسیسات الکترو مکانیکال </t>
  </si>
  <si>
    <t>تونل البرز غربی - روسازی و عملیات تکمیلی</t>
  </si>
  <si>
    <t>تجهیز کارگاه اولیه</t>
  </si>
  <si>
    <t xml:space="preserve">حفاری و پوشش نهایی تونل تمام مقطع </t>
  </si>
  <si>
    <t xml:space="preserve">اجرای بتن کف </t>
  </si>
  <si>
    <t xml:space="preserve">حفاری و تحکیم دستکهای تهویه و ترافیکی </t>
  </si>
  <si>
    <t xml:space="preserve">لاینینگ دستکهای تهویه و ترافیکی </t>
  </si>
  <si>
    <t>اجرای سقف کاذب</t>
  </si>
  <si>
    <t>کانال تاسیسات و دیچ</t>
  </si>
  <si>
    <t>خرید،حمل،نصب و راه اندازی تاسیسات الکترومکانیکال البرز غربی</t>
  </si>
  <si>
    <t>اجرای روسازی و عملیات تکمیلی البرز غربی</t>
  </si>
  <si>
    <t>احداث جاده اتصال به جاده چالوس</t>
  </si>
  <si>
    <t xml:space="preserve">   احداث جاده اتصال تونل شرقی البرز به جاده موجود چالوس</t>
  </si>
  <si>
    <t xml:space="preserve">   احداث جاده اتصال تونل غربی البرز به جاده موجود چالوس</t>
  </si>
  <si>
    <t>3.22.1</t>
  </si>
  <si>
    <t>3.22.2</t>
  </si>
  <si>
    <t>3.22.3</t>
  </si>
  <si>
    <t>وزن تدقیق شده فیزیکی</t>
  </si>
  <si>
    <t xml:space="preserve">تملک و اراضی </t>
  </si>
  <si>
    <t xml:space="preserve">مطالعات و طراحی </t>
  </si>
  <si>
    <t xml:space="preserve"> البرز شرقی  و تاسسیات</t>
  </si>
  <si>
    <t>تونل البرز غربی تاسیسات</t>
  </si>
  <si>
    <t xml:space="preserve">روسازی و عملیات تکمیلی </t>
  </si>
  <si>
    <t xml:space="preserve">تاسیسات مسیر </t>
  </si>
  <si>
    <t xml:space="preserve"> جاده اتصال تونل البرز </t>
  </si>
  <si>
    <t>L 33-1</t>
  </si>
  <si>
    <t>حفاری و تحکیم اوليه تونل</t>
  </si>
  <si>
    <t>لاینینگ تونل</t>
  </si>
  <si>
    <t>احداث پل</t>
  </si>
  <si>
    <t>احداث آبرو</t>
  </si>
  <si>
    <t>دیوار سازی</t>
  </si>
  <si>
    <t>سایر عملیات</t>
  </si>
  <si>
    <t>حجم انجام شده A2</t>
  </si>
  <si>
    <t>حجم انجام شده B2</t>
  </si>
  <si>
    <t>حجم انجام شده C2</t>
  </si>
  <si>
    <t>حجم انجام شده D2</t>
  </si>
  <si>
    <t xml:space="preserve"> </t>
  </si>
  <si>
    <t>خاکبرداری از فروردین تا شهریور 97</t>
  </si>
  <si>
    <t>فروردین و اردیبهشت</t>
  </si>
  <si>
    <t>خرداد</t>
  </si>
  <si>
    <t>تیر</t>
  </si>
  <si>
    <t>مرداد</t>
  </si>
  <si>
    <t>شهریور</t>
  </si>
  <si>
    <t>مهر</t>
  </si>
  <si>
    <t>مترمکعب</t>
  </si>
  <si>
    <t xml:space="preserve"> خاکریزی</t>
  </si>
  <si>
    <t>حفاری تونل</t>
  </si>
  <si>
    <t>مترطول</t>
  </si>
  <si>
    <t>اجرای سقف کاذب تونل تالون</t>
  </si>
  <si>
    <t>%</t>
  </si>
  <si>
    <t>بتن ریزی ابنیه فنی</t>
  </si>
  <si>
    <t>نام عملیات</t>
  </si>
  <si>
    <t>حجم انجام شده</t>
  </si>
  <si>
    <t>واحد</t>
  </si>
  <si>
    <t>پیشرفت کل منطقه 2</t>
  </si>
  <si>
    <t>فروردین</t>
  </si>
  <si>
    <t>اردیبهشت</t>
  </si>
  <si>
    <t>آبان</t>
  </si>
  <si>
    <t>آذر</t>
  </si>
  <si>
    <t>دی</t>
  </si>
  <si>
    <t>بهمن</t>
  </si>
  <si>
    <t>اسفند</t>
  </si>
  <si>
    <t>ماه</t>
  </si>
  <si>
    <t>کل خاکبرداری انجام شده تا آخر سال 96
تجمعی</t>
  </si>
  <si>
    <t>جمع کل حفاری تا آخر سال 1397</t>
  </si>
  <si>
    <t>جمع کل خاکبرداری تا آخر سال 1397</t>
  </si>
  <si>
    <t>تجمعی حفاری بنچ در سال 1398</t>
  </si>
  <si>
    <t>وضعیت حفاری بنچ در سال 1398</t>
  </si>
  <si>
    <t>قطعه</t>
  </si>
  <si>
    <t>تجمعی حفاری بنچ تا اسفند 96</t>
  </si>
  <si>
    <t>مجموع</t>
  </si>
  <si>
    <t>لاینینگ تونل (متر طول)</t>
  </si>
  <si>
    <t xml:space="preserve">جمع کل </t>
  </si>
  <si>
    <t>درصد پیشرفت
آخر سال 1396</t>
  </si>
  <si>
    <t>درصد پیشرفت
آخر سال 1397</t>
  </si>
  <si>
    <t>کل منطقه 2</t>
  </si>
  <si>
    <t>بدون احتساب البرز شرقی</t>
  </si>
  <si>
    <t>میزان پیشرفت پروژه در سال 97</t>
  </si>
  <si>
    <t>قرارداد</t>
  </si>
  <si>
    <t>آخرین صورت وضعیت</t>
  </si>
  <si>
    <t>باقیمانده ریالی قراداد</t>
  </si>
  <si>
    <t>گردش پرداختهای نقدی پیمانکاران</t>
  </si>
  <si>
    <t>مالیات ارزش افزوده پرداختی</t>
  </si>
  <si>
    <t>وضعیت مطالبات بخش نقد</t>
  </si>
  <si>
    <t>وضعیت مطالبات بخش غیرنقد</t>
  </si>
  <si>
    <t>وضعیت بدهی و سایر دیون</t>
  </si>
  <si>
    <t>نقدینگی قابل پرداخت تا پایان قرارداد</t>
  </si>
  <si>
    <t>تخصیصی</t>
  </si>
  <si>
    <t>تحویلی</t>
  </si>
  <si>
    <t>مانده</t>
  </si>
  <si>
    <t>پیش پرداخت</t>
  </si>
  <si>
    <t>علی الحساب و تبصره 81 و سایر</t>
  </si>
  <si>
    <t>مجموع مانده بدهی</t>
  </si>
  <si>
    <t>صورت وضعیت</t>
  </si>
  <si>
    <t>نام پیمانکار</t>
  </si>
  <si>
    <t>شماره قرارداد</t>
  </si>
  <si>
    <t>مبلغ کل قرارداد</t>
  </si>
  <si>
    <t>منتهی به ماه</t>
  </si>
  <si>
    <t>مبلغ تجمعی</t>
  </si>
  <si>
    <t>بخش نقدی پیش پرداخت</t>
  </si>
  <si>
    <r>
      <t xml:space="preserve">خالص صورت وضعیتهای تأیید شده
</t>
    </r>
    <r>
      <rPr>
        <b/>
        <sz val="8"/>
        <color theme="1"/>
        <rFont val="B Nazanin"/>
        <charset val="178"/>
      </rPr>
      <t>(بدون مالیات بر ارزش افزوده)</t>
    </r>
  </si>
  <si>
    <t>تبصره 81</t>
  </si>
  <si>
    <t>علی الحساب</t>
  </si>
  <si>
    <t>سایر پرداختی</t>
  </si>
  <si>
    <t>مصالح تحویلی</t>
  </si>
  <si>
    <t>مجموع کل پرداختهای نقدی</t>
  </si>
  <si>
    <t>ملک</t>
  </si>
  <si>
    <t>اوراق</t>
  </si>
  <si>
    <t>بلند طبقه</t>
  </si>
  <si>
    <t>کارکرد</t>
  </si>
  <si>
    <t>بهمن 97</t>
  </si>
  <si>
    <t>تعدیل</t>
  </si>
  <si>
    <t>گروه مشارکت انصار</t>
  </si>
  <si>
    <t>اسفند 97</t>
  </si>
  <si>
    <t>آبادراهان پارس</t>
  </si>
  <si>
    <t>جنرال مکانیک</t>
  </si>
  <si>
    <t>رديف</t>
  </si>
  <si>
    <t>شرح</t>
  </si>
  <si>
    <t xml:space="preserve">مانده </t>
  </si>
  <si>
    <t>جمع كل مطالبات از محل
 صورت وضعيت ها و تعاديل و پیش پرداخت ها</t>
  </si>
  <si>
    <t>جمع كل دريافتي ها از محل
 صورت وضعيت ها و تعاديل و پیش دریافت ها</t>
  </si>
  <si>
    <t xml:space="preserve">جمع كل </t>
  </si>
  <si>
    <t>کل</t>
  </si>
  <si>
    <t>درصد مانده</t>
  </si>
  <si>
    <t>مطالبات نقد</t>
  </si>
  <si>
    <t>مطالبات اوراق</t>
  </si>
  <si>
    <t>مطالبات املاک</t>
  </si>
  <si>
    <t>نقد</t>
  </si>
  <si>
    <t>املاک</t>
  </si>
  <si>
    <t>میزان پیشرفت پروژه تا پایان سال 95</t>
  </si>
  <si>
    <t>میزان پیشرفت پروژه در سال 96</t>
  </si>
  <si>
    <t>حفاری تاپ</t>
  </si>
  <si>
    <t>تاپ
متر</t>
  </si>
  <si>
    <t>R 20-1</t>
  </si>
  <si>
    <t>L 20-1</t>
  </si>
  <si>
    <t>R 34</t>
  </si>
  <si>
    <t>تاپ
(متر)</t>
  </si>
  <si>
    <t>نسبت کل دریافتی ها به کل مطالبات</t>
  </si>
  <si>
    <t>طول قطعه (متر)</t>
  </si>
  <si>
    <t>طول تونلها (رفت و برگشت)</t>
  </si>
  <si>
    <t>تعداد گالری
(رفت و برگشت)</t>
  </si>
  <si>
    <t>طول گالری
(متر)</t>
  </si>
  <si>
    <t>تعداد پل
(رفت و برگشت)</t>
  </si>
  <si>
    <t>طول پلها
(متر)</t>
  </si>
  <si>
    <t>تعداد دیوار
(رفت و برگشت)</t>
  </si>
  <si>
    <t>طول دیوار
(متر)</t>
  </si>
  <si>
    <t>تعداد کالورت
(رفت و برگشت)</t>
  </si>
  <si>
    <t>طول کالورت
(متر)</t>
  </si>
  <si>
    <t>تعداد تونل (رفت و برگشت)</t>
  </si>
  <si>
    <t>تونل البرز</t>
  </si>
  <si>
    <t>جمع</t>
  </si>
  <si>
    <t>2*3339</t>
  </si>
  <si>
    <t>2*3045</t>
  </si>
  <si>
    <t>2*6400</t>
  </si>
  <si>
    <r>
      <t xml:space="preserve">حجم خاکبرداری قراردادی 
</t>
    </r>
    <r>
      <rPr>
        <b/>
        <sz val="12"/>
        <color theme="1"/>
        <rFont val="Times New Roman"/>
        <family val="1"/>
      </rPr>
      <t>m</t>
    </r>
    <r>
      <rPr>
        <b/>
        <vertAlign val="superscript"/>
        <sz val="12"/>
        <color theme="1"/>
        <rFont val="Times New Roman"/>
        <family val="1"/>
      </rPr>
      <t>3</t>
    </r>
  </si>
  <si>
    <r>
      <t xml:space="preserve">حجم کل نقشه ای
</t>
    </r>
    <r>
      <rPr>
        <b/>
        <sz val="12"/>
        <color theme="1"/>
        <rFont val="Times New Roman"/>
        <family val="1"/>
      </rPr>
      <t>m</t>
    </r>
    <r>
      <rPr>
        <b/>
        <vertAlign val="superscript"/>
        <sz val="12"/>
        <color theme="1"/>
        <rFont val="Times New Roman"/>
        <family val="1"/>
      </rPr>
      <t>3</t>
    </r>
  </si>
  <si>
    <r>
      <t xml:space="preserve">انجام شده
</t>
    </r>
    <r>
      <rPr>
        <b/>
        <sz val="12"/>
        <color theme="1"/>
        <rFont val="Times New Roman"/>
        <family val="1"/>
      </rPr>
      <t>m</t>
    </r>
    <r>
      <rPr>
        <b/>
        <vertAlign val="superscript"/>
        <sz val="12"/>
        <color theme="1"/>
        <rFont val="Times New Roman"/>
        <family val="1"/>
      </rPr>
      <t>3</t>
    </r>
  </si>
  <si>
    <t>درصد نسبت به کل مسیر</t>
  </si>
  <si>
    <t>تعداد تونلهای به اتمام رسیده</t>
  </si>
  <si>
    <t>تعداد تونل های باقی مانده</t>
  </si>
  <si>
    <t>2*5090</t>
  </si>
  <si>
    <t>2*3441</t>
  </si>
  <si>
    <t>سقف دوم</t>
  </si>
  <si>
    <t>طول تونل</t>
  </si>
  <si>
    <t>حفاری انجام شده</t>
  </si>
  <si>
    <t>وضعیت حفاری تاپ در سال 1398</t>
  </si>
  <si>
    <t>L39A</t>
  </si>
  <si>
    <t>R39A</t>
  </si>
  <si>
    <t>انجام شده
 تا مورخ 98/2/15</t>
  </si>
  <si>
    <t>انجام شده
تا مورخ 98/02/15</t>
  </si>
  <si>
    <t>فروردین 98</t>
  </si>
  <si>
    <t>اردیبهشت 98</t>
  </si>
  <si>
    <t>98/04/15</t>
  </si>
  <si>
    <t>نقد
(پس از کسر بدهیها)</t>
  </si>
  <si>
    <t xml:space="preserve"> جاده اتصال به جاده چالوس</t>
  </si>
  <si>
    <t xml:space="preserve">تونل البرز </t>
  </si>
  <si>
    <t>2*6350</t>
  </si>
  <si>
    <t>پیشرفت فیزیکی</t>
  </si>
  <si>
    <t>وزن (نسبت به کل پروژه)</t>
  </si>
  <si>
    <t>قطعه C2</t>
  </si>
  <si>
    <t>قطعه A2</t>
  </si>
  <si>
    <t>قطعه B2</t>
  </si>
  <si>
    <t>قطعه D2</t>
  </si>
  <si>
    <t>وزن (نسبت به کل قطعه)</t>
  </si>
  <si>
    <t>وزن (نسبت به کل قطعه )</t>
  </si>
  <si>
    <t>انجام شده
 تا مورخ 98/4/21</t>
  </si>
  <si>
    <t>تفاوت</t>
  </si>
  <si>
    <t>انجام شده
تا مورخ 98/04/21</t>
  </si>
  <si>
    <t>آخرین صورت وضعیت و تعدیل</t>
  </si>
  <si>
    <t>تجمعی</t>
  </si>
  <si>
    <t>اوراق وثیقه شده</t>
  </si>
  <si>
    <t>جمع مطالبات</t>
  </si>
  <si>
    <t>وضعیت مطالبات</t>
  </si>
  <si>
    <t>کارکرد 19</t>
  </si>
  <si>
    <t>تعدیل 15</t>
  </si>
  <si>
    <t>کارکرد 20</t>
  </si>
  <si>
    <t>تعدیل 9</t>
  </si>
  <si>
    <t>کارکرد 18</t>
  </si>
  <si>
    <t>تعدیل 6</t>
  </si>
  <si>
    <t>تعدیل 14</t>
  </si>
  <si>
    <t>L 33-A</t>
  </si>
  <si>
    <t>R 33-A</t>
  </si>
  <si>
    <t>کیلومتراژ شروع</t>
  </si>
  <si>
    <t>کیلومتراژ پایان</t>
  </si>
  <si>
    <t>33+310</t>
  </si>
  <si>
    <t>33+305</t>
  </si>
  <si>
    <t>33+735</t>
  </si>
  <si>
    <t>34+050</t>
  </si>
  <si>
    <t>34+372</t>
  </si>
  <si>
    <t>34+365</t>
  </si>
  <si>
    <t>34+395</t>
  </si>
  <si>
    <t>34+625</t>
  </si>
  <si>
    <t>34+389</t>
  </si>
  <si>
    <t>34+695</t>
  </si>
  <si>
    <t>35+605</t>
  </si>
  <si>
    <t>34+700</t>
  </si>
  <si>
    <t>35+595</t>
  </si>
  <si>
    <t>35+955</t>
  </si>
  <si>
    <t>36+055</t>
  </si>
  <si>
    <t>35+985</t>
  </si>
  <si>
    <t>36+050</t>
  </si>
  <si>
    <t>33+236</t>
  </si>
  <si>
    <t>33+258</t>
  </si>
  <si>
    <t>33+488</t>
  </si>
  <si>
    <t>33+501</t>
  </si>
  <si>
    <t>33+751</t>
  </si>
  <si>
    <t>34+620</t>
  </si>
  <si>
    <t>45+040</t>
  </si>
  <si>
    <t>45+140</t>
  </si>
  <si>
    <t>45+070</t>
  </si>
  <si>
    <t>45+135</t>
  </si>
  <si>
    <t>45+263.9</t>
  </si>
  <si>
    <t>45+433.9</t>
  </si>
  <si>
    <t>45+267</t>
  </si>
  <si>
    <t>45+422</t>
  </si>
  <si>
    <t>45+558.9</t>
  </si>
  <si>
    <t>45+708.92</t>
  </si>
  <si>
    <t>45+575.64</t>
  </si>
  <si>
    <t>45+595.64</t>
  </si>
  <si>
    <t>45+818.9</t>
  </si>
  <si>
    <t>45+805.47</t>
  </si>
  <si>
    <t>46+302.47</t>
  </si>
  <si>
    <t>47+056</t>
  </si>
  <si>
    <t>47+428</t>
  </si>
  <si>
    <t>47+045</t>
  </si>
  <si>
    <t>47+415.9</t>
  </si>
  <si>
    <t>33+990</t>
  </si>
  <si>
    <t>34+010</t>
  </si>
  <si>
    <t>34+645</t>
  </si>
  <si>
    <t>34+660</t>
  </si>
  <si>
    <t>34+635</t>
  </si>
  <si>
    <t>34+670</t>
  </si>
  <si>
    <t>36+265</t>
  </si>
  <si>
    <t>36+515</t>
  </si>
  <si>
    <t>36+195</t>
  </si>
  <si>
    <t>36+525</t>
  </si>
  <si>
    <t>L20</t>
  </si>
  <si>
    <t>R20</t>
  </si>
  <si>
    <t>L21</t>
  </si>
  <si>
    <t>R21</t>
  </si>
  <si>
    <t>L22</t>
  </si>
  <si>
    <t>R22</t>
  </si>
  <si>
    <t>نام پل</t>
  </si>
  <si>
    <t>طول پل 
(متر)</t>
  </si>
  <si>
    <t>L31</t>
  </si>
  <si>
    <t>R31</t>
  </si>
  <si>
    <t>L30</t>
  </si>
  <si>
    <t>R30</t>
  </si>
  <si>
    <t>L32</t>
  </si>
  <si>
    <t>R32</t>
  </si>
  <si>
    <t>45+210</t>
  </si>
  <si>
    <t>45+245</t>
  </si>
  <si>
    <t>45+192</t>
  </si>
  <si>
    <t>45+262</t>
  </si>
  <si>
    <t>45+494</t>
  </si>
  <si>
    <t>45+564</t>
  </si>
  <si>
    <t>45+491</t>
  </si>
  <si>
    <t>45+526</t>
  </si>
  <si>
    <t>45+775</t>
  </si>
  <si>
    <t>45+882</t>
  </si>
  <si>
    <t>45+794</t>
  </si>
  <si>
    <t>45+816</t>
  </si>
  <si>
    <t>L33</t>
  </si>
  <si>
    <t>R33</t>
  </si>
  <si>
    <t>L34</t>
  </si>
  <si>
    <t>R34</t>
  </si>
  <si>
    <t>46+401</t>
  </si>
  <si>
    <t>46+517</t>
  </si>
  <si>
    <t>46+389</t>
  </si>
  <si>
    <t>46+505</t>
  </si>
  <si>
    <t>46+993</t>
  </si>
  <si>
    <t>47+018</t>
  </si>
  <si>
    <t>47+007</t>
  </si>
  <si>
    <t>47+032</t>
  </si>
  <si>
    <t>-</t>
  </si>
  <si>
    <t>با البرز شرقی</t>
  </si>
  <si>
    <t>بدون البرز شرقی</t>
  </si>
  <si>
    <t>وزن دهی</t>
  </si>
  <si>
    <t>مطالعات</t>
  </si>
  <si>
    <t>تملک</t>
  </si>
  <si>
    <t>تونل البرز شرقی</t>
  </si>
  <si>
    <t>تأسیسات</t>
  </si>
  <si>
    <t>روسازی</t>
  </si>
  <si>
    <t>* در رابطه با جاده اتصال، در این بخش وزن اتصال تونل البرز شرقی به جاده موجود جاده چالوس لحاظ نشده و فقط وزن اتصال تونل البرز غربی به جاده موجود لحاظ شده است.</t>
  </si>
  <si>
    <r>
      <t>جاده اتصال</t>
    </r>
    <r>
      <rPr>
        <vertAlign val="superscript"/>
        <sz val="14"/>
        <color theme="1"/>
        <rFont val="B Nazanin"/>
        <charset val="178"/>
      </rPr>
      <t>*</t>
    </r>
  </si>
  <si>
    <t>املاک مورد استعلام</t>
  </si>
  <si>
    <t>41-A, 44-A, 45-A</t>
  </si>
  <si>
    <t>املاک بین دو تونل 35 و 36</t>
  </si>
  <si>
    <t>26BV الی 31BV</t>
  </si>
  <si>
    <t>12A</t>
  </si>
  <si>
    <t>3-1B, 3-2B, 4-1B, 4-2B</t>
  </si>
  <si>
    <t>5C</t>
  </si>
  <si>
    <t>5-1C</t>
  </si>
  <si>
    <t>دپوی A1 (آسیاب درگاه)</t>
  </si>
  <si>
    <t>املاک راه دسترسی بین دو تونل 19 و 20</t>
  </si>
  <si>
    <t>35BV الی 32BV</t>
  </si>
  <si>
    <t>56A</t>
  </si>
  <si>
    <t>تعداد ملکهای مورد استعلام</t>
  </si>
  <si>
    <t>پلاک مورد استعلام</t>
  </si>
  <si>
    <t>گرماب</t>
  </si>
  <si>
    <t>کوشکک</t>
  </si>
  <si>
    <t>ملک فالیز</t>
  </si>
  <si>
    <t>تنگه کسیل</t>
  </si>
  <si>
    <t>حسنکدر</t>
  </si>
  <si>
    <t>آسیاب درگاه</t>
  </si>
  <si>
    <t>میدانک</t>
  </si>
  <si>
    <t>دپوی A2 (آسیاب درگاه)</t>
  </si>
  <si>
    <t>اتصال تونل البرز به جاده چالوس</t>
  </si>
  <si>
    <t>طول قطعه رفت و برگشت (متر)</t>
  </si>
  <si>
    <t>طول قطعه
(متر)</t>
  </si>
  <si>
    <t>تونل</t>
  </si>
  <si>
    <t>گالری</t>
  </si>
  <si>
    <t>تعداد
(رفت و برگشت)</t>
  </si>
  <si>
    <t>تعداد
(رفت و برگشت)2</t>
  </si>
  <si>
    <t>پل</t>
  </si>
  <si>
    <t>طول تونل
(رفت و برگشت)</t>
  </si>
  <si>
    <t>طول پلها
(رفت و برگشت)</t>
  </si>
  <si>
    <t>طول گالری
(رفت و برگشت)</t>
  </si>
  <si>
    <t>دیوار</t>
  </si>
  <si>
    <t>طول دیوار
(رفت و برگشت)</t>
  </si>
  <si>
    <t>آبرو</t>
  </si>
  <si>
    <t>تعداد آّرو
(رفت و برگشت)</t>
  </si>
  <si>
    <t>طول آّبرو
(رفت و برگشت)</t>
  </si>
  <si>
    <t>حجم خاکبرداری
(متر مکعب)</t>
  </si>
  <si>
    <t>طول (رفت و برگشت)</t>
  </si>
  <si>
    <t>طول 
(رفت و برگشت)</t>
  </si>
  <si>
    <t>عملیات خاکی</t>
  </si>
  <si>
    <t>حجم
(متر مکعب)</t>
  </si>
  <si>
    <t>موضوع</t>
  </si>
  <si>
    <t>تعداد
(دستگاه)</t>
  </si>
  <si>
    <t>طول
(متر)</t>
  </si>
  <si>
    <t>مسیر (غیر از پل، تونل و گالری)</t>
  </si>
  <si>
    <t>مسیر</t>
  </si>
  <si>
    <t>باند غربی</t>
  </si>
  <si>
    <t>باند شرقی</t>
  </si>
  <si>
    <t>حفاری انجام شده تاپ
(متر)</t>
  </si>
  <si>
    <t>مانده
(متر)</t>
  </si>
  <si>
    <t>حفاری انجام شده در مرداد ماه 98
(متر)</t>
  </si>
  <si>
    <t>مدت زمان لازم جهت اتمام حفاری
(ماه)</t>
  </si>
  <si>
    <t>وضعیت حفاری تاپ تونل های منطقه دو آزادراه تهران شمال منتهی به مرداد ماه 1398</t>
  </si>
  <si>
    <t>حفاری تا تیر 98</t>
  </si>
  <si>
    <t>تعداد</t>
  </si>
  <si>
    <t>عمیات خاکی کل(متر مکعب</t>
  </si>
  <si>
    <t>L 23-1</t>
  </si>
  <si>
    <t>L 31-1</t>
  </si>
  <si>
    <t>R 31-1</t>
  </si>
  <si>
    <t>L 31-2</t>
  </si>
  <si>
    <t>R 31-2</t>
  </si>
  <si>
    <t>تعداد پل</t>
  </si>
  <si>
    <t>تعداد تونل</t>
  </si>
  <si>
    <t>طول پل
(متر)</t>
  </si>
  <si>
    <t>طول تونل
(متر)</t>
  </si>
  <si>
    <t>تونل میانی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</si>
</sst>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(* #,##0.00_);_(* \(#,##0.00\);_(* &quot;-&quot;??_);_(@_)"/>
    <numFmt numFmtId="164" formatCode="#,###.00\ &quot;متر&quot;"/>
    <numFmt numFmtId="165" formatCode="#,###\ "/>
    <numFmt numFmtId="166" formatCode="#,###"/>
    <numFmt numFmtId="167" formatCode="#,###\ &quot;متر&quot;"/>
    <numFmt numFmtId="168" formatCode="#,###\ &quot;متر&quot;;;\-"/>
    <numFmt numFmtId="169" formatCode="0%;;\-"/>
    <numFmt numFmtId="170" formatCode="#,###,"/>
    <numFmt numFmtId="171" formatCode="#,###;;\-"/>
    <numFmt numFmtId="172" formatCode="#,###;\-#,###;\-"/>
    <numFmt numFmtId="173" formatCode="#,###\ &quot;متر&quot;;\-#,###;\-"/>
    <numFmt numFmtId="174" formatCode="#;\-;\-"/>
    <numFmt numFmtId="175" formatCode="#,###;\-;\-"/>
    <numFmt numFmtId="176" formatCode="_(* #,##0_);_(* \(#,##0\);_(* &quot;-&quot;??_);_(@_)"/>
    <numFmt numFmtId="177" formatCode="#,###,,"/>
    <numFmt numFmtId="178" formatCode="_-* #,##0.00_-;_-* #,##0.00\-;_-* &quot;-&quot;??_-;_-@_-"/>
    <numFmt numFmtId="179" formatCode="&quot;آخرین وضعیت منتهی به تاریخ&quot;\ @"/>
    <numFmt numFmtId="180" formatCode="#,###;\-#,###"/>
    <numFmt numFmtId="181" formatCode="0.0%"/>
    <numFmt numFmtId="182" formatCode="0.0000000000000000%"/>
    <numFmt numFmtId="183" formatCode="0.00000000000000000%"/>
    <numFmt numFmtId="184" formatCode="#,###\ &quot;متر مکعب&quot;"/>
    <numFmt numFmtId="185" formatCode="#"/>
  </numFmts>
  <fonts count="74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b/>
      <sz val="14"/>
      <color theme="0"/>
      <name val="B Nazanin"/>
      <charset val="178"/>
    </font>
    <font>
      <b/>
      <sz val="12"/>
      <color theme="1"/>
      <name val="B Nazanin"/>
      <charset val="17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B Nazanin"/>
      <charset val="178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Times New Roman"/>
      <family val="1"/>
    </font>
    <font>
      <sz val="11"/>
      <color theme="0"/>
      <name val="B Nazanin"/>
      <charset val="178"/>
    </font>
    <font>
      <sz val="18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rgb="FF000000"/>
      <name val="B Nazanin"/>
      <charset val="178"/>
    </font>
    <font>
      <sz val="11"/>
      <name val="B Nazanin"/>
      <charset val="178"/>
    </font>
    <font>
      <b/>
      <sz val="11"/>
      <name val="B Nazanin"/>
      <charset val="178"/>
    </font>
    <font>
      <b/>
      <sz val="12"/>
      <name val="B Nazanin"/>
      <charset val="178"/>
    </font>
    <font>
      <b/>
      <sz val="16"/>
      <name val="B Nazanin"/>
      <charset val="178"/>
    </font>
    <font>
      <sz val="10"/>
      <color theme="1"/>
      <name val="Times New Roman"/>
      <family val="1"/>
    </font>
    <font>
      <b/>
      <sz val="14"/>
      <name val="B Nazanin"/>
      <charset val="178"/>
    </font>
    <font>
      <sz val="11"/>
      <color theme="1"/>
      <name val="Calibri"/>
      <family val="2"/>
      <charset val="178"/>
      <scheme val="minor"/>
    </font>
    <font>
      <sz val="16"/>
      <color theme="1"/>
      <name val="B Nazanin"/>
      <charset val="178"/>
    </font>
    <font>
      <sz val="16"/>
      <color rgb="FF000066"/>
      <name val="B Nazanin"/>
      <charset val="178"/>
    </font>
    <font>
      <sz val="16"/>
      <color rgb="FFC00000"/>
      <name val="B Nazanin"/>
      <charset val="178"/>
    </font>
    <font>
      <sz val="16"/>
      <color rgb="FF006600"/>
      <name val="B Nazanin"/>
      <charset val="178"/>
    </font>
    <font>
      <sz val="16"/>
      <color rgb="FF660033"/>
      <name val="B Nazanin"/>
      <charset val="178"/>
    </font>
    <font>
      <sz val="16"/>
      <color rgb="FF0000FF"/>
      <name val="B Nazanin"/>
      <charset val="178"/>
    </font>
    <font>
      <sz val="16"/>
      <name val="B Nazanin"/>
      <charset val="178"/>
    </font>
    <font>
      <b/>
      <sz val="14"/>
      <color theme="1"/>
      <name val="B Nazanin"/>
      <charset val="178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B Nazanin"/>
      <charset val="178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20"/>
      <color theme="1"/>
      <name val="B Titr"/>
      <charset val="178"/>
    </font>
    <font>
      <b/>
      <sz val="18"/>
      <color theme="1"/>
      <name val="B Nazanin"/>
      <charset val="178"/>
    </font>
    <font>
      <b/>
      <sz val="16"/>
      <color theme="1"/>
      <name val="B Titr"/>
      <charset val="178"/>
    </font>
    <font>
      <sz val="16"/>
      <color theme="1"/>
      <name val="B Titr"/>
      <charset val="178"/>
    </font>
    <font>
      <sz val="18"/>
      <color theme="1"/>
      <name val="B Nazanin"/>
      <charset val="178"/>
    </font>
    <font>
      <b/>
      <sz val="8"/>
      <color theme="1"/>
      <name val="B Nazanin"/>
      <charset val="178"/>
    </font>
    <font>
      <b/>
      <sz val="11"/>
      <color rgb="FFFF0000"/>
      <name val="B Nazanin"/>
      <charset val="178"/>
    </font>
    <font>
      <b/>
      <sz val="22"/>
      <color theme="1"/>
      <name val="B Nazanin"/>
      <charset val="178"/>
    </font>
    <font>
      <sz val="11"/>
      <color theme="1"/>
      <name val="B Titr"/>
      <charset val="178"/>
    </font>
    <font>
      <sz val="11"/>
      <color theme="1"/>
      <name val="Times New Roman"/>
      <family val="1"/>
    </font>
    <font>
      <sz val="11"/>
      <color theme="1"/>
      <name val="B Nazanin"/>
      <charset val="178"/>
    </font>
    <font>
      <sz val="16"/>
      <color theme="1"/>
      <name val="Calibri"/>
      <family val="2"/>
      <scheme val="minor"/>
    </font>
    <font>
      <sz val="16"/>
      <color theme="0"/>
      <name val="B Nazanin"/>
      <charset val="178"/>
    </font>
    <font>
      <sz val="16"/>
      <color theme="0"/>
      <name val="Calibri"/>
      <family val="2"/>
      <scheme val="minor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2"/>
      <color theme="0"/>
      <name val="B Nazanin"/>
      <charset val="178"/>
    </font>
    <font>
      <sz val="11"/>
      <color theme="0"/>
      <name val="Times New Roman"/>
      <family val="1"/>
    </font>
    <font>
      <b/>
      <sz val="10"/>
      <color rgb="FF000000"/>
      <name val="B Nazanin"/>
      <charset val="178"/>
    </font>
    <font>
      <sz val="10"/>
      <color rgb="FF000000"/>
      <name val="B Nazanin"/>
      <charset val="178"/>
    </font>
    <font>
      <sz val="11"/>
      <color theme="1"/>
      <name val="Times New Roman"/>
      <family val="1"/>
    </font>
    <font>
      <b/>
      <sz val="14"/>
      <color theme="0"/>
      <name val="B Nazanin"/>
      <charset val="178"/>
    </font>
    <font>
      <sz val="14"/>
      <color theme="1"/>
      <name val="Times New Roman"/>
      <family val="1"/>
    </font>
    <font>
      <vertAlign val="superscript"/>
      <sz val="14"/>
      <color theme="1"/>
      <name val="B Nazanin"/>
      <charset val="178"/>
    </font>
    <font>
      <sz val="8"/>
      <color theme="1"/>
      <name val="B Nazanin"/>
      <charset val="17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B Titr"/>
      <charset val="178"/>
    </font>
    <font>
      <sz val="11"/>
      <color theme="1"/>
      <name val="Times New Roman"/>
      <family val="1"/>
    </font>
    <font>
      <b/>
      <sz val="12"/>
      <color theme="1"/>
      <name val="B Nazanin"/>
      <charset val="178"/>
    </font>
    <font>
      <b/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2"/>
        <bgColor indexed="64"/>
      </patternFill>
    </fill>
    <fill>
      <patternFill patternType="lightGray">
        <fgColor rgb="FF0070C0"/>
        <bgColor theme="4" tint="0.79995117038483843"/>
      </patternFill>
    </fill>
    <fill>
      <patternFill patternType="lightGray">
        <fgColor rgb="FFFF3399"/>
        <bgColor theme="0" tint="-4.9989318521683403E-2"/>
      </patternFill>
    </fill>
    <fill>
      <patternFill patternType="lightGray">
        <fgColor rgb="FF0070C0"/>
        <bgColor theme="4" tint="0.39985351115451523"/>
      </patternFill>
    </fill>
    <fill>
      <patternFill patternType="lightGray">
        <fgColor rgb="FF0070C0"/>
        <bgColor theme="4" tint="0.39994506668294322"/>
      </patternFill>
    </fill>
    <fill>
      <patternFill patternType="solid">
        <fgColor theme="3" tint="0.79998168889431442"/>
        <bgColor indexed="64"/>
      </patternFill>
    </fill>
    <fill>
      <patternFill patternType="lightGray">
        <fgColor theme="4" tint="-0.24994659260841701"/>
        <bgColor theme="4" tint="0.79998168889431442"/>
      </patternFill>
    </fill>
    <fill>
      <patternFill patternType="lightGray">
        <fgColor rgb="FF008080"/>
        <bgColor rgb="FF92D05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rgb="FF008080"/>
        <bgColor theme="4" tint="0.79998168889431442"/>
      </patternFill>
    </fill>
    <fill>
      <patternFill patternType="darkGrid">
        <fgColor theme="9" tint="-0.24994659260841701"/>
        <bgColor theme="0"/>
      </patternFill>
    </fill>
    <fill>
      <patternFill patternType="lightGray">
        <fgColor rgb="FF008080"/>
        <bgColor theme="9" tint="0.59996337778862885"/>
      </patternFill>
    </fill>
    <fill>
      <patternFill patternType="lightGray">
        <fgColor rgb="FF0070C0"/>
        <bgColor theme="8" tint="0.79998168889431442"/>
      </patternFill>
    </fill>
    <fill>
      <patternFill patternType="solid">
        <fgColor rgb="FF00B0F0"/>
        <bgColor rgb="FF33CCCC"/>
      </patternFill>
    </fill>
    <fill>
      <patternFill patternType="solid">
        <fgColor theme="9" tint="0.59996337778862885"/>
        <bgColor rgb="FF008080"/>
      </patternFill>
    </fill>
  </fills>
  <borders count="9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rgb="FF000000"/>
      </right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double">
        <color auto="1"/>
      </top>
      <bottom/>
      <diagonal/>
    </border>
    <border>
      <left style="thin">
        <color rgb="FF000000"/>
      </left>
      <right/>
      <top style="double">
        <color auto="1"/>
      </top>
      <bottom/>
      <diagonal/>
    </border>
    <border>
      <left style="medium">
        <color rgb="FF000000"/>
      </left>
      <right style="hair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medium">
        <color rgb="FF000000"/>
      </left>
      <right style="hair">
        <color auto="1"/>
      </right>
      <top style="thin">
        <color rgb="FF000000"/>
      </top>
      <bottom style="thin">
        <color auto="1"/>
      </bottom>
      <diagonal/>
    </border>
    <border>
      <left style="double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hair">
        <color auto="1"/>
      </right>
      <top style="thin">
        <color auto="1"/>
      </top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auto="1"/>
      </top>
      <bottom style="double">
        <color auto="1"/>
      </bottom>
      <diagonal/>
    </border>
    <border>
      <left style="medium">
        <color rgb="FF000000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3" fillId="0" borderId="0"/>
    <xf numFmtId="178" fontId="2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79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 applyProtection="1">
      <alignment horizontal="center" vertical="center" readingOrder="2"/>
      <protection locked="0"/>
    </xf>
    <xf numFmtId="165" fontId="2" fillId="0" borderId="0" xfId="0" applyNumberFormat="1" applyFont="1" applyAlignment="1" applyProtection="1">
      <alignment horizontal="center" vertical="center" readingOrder="2"/>
      <protection locked="0"/>
    </xf>
    <xf numFmtId="166" fontId="6" fillId="0" borderId="0" xfId="0" applyNumberFormat="1" applyFont="1" applyBorder="1" applyAlignment="1" applyProtection="1">
      <alignment horizontal="center" vertical="center" readingOrder="2"/>
      <protection locked="0"/>
    </xf>
    <xf numFmtId="0" fontId="5" fillId="0" borderId="0" xfId="0" applyFont="1" applyAlignment="1">
      <alignment horizontal="center" vertical="center"/>
    </xf>
    <xf numFmtId="165" fontId="9" fillId="0" borderId="2" xfId="0" applyNumberFormat="1" applyFont="1" applyBorder="1" applyAlignment="1" applyProtection="1">
      <alignment horizontal="center" vertical="center" readingOrder="2"/>
      <protection locked="0"/>
    </xf>
    <xf numFmtId="166" fontId="7" fillId="0" borderId="2" xfId="0" applyNumberFormat="1" applyFont="1" applyBorder="1" applyAlignment="1">
      <alignment horizontal="center" vertical="center" readingOrder="2"/>
    </xf>
    <xf numFmtId="164" fontId="6" fillId="3" borderId="4" xfId="0" applyNumberFormat="1" applyFont="1" applyFill="1" applyBorder="1" applyAlignment="1">
      <alignment horizontal="center" vertical="center" readingOrder="2"/>
    </xf>
    <xf numFmtId="164" fontId="6" fillId="0" borderId="4" xfId="0" applyNumberFormat="1" applyFont="1" applyBorder="1" applyAlignment="1">
      <alignment horizontal="center" vertical="center" readingOrder="2"/>
    </xf>
    <xf numFmtId="0" fontId="6" fillId="3" borderId="3" xfId="0" applyNumberFormat="1" applyFont="1" applyFill="1" applyBorder="1" applyAlignment="1">
      <alignment horizontal="center" vertical="center" readingOrder="2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 readingOrder="2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 readingOrder="2"/>
    </xf>
    <xf numFmtId="9" fontId="3" fillId="0" borderId="0" xfId="1" applyFont="1" applyAlignment="1">
      <alignment horizontal="center" vertical="center"/>
    </xf>
    <xf numFmtId="166" fontId="6" fillId="3" borderId="4" xfId="0" applyNumberFormat="1" applyFont="1" applyFill="1" applyBorder="1" applyAlignment="1">
      <alignment horizontal="center" vertical="center" readingOrder="2"/>
    </xf>
    <xf numFmtId="166" fontId="6" fillId="0" borderId="4" xfId="0" applyNumberFormat="1" applyFont="1" applyBorder="1" applyAlignment="1">
      <alignment horizontal="center" vertical="center" readingOrder="2"/>
    </xf>
    <xf numFmtId="9" fontId="6" fillId="3" borderId="4" xfId="1" applyFont="1" applyFill="1" applyBorder="1" applyAlignment="1">
      <alignment horizontal="center" vertical="center" readingOrder="2"/>
    </xf>
    <xf numFmtId="9" fontId="6" fillId="3" borderId="5" xfId="1" applyFont="1" applyFill="1" applyBorder="1" applyAlignment="1">
      <alignment horizontal="center" vertical="center" readingOrder="2"/>
    </xf>
    <xf numFmtId="9" fontId="6" fillId="0" borderId="4" xfId="1" applyFont="1" applyBorder="1" applyAlignment="1">
      <alignment horizontal="center" vertical="center" readingOrder="2"/>
    </xf>
    <xf numFmtId="9" fontId="6" fillId="0" borderId="5" xfId="1" applyFont="1" applyBorder="1" applyAlignment="1">
      <alignment horizontal="center" vertical="center" readingOrder="2"/>
    </xf>
    <xf numFmtId="9" fontId="1" fillId="0" borderId="0" xfId="1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9" fontId="1" fillId="0" borderId="19" xfId="1" applyFont="1" applyBorder="1" applyAlignment="1">
      <alignment horizontal="center" vertical="center"/>
    </xf>
    <xf numFmtId="9" fontId="1" fillId="0" borderId="20" xfId="1" applyFont="1" applyBorder="1" applyAlignment="1">
      <alignment horizontal="center" vertical="center"/>
    </xf>
    <xf numFmtId="9" fontId="1" fillId="0" borderId="21" xfId="1" applyFont="1" applyBorder="1" applyAlignment="1">
      <alignment horizontal="center" vertical="center"/>
    </xf>
    <xf numFmtId="9" fontId="1" fillId="0" borderId="22" xfId="1" applyFont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top" wrapText="1"/>
    </xf>
    <xf numFmtId="165" fontId="2" fillId="0" borderId="0" xfId="0" applyNumberFormat="1" applyFont="1" applyFill="1" applyBorder="1" applyAlignment="1">
      <alignment horizontal="center" vertical="center" wrapText="1" readingOrder="2"/>
    </xf>
    <xf numFmtId="9" fontId="2" fillId="0" borderId="0" xfId="1" applyFont="1" applyFill="1" applyBorder="1" applyAlignment="1">
      <alignment horizontal="center" vertical="center" wrapText="1" readingOrder="2"/>
    </xf>
    <xf numFmtId="167" fontId="8" fillId="0" borderId="26" xfId="0" applyNumberFormat="1" applyFont="1" applyFill="1" applyBorder="1" applyAlignment="1">
      <alignment horizontal="center" vertical="center" wrapText="1" readingOrder="2"/>
    </xf>
    <xf numFmtId="9" fontId="8" fillId="0" borderId="26" xfId="1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 readingOrder="2"/>
    </xf>
    <xf numFmtId="165" fontId="6" fillId="0" borderId="4" xfId="0" applyNumberFormat="1" applyFont="1" applyBorder="1" applyAlignment="1">
      <alignment horizontal="center" vertical="center" readingOrder="2"/>
    </xf>
    <xf numFmtId="9" fontId="2" fillId="0" borderId="0" xfId="1" applyFont="1" applyBorder="1" applyAlignment="1">
      <alignment horizontal="center" vertical="center"/>
    </xf>
    <xf numFmtId="9" fontId="2" fillId="0" borderId="18" xfId="1" applyFont="1" applyBorder="1" applyAlignment="1">
      <alignment horizontal="center" vertical="center"/>
    </xf>
    <xf numFmtId="9" fontId="2" fillId="0" borderId="19" xfId="1" applyFont="1" applyBorder="1" applyAlignment="1">
      <alignment horizontal="center" vertical="center"/>
    </xf>
    <xf numFmtId="9" fontId="2" fillId="0" borderId="20" xfId="1" applyFont="1" applyBorder="1" applyAlignment="1">
      <alignment horizontal="center" vertical="center"/>
    </xf>
    <xf numFmtId="9" fontId="2" fillId="0" borderId="21" xfId="1" applyFont="1" applyBorder="1" applyAlignment="1">
      <alignment horizontal="center" vertical="center"/>
    </xf>
    <xf numFmtId="9" fontId="2" fillId="0" borderId="22" xfId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6" fontId="6" fillId="3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9" fontId="6" fillId="3" borderId="4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center" vertical="center" wrapText="1" readingOrder="2"/>
    </xf>
    <xf numFmtId="168" fontId="2" fillId="0" borderId="0" xfId="0" applyNumberFormat="1" applyFont="1" applyFill="1" applyBorder="1" applyAlignment="1">
      <alignment horizontal="center" vertical="center" wrapText="1" readingOrder="2"/>
    </xf>
    <xf numFmtId="9" fontId="0" fillId="0" borderId="0" xfId="1" applyFont="1"/>
    <xf numFmtId="0" fontId="14" fillId="0" borderId="0" xfId="0" applyFont="1"/>
    <xf numFmtId="0" fontId="0" fillId="0" borderId="0" xfId="0" applyFont="1"/>
    <xf numFmtId="0" fontId="8" fillId="6" borderId="26" xfId="0" applyFont="1" applyFill="1" applyBorder="1" applyAlignment="1">
      <alignment horizontal="center" vertical="center" wrapText="1"/>
    </xf>
    <xf numFmtId="169" fontId="2" fillId="0" borderId="0" xfId="1" applyNumberFormat="1" applyFont="1" applyFill="1" applyBorder="1" applyAlignment="1">
      <alignment horizontal="center" vertical="center" wrapText="1" readingOrder="2"/>
    </xf>
    <xf numFmtId="167" fontId="8" fillId="0" borderId="6" xfId="0" applyNumberFormat="1" applyFont="1" applyFill="1" applyBorder="1" applyAlignment="1">
      <alignment horizontal="center" vertical="center" wrapText="1" readingOrder="2"/>
    </xf>
    <xf numFmtId="9" fontId="8" fillId="0" borderId="6" xfId="1" applyFont="1" applyBorder="1" applyAlignment="1">
      <alignment horizontal="center" vertical="center"/>
    </xf>
    <xf numFmtId="168" fontId="8" fillId="0" borderId="6" xfId="0" applyNumberFormat="1" applyFont="1" applyFill="1" applyBorder="1" applyAlignment="1">
      <alignment horizontal="center" vertical="center" wrapText="1" readingOrder="2"/>
    </xf>
    <xf numFmtId="0" fontId="6" fillId="0" borderId="6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6" fontId="8" fillId="0" borderId="3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70" fontId="8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8" borderId="0" xfId="0" applyFill="1"/>
    <xf numFmtId="0" fontId="2" fillId="8" borderId="0" xfId="0" applyFont="1" applyFill="1"/>
    <xf numFmtId="0" fontId="2" fillId="0" borderId="6" xfId="0" applyFont="1" applyBorder="1" applyAlignment="1">
      <alignment horizontal="center"/>
    </xf>
    <xf numFmtId="0" fontId="19" fillId="9" borderId="6" xfId="0" applyFont="1" applyFill="1" applyBorder="1"/>
    <xf numFmtId="0" fontId="2" fillId="8" borderId="6" xfId="0" applyFont="1" applyFill="1" applyBorder="1" applyAlignment="1">
      <alignment horizontal="center"/>
    </xf>
    <xf numFmtId="0" fontId="16" fillId="8" borderId="6" xfId="0" applyFont="1" applyFill="1" applyBorder="1" applyAlignment="1">
      <alignment vertical="center" wrapText="1"/>
    </xf>
    <xf numFmtId="0" fontId="15" fillId="8" borderId="6" xfId="0" applyFont="1" applyFill="1" applyBorder="1" applyAlignment="1">
      <alignment vertical="center" wrapText="1"/>
    </xf>
    <xf numFmtId="0" fontId="15" fillId="4" borderId="6" xfId="0" applyFont="1" applyFill="1" applyBorder="1" applyAlignment="1">
      <alignment vertical="center" wrapText="1"/>
    </xf>
    <xf numFmtId="0" fontId="15" fillId="10" borderId="6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vertical="center" wrapText="1"/>
    </xf>
    <xf numFmtId="0" fontId="15" fillId="11" borderId="6" xfId="0" applyFont="1" applyFill="1" applyBorder="1" applyAlignment="1">
      <alignment vertical="center" wrapText="1"/>
    </xf>
    <xf numFmtId="0" fontId="16" fillId="8" borderId="6" xfId="0" applyFont="1" applyFill="1" applyBorder="1" applyAlignment="1">
      <alignment vertical="center"/>
    </xf>
    <xf numFmtId="10" fontId="17" fillId="8" borderId="6" xfId="1" applyNumberFormat="1" applyFont="1" applyFill="1" applyBorder="1" applyAlignment="1">
      <alignment horizontal="center" vertical="center"/>
    </xf>
    <xf numFmtId="10" fontId="17" fillId="0" borderId="6" xfId="1" applyNumberFormat="1" applyFont="1" applyFill="1" applyBorder="1" applyAlignment="1">
      <alignment horizontal="center" vertical="center"/>
    </xf>
    <xf numFmtId="10" fontId="17" fillId="8" borderId="0" xfId="1" applyNumberFormat="1" applyFont="1" applyFill="1" applyBorder="1" applyAlignment="1">
      <alignment horizontal="center" vertical="center"/>
    </xf>
    <xf numFmtId="10" fontId="17" fillId="0" borderId="0" xfId="1" applyNumberFormat="1" applyFont="1" applyAlignment="1">
      <alignment horizontal="center"/>
    </xf>
    <xf numFmtId="10" fontId="17" fillId="9" borderId="6" xfId="1" applyNumberFormat="1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9" fontId="11" fillId="8" borderId="0" xfId="1" applyFont="1" applyFill="1"/>
    <xf numFmtId="0" fontId="2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3" fillId="0" borderId="0" xfId="0" applyFont="1"/>
    <xf numFmtId="9" fontId="2" fillId="0" borderId="6" xfId="1" applyFont="1" applyBorder="1" applyAlignment="1">
      <alignment horizontal="center" vertical="center"/>
    </xf>
    <xf numFmtId="0" fontId="11" fillId="0" borderId="0" xfId="0" applyFont="1"/>
    <xf numFmtId="166" fontId="6" fillId="13" borderId="0" xfId="0" applyNumberFormat="1" applyFont="1" applyFill="1" applyBorder="1" applyAlignment="1" applyProtection="1">
      <alignment horizontal="center" vertical="center" readingOrder="2"/>
      <protection locked="0"/>
    </xf>
    <xf numFmtId="165" fontId="6" fillId="14" borderId="0" xfId="0" applyNumberFormat="1" applyFont="1" applyFill="1" applyBorder="1" applyAlignment="1" applyProtection="1">
      <alignment horizontal="center" vertical="center" readingOrder="2"/>
      <protection locked="0"/>
    </xf>
    <xf numFmtId="166" fontId="6" fillId="14" borderId="0" xfId="0" applyNumberFormat="1" applyFont="1" applyFill="1" applyBorder="1" applyAlignment="1" applyProtection="1">
      <alignment horizontal="center" vertical="center" readingOrder="2"/>
      <protection locked="0"/>
    </xf>
    <xf numFmtId="9" fontId="18" fillId="8" borderId="6" xfId="1" applyNumberFormat="1" applyFont="1" applyFill="1" applyBorder="1" applyAlignment="1">
      <alignment horizontal="center" vertical="center"/>
    </xf>
    <xf numFmtId="9" fontId="18" fillId="0" borderId="0" xfId="1" applyNumberFormat="1" applyFont="1" applyAlignment="1">
      <alignment horizontal="center" vertical="center"/>
    </xf>
    <xf numFmtId="9" fontId="18" fillId="9" borderId="6" xfId="1" applyNumberFormat="1" applyFont="1" applyFill="1" applyBorder="1" applyAlignment="1">
      <alignment horizontal="center" vertical="center"/>
    </xf>
    <xf numFmtId="9" fontId="18" fillId="10" borderId="6" xfId="1" applyNumberFormat="1" applyFont="1" applyFill="1" applyBorder="1" applyAlignment="1">
      <alignment horizontal="center" vertical="center"/>
    </xf>
    <xf numFmtId="9" fontId="18" fillId="4" borderId="6" xfId="1" applyNumberFormat="1" applyFont="1" applyFill="1" applyBorder="1" applyAlignment="1">
      <alignment horizontal="center" vertical="center"/>
    </xf>
    <xf numFmtId="10" fontId="17" fillId="4" borderId="6" xfId="1" applyNumberFormat="1" applyFont="1" applyFill="1" applyBorder="1" applyAlignment="1">
      <alignment horizontal="center"/>
    </xf>
    <xf numFmtId="10" fontId="17" fillId="4" borderId="6" xfId="1" applyNumberFormat="1" applyFont="1" applyFill="1" applyBorder="1" applyAlignment="1">
      <alignment horizontal="center" vertical="center"/>
    </xf>
    <xf numFmtId="10" fontId="17" fillId="10" borderId="6" xfId="1" applyNumberFormat="1" applyFont="1" applyFill="1" applyBorder="1" applyAlignment="1">
      <alignment horizontal="center" vertical="center"/>
    </xf>
    <xf numFmtId="9" fontId="18" fillId="11" borderId="6" xfId="1" applyNumberFormat="1" applyFont="1" applyFill="1" applyBorder="1" applyAlignment="1">
      <alignment horizontal="center" vertical="center"/>
    </xf>
    <xf numFmtId="10" fontId="17" fillId="11" borderId="6" xfId="1" applyNumberFormat="1" applyFont="1" applyFill="1" applyBorder="1" applyAlignment="1">
      <alignment horizontal="center" vertical="center"/>
    </xf>
    <xf numFmtId="9" fontId="22" fillId="15" borderId="6" xfId="1" applyFont="1" applyFill="1" applyBorder="1" applyAlignment="1">
      <alignment horizontal="right" vertical="center"/>
    </xf>
    <xf numFmtId="10" fontId="22" fillId="15" borderId="6" xfId="1" applyNumberFormat="1" applyFont="1" applyFill="1" applyBorder="1" applyAlignment="1">
      <alignment horizontal="center" vertical="center"/>
    </xf>
    <xf numFmtId="10" fontId="2" fillId="0" borderId="0" xfId="1" applyNumberFormat="1" applyFont="1" applyFill="1" applyAlignment="1">
      <alignment horizontal="center"/>
    </xf>
    <xf numFmtId="9" fontId="18" fillId="0" borderId="6" xfId="1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/>
    </xf>
    <xf numFmtId="0" fontId="19" fillId="9" borderId="13" xfId="0" applyFont="1" applyFill="1" applyBorder="1"/>
    <xf numFmtId="9" fontId="18" fillId="9" borderId="13" xfId="1" applyNumberFormat="1" applyFont="1" applyFill="1" applyBorder="1" applyAlignment="1">
      <alignment horizontal="center" vertical="center"/>
    </xf>
    <xf numFmtId="10" fontId="17" fillId="9" borderId="13" xfId="1" applyNumberFormat="1" applyFont="1" applyFill="1" applyBorder="1" applyAlignment="1">
      <alignment horizontal="center"/>
    </xf>
    <xf numFmtId="9" fontId="18" fillId="0" borderId="31" xfId="1" applyFont="1" applyBorder="1" applyAlignment="1">
      <alignment horizontal="center" vertical="center"/>
    </xf>
    <xf numFmtId="9" fontId="18" fillId="0" borderId="32" xfId="1" applyFont="1" applyBorder="1" applyAlignment="1">
      <alignment horizontal="center" vertical="center"/>
    </xf>
    <xf numFmtId="9" fontId="18" fillId="0" borderId="32" xfId="1" applyNumberFormat="1" applyFont="1" applyBorder="1" applyAlignment="1">
      <alignment horizontal="center" vertical="center"/>
    </xf>
    <xf numFmtId="10" fontId="18" fillId="0" borderId="33" xfId="1" applyNumberFormat="1" applyFont="1" applyBorder="1" applyAlignment="1">
      <alignment horizontal="center" vertical="center"/>
    </xf>
    <xf numFmtId="0" fontId="2" fillId="12" borderId="9" xfId="0" applyFont="1" applyFill="1" applyBorder="1" applyAlignment="1">
      <alignment horizontal="center"/>
    </xf>
    <xf numFmtId="9" fontId="20" fillId="12" borderId="10" xfId="1" applyFont="1" applyFill="1" applyBorder="1" applyAlignment="1">
      <alignment horizontal="right" vertical="center"/>
    </xf>
    <xf numFmtId="10" fontId="20" fillId="12" borderId="10" xfId="1" applyNumberFormat="1" applyFont="1" applyFill="1" applyBorder="1" applyAlignment="1">
      <alignment horizontal="center" vertical="center"/>
    </xf>
    <xf numFmtId="9" fontId="20" fillId="12" borderId="11" xfId="1" applyNumberFormat="1" applyFont="1" applyFill="1" applyBorder="1" applyAlignment="1">
      <alignment horizontal="center"/>
    </xf>
    <xf numFmtId="9" fontId="17" fillId="8" borderId="6" xfId="1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34" xfId="0" applyFont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22" fillId="15" borderId="35" xfId="1" applyNumberFormat="1" applyFont="1" applyFill="1" applyBorder="1" applyAlignment="1">
      <alignment horizontal="center"/>
    </xf>
    <xf numFmtId="10" fontId="17" fillId="9" borderId="35" xfId="1" applyNumberFormat="1" applyFont="1" applyFill="1" applyBorder="1" applyAlignment="1">
      <alignment horizontal="center"/>
    </xf>
    <xf numFmtId="10" fontId="17" fillId="8" borderId="35" xfId="1" applyNumberFormat="1" applyFont="1" applyFill="1" applyBorder="1" applyAlignment="1">
      <alignment horizontal="center" vertical="center"/>
    </xf>
    <xf numFmtId="10" fontId="17" fillId="4" borderId="35" xfId="1" applyNumberFormat="1" applyFont="1" applyFill="1" applyBorder="1" applyAlignment="1">
      <alignment horizontal="center"/>
    </xf>
    <xf numFmtId="10" fontId="17" fillId="10" borderId="35" xfId="1" applyNumberFormat="1" applyFont="1" applyFill="1" applyBorder="1" applyAlignment="1">
      <alignment horizontal="center" vertical="center"/>
    </xf>
    <xf numFmtId="10" fontId="17" fillId="4" borderId="35" xfId="1" applyNumberFormat="1" applyFont="1" applyFill="1" applyBorder="1" applyAlignment="1">
      <alignment horizontal="center" vertical="center"/>
    </xf>
    <xf numFmtId="10" fontId="17" fillId="11" borderId="35" xfId="1" applyNumberFormat="1" applyFont="1" applyFill="1" applyBorder="1" applyAlignment="1">
      <alignment horizontal="center" vertical="center"/>
    </xf>
    <xf numFmtId="9" fontId="18" fillId="16" borderId="36" xfId="1" applyFont="1" applyFill="1" applyBorder="1" applyAlignment="1">
      <alignment horizontal="center" vertical="center"/>
    </xf>
    <xf numFmtId="9" fontId="18" fillId="16" borderId="13" xfId="1" applyFont="1" applyFill="1" applyBorder="1" applyAlignment="1">
      <alignment horizontal="center" vertical="center"/>
    </xf>
    <xf numFmtId="9" fontId="18" fillId="16" borderId="13" xfId="1" applyNumberFormat="1" applyFont="1" applyFill="1" applyBorder="1" applyAlignment="1">
      <alignment horizontal="center" vertical="center"/>
    </xf>
    <xf numFmtId="10" fontId="18" fillId="16" borderId="37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34" xfId="0" applyFont="1" applyFill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4" fillId="0" borderId="0" xfId="0" applyFont="1"/>
    <xf numFmtId="0" fontId="25" fillId="0" borderId="38" xfId="3" applyFont="1" applyFill="1" applyBorder="1" applyAlignment="1">
      <alignment horizontal="center" vertical="center" wrapText="1" readingOrder="2"/>
    </xf>
    <xf numFmtId="0" fontId="25" fillId="0" borderId="39" xfId="3" applyFont="1" applyFill="1" applyBorder="1" applyAlignment="1">
      <alignment horizontal="center" vertical="center" wrapText="1" readingOrder="2"/>
    </xf>
    <xf numFmtId="3" fontId="25" fillId="0" borderId="40" xfId="3" applyNumberFormat="1" applyFont="1" applyFill="1" applyBorder="1" applyAlignment="1">
      <alignment horizontal="center" vertical="center" wrapText="1" readingOrder="2"/>
    </xf>
    <xf numFmtId="3" fontId="25" fillId="0" borderId="41" xfId="3" applyNumberFormat="1" applyFont="1" applyFill="1" applyBorder="1" applyAlignment="1">
      <alignment horizontal="center" vertical="center" wrapText="1" readingOrder="2"/>
    </xf>
    <xf numFmtId="0" fontId="25" fillId="0" borderId="42" xfId="3" applyFont="1" applyFill="1" applyBorder="1" applyAlignment="1">
      <alignment horizontal="center" vertical="center" wrapText="1" readingOrder="2"/>
    </xf>
    <xf numFmtId="0" fontId="25" fillId="0" borderId="43" xfId="3" applyFont="1" applyFill="1" applyBorder="1" applyAlignment="1">
      <alignment horizontal="center" vertical="center" wrapText="1" readingOrder="2"/>
    </xf>
    <xf numFmtId="3" fontId="25" fillId="0" borderId="44" xfId="3" applyNumberFormat="1" applyFont="1" applyFill="1" applyBorder="1" applyAlignment="1">
      <alignment horizontal="center" vertical="center" wrapText="1" readingOrder="2"/>
    </xf>
    <xf numFmtId="3" fontId="25" fillId="0" borderId="45" xfId="3" applyNumberFormat="1" applyFont="1" applyFill="1" applyBorder="1" applyAlignment="1">
      <alignment horizontal="center" vertical="center" wrapText="1" readingOrder="2"/>
    </xf>
    <xf numFmtId="0" fontId="26" fillId="0" borderId="46" xfId="3" applyFont="1" applyFill="1" applyBorder="1" applyAlignment="1">
      <alignment horizontal="center" vertical="center" wrapText="1" readingOrder="2"/>
    </xf>
    <xf numFmtId="0" fontId="26" fillId="0" borderId="47" xfId="3" applyFont="1" applyFill="1" applyBorder="1" applyAlignment="1">
      <alignment horizontal="center" vertical="center" wrapText="1" readingOrder="2"/>
    </xf>
    <xf numFmtId="3" fontId="26" fillId="0" borderId="48" xfId="3" applyNumberFormat="1" applyFont="1" applyFill="1" applyBorder="1" applyAlignment="1">
      <alignment horizontal="center" vertical="center" wrapText="1" readingOrder="2"/>
    </xf>
    <xf numFmtId="3" fontId="26" fillId="0" borderId="49" xfId="3" applyNumberFormat="1" applyFont="1" applyFill="1" applyBorder="1" applyAlignment="1">
      <alignment horizontal="center" vertical="center" wrapText="1" readingOrder="2"/>
    </xf>
    <xf numFmtId="0" fontId="27" fillId="0" borderId="46" xfId="3" applyFont="1" applyFill="1" applyBorder="1" applyAlignment="1">
      <alignment horizontal="center" vertical="center" wrapText="1" readingOrder="2"/>
    </xf>
    <xf numFmtId="0" fontId="27" fillId="0" borderId="47" xfId="3" applyFont="1" applyFill="1" applyBorder="1" applyAlignment="1">
      <alignment horizontal="center" vertical="center" wrapText="1" readingOrder="2"/>
    </xf>
    <xf numFmtId="3" fontId="27" fillId="0" borderId="48" xfId="3" applyNumberFormat="1" applyFont="1" applyFill="1" applyBorder="1" applyAlignment="1">
      <alignment horizontal="center" vertical="center" wrapText="1" readingOrder="2"/>
    </xf>
    <xf numFmtId="3" fontId="27" fillId="0" borderId="50" xfId="3" applyNumberFormat="1" applyFont="1" applyFill="1" applyBorder="1" applyAlignment="1">
      <alignment horizontal="center" vertical="center" wrapText="1" readingOrder="2"/>
    </xf>
    <xf numFmtId="0" fontId="28" fillId="0" borderId="46" xfId="3" applyFont="1" applyFill="1" applyBorder="1" applyAlignment="1">
      <alignment horizontal="center" vertical="center" wrapText="1" readingOrder="2"/>
    </xf>
    <xf numFmtId="0" fontId="28" fillId="0" borderId="47" xfId="3" applyFont="1" applyFill="1" applyBorder="1" applyAlignment="1">
      <alignment horizontal="center" vertical="center" wrapText="1" readingOrder="2"/>
    </xf>
    <xf numFmtId="3" fontId="28" fillId="0" borderId="48" xfId="3" applyNumberFormat="1" applyFont="1" applyFill="1" applyBorder="1" applyAlignment="1">
      <alignment horizontal="center" vertical="center" wrapText="1" readingOrder="2"/>
    </xf>
    <xf numFmtId="0" fontId="29" fillId="0" borderId="46" xfId="3" applyFont="1" applyFill="1" applyBorder="1" applyAlignment="1">
      <alignment horizontal="center" vertical="center" wrapText="1" readingOrder="2"/>
    </xf>
    <xf numFmtId="0" fontId="29" fillId="0" borderId="47" xfId="3" applyFont="1" applyFill="1" applyBorder="1" applyAlignment="1">
      <alignment horizontal="center" vertical="center" wrapText="1" readingOrder="2"/>
    </xf>
    <xf numFmtId="9" fontId="29" fillId="0" borderId="48" xfId="1" applyFont="1" applyFill="1" applyBorder="1" applyAlignment="1">
      <alignment horizontal="center" vertical="center" wrapText="1" readingOrder="2"/>
    </xf>
    <xf numFmtId="0" fontId="30" fillId="0" borderId="51" xfId="3" applyFont="1" applyFill="1" applyBorder="1" applyAlignment="1">
      <alignment horizontal="center" vertical="center" wrapText="1" readingOrder="2"/>
    </xf>
    <xf numFmtId="0" fontId="30" fillId="0" borderId="52" xfId="3" applyFont="1" applyFill="1" applyBorder="1" applyAlignment="1">
      <alignment horizontal="center" vertical="center" wrapText="1" readingOrder="2"/>
    </xf>
    <xf numFmtId="3" fontId="30" fillId="0" borderId="53" xfId="3" applyNumberFormat="1" applyFont="1" applyFill="1" applyBorder="1" applyAlignment="1">
      <alignment horizontal="center" vertical="center" wrapText="1" readingOrder="2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/>
    </xf>
    <xf numFmtId="10" fontId="27" fillId="0" borderId="54" xfId="1" applyNumberFormat="1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0" fontId="18" fillId="4" borderId="6" xfId="1" applyNumberFormat="1" applyFont="1" applyFill="1" applyBorder="1" applyAlignment="1">
      <alignment horizontal="center" vertical="center"/>
    </xf>
    <xf numFmtId="0" fontId="2" fillId="9" borderId="34" xfId="0" applyFont="1" applyFill="1" applyBorder="1" applyAlignment="1">
      <alignment horizontal="center"/>
    </xf>
    <xf numFmtId="1" fontId="22" fillId="15" borderId="6" xfId="1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/>
    </xf>
    <xf numFmtId="0" fontId="16" fillId="0" borderId="6" xfId="0" applyFont="1" applyFill="1" applyBorder="1" applyAlignment="1">
      <alignment vertical="center" wrapText="1"/>
    </xf>
    <xf numFmtId="10" fontId="17" fillId="0" borderId="35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2" fillId="10" borderId="55" xfId="0" applyFont="1" applyFill="1" applyBorder="1" applyAlignment="1">
      <alignment horizontal="center" vertical="center"/>
    </xf>
    <xf numFmtId="0" fontId="32" fillId="10" borderId="32" xfId="0" applyFont="1" applyFill="1" applyBorder="1" applyAlignment="1">
      <alignment horizontal="center" vertical="center"/>
    </xf>
    <xf numFmtId="0" fontId="32" fillId="10" borderId="3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1" fontId="1" fillId="8" borderId="34" xfId="0" applyNumberFormat="1" applyFont="1" applyFill="1" applyBorder="1" applyAlignment="1">
      <alignment horizontal="center" vertical="center"/>
    </xf>
    <xf numFmtId="171" fontId="1" fillId="0" borderId="6" xfId="0" applyNumberFormat="1" applyFont="1" applyBorder="1" applyAlignment="1">
      <alignment horizontal="center" vertical="center"/>
    </xf>
    <xf numFmtId="171" fontId="1" fillId="0" borderId="8" xfId="0" applyNumberFormat="1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171" fontId="1" fillId="8" borderId="56" xfId="0" applyNumberFormat="1" applyFont="1" applyFill="1" applyBorder="1" applyAlignment="1">
      <alignment horizontal="center" vertical="center"/>
    </xf>
    <xf numFmtId="171" fontId="1" fillId="0" borderId="58" xfId="0" applyNumberFormat="1" applyFont="1" applyBorder="1" applyAlignment="1">
      <alignment horizontal="center" vertical="center"/>
    </xf>
    <xf numFmtId="171" fontId="1" fillId="0" borderId="59" xfId="0" applyNumberFormat="1" applyFont="1" applyBorder="1" applyAlignment="1">
      <alignment horizontal="center" vertical="center"/>
    </xf>
    <xf numFmtId="0" fontId="8" fillId="17" borderId="6" xfId="0" applyFont="1" applyFill="1" applyBorder="1" applyAlignment="1">
      <alignment horizontal="center" vertical="center" wrapText="1"/>
    </xf>
    <xf numFmtId="166" fontId="31" fillId="17" borderId="6" xfId="0" applyNumberFormat="1" applyFont="1" applyFill="1" applyBorder="1" applyAlignment="1">
      <alignment horizontal="center" vertical="center"/>
    </xf>
    <xf numFmtId="0" fontId="33" fillId="0" borderId="0" xfId="0" applyFont="1"/>
    <xf numFmtId="172" fontId="2" fillId="0" borderId="0" xfId="0" applyNumberFormat="1" applyFont="1" applyFill="1" applyBorder="1" applyAlignment="1">
      <alignment horizontal="center" vertical="center" wrapText="1" readingOrder="2"/>
    </xf>
    <xf numFmtId="173" fontId="8" fillId="0" borderId="26" xfId="0" applyNumberFormat="1" applyFont="1" applyFill="1" applyBorder="1" applyAlignment="1">
      <alignment horizontal="center" vertical="center" wrapText="1" readingOrder="2"/>
    </xf>
    <xf numFmtId="169" fontId="8" fillId="0" borderId="26" xfId="1" applyNumberFormat="1" applyFont="1" applyFill="1" applyBorder="1" applyAlignment="1">
      <alignment horizontal="center" vertical="center" wrapText="1" readingOrder="2"/>
    </xf>
    <xf numFmtId="0" fontId="31" fillId="10" borderId="58" xfId="0" applyFont="1" applyFill="1" applyBorder="1" applyAlignment="1">
      <alignment horizontal="center" vertical="center"/>
    </xf>
    <xf numFmtId="0" fontId="31" fillId="10" borderId="59" xfId="0" applyFont="1" applyFill="1" applyBorder="1" applyAlignment="1">
      <alignment horizontal="center" vertical="center"/>
    </xf>
    <xf numFmtId="0" fontId="8" fillId="17" borderId="62" xfId="0" applyFont="1" applyFill="1" applyBorder="1" applyAlignment="1">
      <alignment horizontal="center" vertical="center" wrapText="1"/>
    </xf>
    <xf numFmtId="0" fontId="34" fillId="17" borderId="63" xfId="0" applyFont="1" applyFill="1" applyBorder="1" applyAlignment="1">
      <alignment horizontal="center" vertical="center" wrapText="1"/>
    </xf>
    <xf numFmtId="166" fontId="34" fillId="17" borderId="63" xfId="0" applyNumberFormat="1" applyFont="1" applyFill="1" applyBorder="1" applyAlignment="1">
      <alignment horizontal="center" vertical="center"/>
    </xf>
    <xf numFmtId="172" fontId="34" fillId="17" borderId="64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171" fontId="1" fillId="8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71" fontId="1" fillId="8" borderId="68" xfId="0" applyNumberFormat="1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71" fontId="1" fillId="8" borderId="70" xfId="0" applyNumberFormat="1" applyFont="1" applyFill="1" applyBorder="1" applyAlignment="1">
      <alignment horizontal="center" vertical="center"/>
    </xf>
    <xf numFmtId="171" fontId="1" fillId="8" borderId="71" xfId="0" applyNumberFormat="1" applyFont="1" applyFill="1" applyBorder="1" applyAlignment="1">
      <alignment horizontal="center" vertical="center"/>
    </xf>
    <xf numFmtId="171" fontId="1" fillId="8" borderId="72" xfId="0" applyNumberFormat="1" applyFont="1" applyFill="1" applyBorder="1" applyAlignment="1">
      <alignment horizontal="center" vertical="center"/>
    </xf>
    <xf numFmtId="171" fontId="1" fillId="8" borderId="73" xfId="0" applyNumberFormat="1" applyFont="1" applyFill="1" applyBorder="1" applyAlignment="1">
      <alignment horizontal="center" vertical="center"/>
    </xf>
    <xf numFmtId="171" fontId="1" fillId="0" borderId="67" xfId="0" applyNumberFormat="1" applyFont="1" applyBorder="1" applyAlignment="1">
      <alignment horizontal="center" vertical="center"/>
    </xf>
    <xf numFmtId="0" fontId="35" fillId="0" borderId="0" xfId="0" applyFont="1"/>
    <xf numFmtId="0" fontId="36" fillId="0" borderId="31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horizontal="center" vertical="center"/>
    </xf>
    <xf numFmtId="174" fontId="38" fillId="0" borderId="32" xfId="0" applyNumberFormat="1" applyFont="1" applyBorder="1" applyAlignment="1">
      <alignment horizontal="center" vertical="center"/>
    </xf>
    <xf numFmtId="174" fontId="38" fillId="0" borderId="33" xfId="0" applyNumberFormat="1" applyFont="1" applyBorder="1" applyAlignment="1">
      <alignment horizontal="center" vertical="center"/>
    </xf>
    <xf numFmtId="174" fontId="38" fillId="0" borderId="6" xfId="0" applyNumberFormat="1" applyFont="1" applyBorder="1" applyAlignment="1">
      <alignment horizontal="center" vertical="center"/>
    </xf>
    <xf numFmtId="174" fontId="38" fillId="0" borderId="8" xfId="0" applyNumberFormat="1" applyFont="1" applyBorder="1" applyAlignment="1">
      <alignment horizontal="center" vertical="center"/>
    </xf>
    <xf numFmtId="174" fontId="38" fillId="0" borderId="10" xfId="0" applyNumberFormat="1" applyFont="1" applyBorder="1" applyAlignment="1">
      <alignment horizontal="center" vertical="center"/>
    </xf>
    <xf numFmtId="174" fontId="38" fillId="0" borderId="11" xfId="0" applyNumberFormat="1" applyFont="1" applyBorder="1" applyAlignment="1">
      <alignment horizontal="center" vertical="center"/>
    </xf>
    <xf numFmtId="0" fontId="34" fillId="18" borderId="60" xfId="0" applyNumberFormat="1" applyFont="1" applyFill="1" applyBorder="1" applyAlignment="1">
      <alignment horizontal="center" vertical="center"/>
    </xf>
    <xf numFmtId="0" fontId="34" fillId="18" borderId="74" xfId="0" applyNumberFormat="1" applyFont="1" applyFill="1" applyBorder="1" applyAlignment="1">
      <alignment horizontal="center" vertical="center"/>
    </xf>
    <xf numFmtId="0" fontId="34" fillId="18" borderId="75" xfId="0" applyNumberFormat="1" applyFont="1" applyFill="1" applyBorder="1" applyAlignment="1">
      <alignment horizontal="center" vertical="center"/>
    </xf>
    <xf numFmtId="0" fontId="34" fillId="19" borderId="60" xfId="0" applyFont="1" applyFill="1" applyBorder="1" applyAlignment="1">
      <alignment horizontal="center" vertical="center"/>
    </xf>
    <xf numFmtId="0" fontId="34" fillId="19" borderId="74" xfId="0" applyFont="1" applyFill="1" applyBorder="1" applyAlignment="1">
      <alignment horizontal="center" vertical="center"/>
    </xf>
    <xf numFmtId="0" fontId="34" fillId="19" borderId="7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175" fontId="40" fillId="0" borderId="16" xfId="0" applyNumberFormat="1" applyFont="1" applyBorder="1" applyAlignment="1">
      <alignment horizontal="center"/>
    </xf>
    <xf numFmtId="175" fontId="40" fillId="0" borderId="17" xfId="0" applyNumberFormat="1" applyFont="1" applyBorder="1" applyAlignment="1">
      <alignment horizontal="center"/>
    </xf>
    <xf numFmtId="174" fontId="41" fillId="0" borderId="32" xfId="0" applyNumberFormat="1" applyFont="1" applyBorder="1" applyAlignment="1">
      <alignment horizontal="center" vertical="center"/>
    </xf>
    <xf numFmtId="174" fontId="41" fillId="0" borderId="33" xfId="0" applyNumberFormat="1" applyFont="1" applyBorder="1" applyAlignment="1">
      <alignment horizontal="center" vertical="center"/>
    </xf>
    <xf numFmtId="174" fontId="41" fillId="0" borderId="6" xfId="0" applyNumberFormat="1" applyFont="1" applyBorder="1" applyAlignment="1">
      <alignment horizontal="center" vertical="center"/>
    </xf>
    <xf numFmtId="174" fontId="41" fillId="0" borderId="8" xfId="0" applyNumberFormat="1" applyFont="1" applyBorder="1" applyAlignment="1">
      <alignment horizontal="center" vertical="center"/>
    </xf>
    <xf numFmtId="174" fontId="41" fillId="0" borderId="58" xfId="0" applyNumberFormat="1" applyFont="1" applyBorder="1" applyAlignment="1">
      <alignment horizontal="center" vertical="center"/>
    </xf>
    <xf numFmtId="174" fontId="41" fillId="0" borderId="59" xfId="0" applyNumberFormat="1" applyFont="1" applyBorder="1" applyAlignment="1">
      <alignment horizontal="center" vertical="center"/>
    </xf>
    <xf numFmtId="9" fontId="11" fillId="0" borderId="0" xfId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NumberFormat="1" applyFont="1" applyBorder="1" applyAlignment="1" applyProtection="1">
      <alignment horizontal="center" vertical="center" readingOrder="2"/>
      <protection locked="0"/>
    </xf>
    <xf numFmtId="164" fontId="6" fillId="0" borderId="0" xfId="0" applyNumberFormat="1" applyFont="1" applyBorder="1" applyAlignment="1" applyProtection="1">
      <alignment horizontal="center" vertical="center" readingOrder="2"/>
      <protection locked="0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13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locked="0"/>
    </xf>
    <xf numFmtId="166" fontId="6" fillId="14" borderId="0" xfId="0" applyNumberFormat="1" applyFont="1" applyFill="1" applyBorder="1" applyAlignment="1" applyProtection="1">
      <alignment horizontal="center" vertical="center"/>
      <protection locked="0"/>
    </xf>
    <xf numFmtId="166" fontId="34" fillId="17" borderId="64" xfId="0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34" fillId="17" borderId="62" xfId="0" applyFont="1" applyFill="1" applyBorder="1" applyAlignment="1">
      <alignment horizontal="center" vertical="center" wrapText="1"/>
    </xf>
    <xf numFmtId="10" fontId="3" fillId="0" borderId="6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0" fontId="3" fillId="0" borderId="13" xfId="1" applyNumberFormat="1" applyFont="1" applyBorder="1" applyAlignment="1">
      <alignment horizontal="center" vertical="center"/>
    </xf>
    <xf numFmtId="10" fontId="3" fillId="0" borderId="14" xfId="1" applyNumberFormat="1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10" fontId="3" fillId="0" borderId="58" xfId="1" applyNumberFormat="1" applyFont="1" applyBorder="1" applyAlignment="1">
      <alignment horizontal="center" vertical="center"/>
    </xf>
    <xf numFmtId="10" fontId="3" fillId="0" borderId="59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0" xfId="2" applyNumberFormat="1" applyFont="1" applyAlignment="1">
      <alignment horizontal="center" vertical="center" wrapText="1"/>
    </xf>
    <xf numFmtId="0" fontId="8" fillId="20" borderId="6" xfId="0" applyFont="1" applyFill="1" applyBorder="1" applyAlignment="1">
      <alignment horizontal="center" vertical="center" wrapText="1"/>
    </xf>
    <xf numFmtId="166" fontId="8" fillId="20" borderId="6" xfId="2" applyNumberFormat="1" applyFont="1" applyFill="1" applyBorder="1" applyAlignment="1">
      <alignment horizontal="center" vertical="center" wrapText="1"/>
    </xf>
    <xf numFmtId="166" fontId="8" fillId="20" borderId="6" xfId="0" applyNumberFormat="1" applyFont="1" applyFill="1" applyBorder="1" applyAlignment="1">
      <alignment vertical="center" wrapText="1"/>
    </xf>
    <xf numFmtId="166" fontId="8" fillId="20" borderId="6" xfId="0" applyNumberFormat="1" applyFont="1" applyFill="1" applyBorder="1" applyAlignment="1">
      <alignment horizontal="center" vertical="center" wrapText="1"/>
    </xf>
    <xf numFmtId="166" fontId="8" fillId="20" borderId="8" xfId="0" applyNumberFormat="1" applyFont="1" applyFill="1" applyBorder="1" applyAlignment="1">
      <alignment horizontal="center" vertical="center" wrapText="1"/>
    </xf>
    <xf numFmtId="176" fontId="43" fillId="0" borderId="0" xfId="2" applyNumberFormat="1" applyFont="1" applyAlignment="1">
      <alignment horizontal="center" vertical="center" wrapText="1"/>
    </xf>
    <xf numFmtId="0" fontId="43" fillId="20" borderId="6" xfId="0" applyFont="1" applyFill="1" applyBorder="1" applyAlignment="1">
      <alignment horizontal="center" vertical="center" wrapText="1"/>
    </xf>
    <xf numFmtId="166" fontId="43" fillId="20" borderId="6" xfId="0" applyNumberFormat="1" applyFont="1" applyFill="1" applyBorder="1" applyAlignment="1">
      <alignment horizontal="center" vertical="center" wrapText="1"/>
    </xf>
    <xf numFmtId="166" fontId="43" fillId="20" borderId="8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 wrapText="1"/>
    </xf>
    <xf numFmtId="166" fontId="8" fillId="0" borderId="6" xfId="0" applyNumberFormat="1" applyFont="1" applyBorder="1" applyAlignment="1">
      <alignment horizontal="center" vertical="center" wrapText="1"/>
    </xf>
    <xf numFmtId="166" fontId="8" fillId="0" borderId="6" xfId="0" applyNumberFormat="1" applyFont="1" applyBorder="1" applyAlignment="1">
      <alignment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166" fontId="43" fillId="0" borderId="6" xfId="0" applyNumberFormat="1" applyFont="1" applyBorder="1" applyAlignment="1">
      <alignment horizontal="center" vertical="center" wrapText="1"/>
    </xf>
    <xf numFmtId="166" fontId="43" fillId="0" borderId="8" xfId="0" applyNumberFormat="1" applyFont="1" applyBorder="1" applyAlignment="1">
      <alignment horizontal="center" vertical="center" wrapText="1"/>
    </xf>
    <xf numFmtId="0" fontId="8" fillId="21" borderId="6" xfId="0" applyFont="1" applyFill="1" applyBorder="1" applyAlignment="1">
      <alignment horizontal="center" vertical="center" wrapText="1"/>
    </xf>
    <xf numFmtId="166" fontId="8" fillId="21" borderId="6" xfId="0" applyNumberFormat="1" applyFont="1" applyFill="1" applyBorder="1" applyAlignment="1">
      <alignment horizontal="center" vertical="center" wrapText="1"/>
    </xf>
    <xf numFmtId="166" fontId="8" fillId="21" borderId="6" xfId="0" applyNumberFormat="1" applyFont="1" applyFill="1" applyBorder="1" applyAlignment="1">
      <alignment vertical="center" wrapText="1"/>
    </xf>
    <xf numFmtId="166" fontId="8" fillId="21" borderId="8" xfId="0" applyNumberFormat="1" applyFont="1" applyFill="1" applyBorder="1" applyAlignment="1">
      <alignment horizontal="center" vertical="center" wrapText="1"/>
    </xf>
    <xf numFmtId="0" fontId="43" fillId="21" borderId="6" xfId="0" applyFont="1" applyFill="1" applyBorder="1" applyAlignment="1">
      <alignment horizontal="center" vertical="center" wrapText="1"/>
    </xf>
    <xf numFmtId="166" fontId="43" fillId="21" borderId="6" xfId="0" applyNumberFormat="1" applyFont="1" applyFill="1" applyBorder="1" applyAlignment="1">
      <alignment horizontal="center" vertical="center" wrapText="1"/>
    </xf>
    <xf numFmtId="166" fontId="43" fillId="21" borderId="8" xfId="0" applyNumberFormat="1" applyFont="1" applyFill="1" applyBorder="1" applyAlignment="1">
      <alignment horizontal="center" vertical="center" wrapText="1"/>
    </xf>
    <xf numFmtId="0" fontId="43" fillId="0" borderId="58" xfId="0" applyFont="1" applyBorder="1" applyAlignment="1">
      <alignment horizontal="center" vertical="center" wrapText="1"/>
    </xf>
    <xf numFmtId="166" fontId="43" fillId="0" borderId="58" xfId="0" applyNumberFormat="1" applyFont="1" applyBorder="1" applyAlignment="1">
      <alignment horizontal="center" vertical="center" wrapText="1"/>
    </xf>
    <xf numFmtId="166" fontId="8" fillId="0" borderId="80" xfId="0" applyNumberFormat="1" applyFont="1" applyBorder="1" applyAlignment="1">
      <alignment vertical="center" wrapText="1"/>
    </xf>
    <xf numFmtId="166" fontId="43" fillId="0" borderId="59" xfId="0" applyNumberFormat="1" applyFont="1" applyBorder="1" applyAlignment="1">
      <alignment horizontal="center" vertical="center" wrapText="1"/>
    </xf>
    <xf numFmtId="166" fontId="8" fillId="22" borderId="16" xfId="0" applyNumberFormat="1" applyFont="1" applyFill="1" applyBorder="1" applyAlignment="1">
      <alignment horizontal="center" vertical="center" wrapText="1"/>
    </xf>
    <xf numFmtId="177" fontId="8" fillId="22" borderId="16" xfId="0" applyNumberFormat="1" applyFont="1" applyFill="1" applyBorder="1" applyAlignment="1">
      <alignment vertical="center" wrapText="1"/>
    </xf>
    <xf numFmtId="166" fontId="8" fillId="22" borderId="17" xfId="0" applyNumberFormat="1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166" fontId="2" fillId="0" borderId="33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0" fontId="8" fillId="6" borderId="87" xfId="3" applyFont="1" applyFill="1" applyBorder="1" applyAlignment="1">
      <alignment horizontal="center" vertical="center"/>
    </xf>
    <xf numFmtId="0" fontId="8" fillId="6" borderId="82" xfId="3" applyFont="1" applyFill="1" applyBorder="1" applyAlignment="1">
      <alignment horizontal="center" vertical="center"/>
    </xf>
    <xf numFmtId="0" fontId="8" fillId="6" borderId="90" xfId="3" applyFont="1" applyFill="1" applyBorder="1" applyAlignment="1">
      <alignment horizontal="center" vertical="center" wrapText="1"/>
    </xf>
    <xf numFmtId="0" fontId="8" fillId="6" borderId="83" xfId="3" applyFont="1" applyFill="1" applyBorder="1" applyAlignment="1">
      <alignment horizontal="center" vertical="center"/>
    </xf>
    <xf numFmtId="0" fontId="2" fillId="6" borderId="60" xfId="0" applyFont="1" applyFill="1" applyBorder="1" applyAlignment="1">
      <alignment horizontal="center" vertical="center"/>
    </xf>
    <xf numFmtId="0" fontId="8" fillId="6" borderId="74" xfId="3" applyFont="1" applyFill="1" applyBorder="1" applyAlignment="1">
      <alignment horizontal="center" vertical="center"/>
    </xf>
    <xf numFmtId="0" fontId="8" fillId="6" borderId="75" xfId="3" applyFont="1" applyFill="1" applyBorder="1" applyAlignment="1">
      <alignment horizontal="center" vertical="center"/>
    </xf>
    <xf numFmtId="166" fontId="8" fillId="6" borderId="82" xfId="4" applyNumberFormat="1" applyFont="1" applyFill="1" applyBorder="1" applyAlignment="1">
      <alignment horizontal="center" vertical="center"/>
    </xf>
    <xf numFmtId="166" fontId="8" fillId="6" borderId="83" xfId="4" applyNumberFormat="1" applyFont="1" applyFill="1" applyBorder="1" applyAlignment="1">
      <alignment horizontal="center" vertical="center"/>
    </xf>
    <xf numFmtId="0" fontId="2" fillId="6" borderId="62" xfId="0" applyFont="1" applyFill="1" applyBorder="1" applyAlignment="1">
      <alignment horizontal="center" vertical="center"/>
    </xf>
    <xf numFmtId="166" fontId="2" fillId="6" borderId="63" xfId="0" applyNumberFormat="1" applyFont="1" applyFill="1" applyBorder="1" applyAlignment="1">
      <alignment horizontal="center" vertical="center"/>
    </xf>
    <xf numFmtId="166" fontId="2" fillId="6" borderId="64" xfId="0" applyNumberFormat="1" applyFont="1" applyFill="1" applyBorder="1" applyAlignment="1">
      <alignment horizontal="center" vertical="center"/>
    </xf>
    <xf numFmtId="0" fontId="2" fillId="0" borderId="86" xfId="3" applyFont="1" applyBorder="1" applyAlignment="1">
      <alignment horizontal="center" vertical="center"/>
    </xf>
    <xf numFmtId="0" fontId="2" fillId="0" borderId="13" xfId="3" applyFont="1" applyBorder="1" applyAlignment="1">
      <alignment horizontal="right" vertical="center"/>
    </xf>
    <xf numFmtId="166" fontId="2" fillId="8" borderId="37" xfId="4" applyNumberFormat="1" applyFont="1" applyFill="1" applyBorder="1" applyAlignment="1">
      <alignment horizontal="center" vertical="center"/>
    </xf>
    <xf numFmtId="166" fontId="2" fillId="0" borderId="84" xfId="4" applyNumberFormat="1" applyFont="1" applyBorder="1" applyAlignment="1">
      <alignment horizontal="center" vertical="center"/>
    </xf>
    <xf numFmtId="0" fontId="2" fillId="0" borderId="85" xfId="3" applyFont="1" applyBorder="1" applyAlignment="1">
      <alignment horizontal="center" vertical="center"/>
    </xf>
    <xf numFmtId="0" fontId="2" fillId="0" borderId="6" xfId="3" applyFont="1" applyBorder="1" applyAlignment="1">
      <alignment horizontal="right" vertical="center"/>
    </xf>
    <xf numFmtId="0" fontId="2" fillId="0" borderId="88" xfId="3" applyFont="1" applyBorder="1" applyAlignment="1">
      <alignment horizontal="center" vertical="center"/>
    </xf>
    <xf numFmtId="179" fontId="44" fillId="0" borderId="0" xfId="0" applyNumberFormat="1" applyFont="1" applyAlignment="1">
      <alignment vertical="center" wrapText="1"/>
    </xf>
    <xf numFmtId="179" fontId="44" fillId="0" borderId="21" xfId="0" applyNumberFormat="1" applyFont="1" applyBorder="1" applyAlignment="1">
      <alignment vertical="center" wrapText="1"/>
    </xf>
    <xf numFmtId="9" fontId="2" fillId="0" borderId="8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45" fillId="8" borderId="0" xfId="0" applyFont="1" applyFill="1" applyBorder="1" applyAlignment="1"/>
    <xf numFmtId="0" fontId="2" fillId="6" borderId="12" xfId="0" applyFont="1" applyFill="1" applyBorder="1" applyAlignment="1">
      <alignment horizontal="center" vertical="center"/>
    </xf>
    <xf numFmtId="0" fontId="8" fillId="6" borderId="13" xfId="3" applyFont="1" applyFill="1" applyBorder="1" applyAlignment="1">
      <alignment horizontal="center" vertical="center"/>
    </xf>
    <xf numFmtId="0" fontId="8" fillId="6" borderId="14" xfId="3" applyFont="1" applyFill="1" applyBorder="1" applyAlignment="1">
      <alignment horizontal="center" vertical="center"/>
    </xf>
    <xf numFmtId="9" fontId="2" fillId="0" borderId="6" xfId="1" applyNumberFormat="1" applyFont="1" applyBorder="1" applyAlignment="1">
      <alignment horizontal="center" vertical="center"/>
    </xf>
    <xf numFmtId="9" fontId="2" fillId="0" borderId="10" xfId="1" applyNumberFormat="1" applyFont="1" applyBorder="1" applyAlignment="1">
      <alignment horizontal="center" vertical="center"/>
    </xf>
    <xf numFmtId="10" fontId="18" fillId="10" borderId="6" xfId="1" applyNumberFormat="1" applyFont="1" applyFill="1" applyBorder="1" applyAlignment="1">
      <alignment horizontal="center" vertical="center"/>
    </xf>
    <xf numFmtId="9" fontId="2" fillId="0" borderId="6" xfId="1" applyNumberFormat="1" applyFont="1" applyBorder="1"/>
    <xf numFmtId="0" fontId="46" fillId="0" borderId="0" xfId="0" applyNumberFormat="1" applyFont="1" applyBorder="1" applyAlignment="1" applyProtection="1">
      <alignment horizontal="center" vertical="center" readingOrder="2"/>
      <protection locked="0"/>
    </xf>
    <xf numFmtId="166" fontId="46" fillId="14" borderId="0" xfId="0" applyNumberFormat="1" applyFont="1" applyFill="1" applyBorder="1" applyAlignment="1" applyProtection="1">
      <alignment horizontal="center" vertical="center" readingOrder="2"/>
      <protection locked="0"/>
    </xf>
    <xf numFmtId="166" fontId="46" fillId="0" borderId="0" xfId="0" applyNumberFormat="1" applyFont="1" applyBorder="1" applyAlignment="1" applyProtection="1">
      <alignment horizontal="center" vertical="center" readingOrder="2"/>
      <protection locked="0"/>
    </xf>
    <xf numFmtId="0" fontId="46" fillId="0" borderId="0" xfId="0" applyNumberFormat="1" applyFont="1" applyAlignment="1" applyProtection="1">
      <alignment horizontal="center" vertical="center" readingOrder="2"/>
      <protection locked="0"/>
    </xf>
    <xf numFmtId="166" fontId="6" fillId="14" borderId="4" xfId="0" applyNumberFormat="1" applyFont="1" applyFill="1" applyBorder="1" applyAlignment="1">
      <alignment horizontal="center" vertical="center" readingOrder="2"/>
    </xf>
    <xf numFmtId="0" fontId="46" fillId="3" borderId="4" xfId="0" applyNumberFormat="1" applyFont="1" applyFill="1" applyBorder="1" applyAlignment="1">
      <alignment horizontal="center" vertical="center" readingOrder="2"/>
    </xf>
    <xf numFmtId="166" fontId="46" fillId="14" borderId="4" xfId="0" applyNumberFormat="1" applyFont="1" applyFill="1" applyBorder="1" applyAlignment="1">
      <alignment horizontal="center" vertical="center" readingOrder="2"/>
    </xf>
    <xf numFmtId="0" fontId="46" fillId="0" borderId="4" xfId="0" applyNumberFormat="1" applyFont="1" applyBorder="1" applyAlignment="1">
      <alignment horizontal="center" vertical="center" readingOrder="2"/>
    </xf>
    <xf numFmtId="9" fontId="6" fillId="14" borderId="4" xfId="1" applyFont="1" applyFill="1" applyBorder="1" applyAlignment="1">
      <alignment horizontal="center" vertical="center" readingOrder="2"/>
    </xf>
    <xf numFmtId="9" fontId="46" fillId="14" borderId="4" xfId="1" applyFont="1" applyFill="1" applyBorder="1" applyAlignment="1">
      <alignment horizontal="center" vertical="center" readingOrder="2"/>
    </xf>
    <xf numFmtId="9" fontId="46" fillId="3" borderId="4" xfId="1" applyFont="1" applyFill="1" applyBorder="1" applyAlignment="1">
      <alignment horizontal="center" vertical="center" readingOrder="2"/>
    </xf>
    <xf numFmtId="9" fontId="46" fillId="3" borderId="5" xfId="1" applyFont="1" applyFill="1" applyBorder="1" applyAlignment="1">
      <alignment horizontal="center" vertical="center" readingOrder="2"/>
    </xf>
    <xf numFmtId="9" fontId="46" fillId="0" borderId="4" xfId="1" applyFont="1" applyBorder="1" applyAlignment="1">
      <alignment horizontal="center" vertical="center" readingOrder="2"/>
    </xf>
    <xf numFmtId="9" fontId="46" fillId="0" borderId="5" xfId="1" applyFont="1" applyBorder="1" applyAlignment="1">
      <alignment horizontal="center" vertical="center" readingOrder="2"/>
    </xf>
    <xf numFmtId="0" fontId="46" fillId="0" borderId="0" xfId="0" applyFont="1" applyAlignment="1" applyProtection="1">
      <alignment horizontal="center" vertical="center"/>
      <protection locked="0"/>
    </xf>
    <xf numFmtId="165" fontId="46" fillId="0" borderId="0" xfId="0" applyNumberFormat="1" applyFont="1" applyAlignment="1" applyProtection="1">
      <alignment horizontal="center" vertical="center" readingOrder="2"/>
      <protection locked="0"/>
    </xf>
    <xf numFmtId="165" fontId="47" fillId="0" borderId="0" xfId="0" applyNumberFormat="1" applyFont="1" applyAlignment="1" applyProtection="1">
      <alignment horizontal="center" vertical="center" readingOrder="2"/>
      <protection locked="0"/>
    </xf>
    <xf numFmtId="164" fontId="46" fillId="0" borderId="0" xfId="0" applyNumberFormat="1" applyFont="1" applyBorder="1" applyAlignment="1" applyProtection="1">
      <alignment horizontal="center" vertical="center" readingOrder="2"/>
      <protection locked="0"/>
    </xf>
    <xf numFmtId="0" fontId="46" fillId="3" borderId="3" xfId="0" applyFont="1" applyFill="1" applyBorder="1" applyAlignment="1">
      <alignment horizontal="center" vertical="center"/>
    </xf>
    <xf numFmtId="164" fontId="46" fillId="3" borderId="4" xfId="0" applyNumberFormat="1" applyFont="1" applyFill="1" applyBorder="1" applyAlignment="1">
      <alignment horizontal="center" vertical="center" readingOrder="2"/>
    </xf>
    <xf numFmtId="165" fontId="46" fillId="3" borderId="4" xfId="0" applyNumberFormat="1" applyFont="1" applyFill="1" applyBorder="1" applyAlignment="1">
      <alignment horizontal="center" vertical="center" readingOrder="2"/>
    </xf>
    <xf numFmtId="165" fontId="46" fillId="0" borderId="4" xfId="0" applyNumberFormat="1" applyFont="1" applyBorder="1" applyAlignment="1">
      <alignment horizontal="center" vertical="center" readingOrder="2"/>
    </xf>
    <xf numFmtId="165" fontId="6" fillId="14" borderId="4" xfId="0" applyNumberFormat="1" applyFont="1" applyFill="1" applyBorder="1" applyAlignment="1">
      <alignment horizontal="center" vertical="center" readingOrder="2"/>
    </xf>
    <xf numFmtId="9" fontId="47" fillId="3" borderId="5" xfId="1" applyFont="1" applyFill="1" applyBorder="1" applyAlignment="1">
      <alignment horizontal="center" vertical="center" readingOrder="2"/>
    </xf>
    <xf numFmtId="9" fontId="47" fillId="0" borderId="5" xfId="1" applyFont="1" applyBorder="1" applyAlignment="1">
      <alignment horizontal="center" vertical="center" readingOrder="2"/>
    </xf>
    <xf numFmtId="9" fontId="6" fillId="14" borderId="5" xfId="1" applyFont="1" applyFill="1" applyBorder="1" applyAlignment="1">
      <alignment horizontal="center" vertical="center" readingOrder="2"/>
    </xf>
    <xf numFmtId="9" fontId="2" fillId="0" borderId="5" xfId="1" applyFont="1" applyBorder="1" applyAlignment="1">
      <alignment horizontal="center" vertical="center" readingOrder="2"/>
    </xf>
    <xf numFmtId="9" fontId="2" fillId="3" borderId="5" xfId="1" applyFont="1" applyFill="1" applyBorder="1" applyAlignment="1">
      <alignment horizontal="center" vertical="center" readingOrder="2"/>
    </xf>
    <xf numFmtId="0" fontId="8" fillId="23" borderId="15" xfId="0" applyNumberFormat="1" applyFont="1" applyFill="1" applyBorder="1" applyAlignment="1">
      <alignment horizontal="center" vertical="center"/>
    </xf>
    <xf numFmtId="0" fontId="8" fillId="23" borderId="16" xfId="0" applyNumberFormat="1" applyFont="1" applyFill="1" applyBorder="1" applyAlignment="1">
      <alignment horizontal="center" vertical="center" wrapText="1"/>
    </xf>
    <xf numFmtId="0" fontId="8" fillId="23" borderId="17" xfId="0" applyNumberFormat="1" applyFont="1" applyFill="1" applyBorder="1" applyAlignment="1">
      <alignment horizontal="center" vertical="center" wrapText="1"/>
    </xf>
    <xf numFmtId="0" fontId="8" fillId="23" borderId="15" xfId="0" applyFont="1" applyFill="1" applyBorder="1" applyAlignment="1">
      <alignment horizontal="center" vertical="center"/>
    </xf>
    <xf numFmtId="10" fontId="5" fillId="23" borderId="16" xfId="1" applyNumberFormat="1" applyFont="1" applyFill="1" applyBorder="1" applyAlignment="1">
      <alignment horizontal="center" vertical="center"/>
    </xf>
    <xf numFmtId="10" fontId="5" fillId="23" borderId="17" xfId="1" applyNumberFormat="1" applyFont="1" applyFill="1" applyBorder="1" applyAlignment="1">
      <alignment horizontal="center" vertical="center"/>
    </xf>
    <xf numFmtId="10" fontId="8" fillId="24" borderId="56" xfId="0" applyNumberFormat="1" applyFont="1" applyFill="1" applyBorder="1" applyAlignment="1">
      <alignment horizontal="center" vertical="center"/>
    </xf>
    <xf numFmtId="10" fontId="8" fillId="24" borderId="93" xfId="0" applyNumberFormat="1" applyFont="1" applyFill="1" applyBorder="1" applyAlignment="1">
      <alignment horizontal="center" vertical="center"/>
    </xf>
    <xf numFmtId="10" fontId="8" fillId="24" borderId="36" xfId="0" applyNumberFormat="1" applyFont="1" applyFill="1" applyBorder="1" applyAlignment="1">
      <alignment horizontal="center" vertical="center"/>
    </xf>
    <xf numFmtId="9" fontId="2" fillId="8" borderId="37" xfId="1" applyFont="1" applyFill="1" applyBorder="1" applyAlignment="1">
      <alignment horizontal="center" vertical="center"/>
    </xf>
    <xf numFmtId="9" fontId="8" fillId="6" borderId="9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1" fontId="2" fillId="0" borderId="6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48" fillId="0" borderId="0" xfId="0" applyFont="1"/>
    <xf numFmtId="165" fontId="49" fillId="0" borderId="0" xfId="0" applyNumberFormat="1" applyFont="1" applyFill="1" applyBorder="1" applyAlignment="1">
      <alignment horizontal="center" vertical="center" wrapText="1" readingOrder="2"/>
    </xf>
    <xf numFmtId="9" fontId="50" fillId="0" borderId="0" xfId="0" applyNumberFormat="1" applyFont="1"/>
    <xf numFmtId="0" fontId="5" fillId="4" borderId="26" xfId="0" applyFont="1" applyFill="1" applyBorder="1" applyAlignment="1" applyProtection="1">
      <alignment horizontal="center" vertical="top" wrapText="1"/>
      <protection locked="0"/>
    </xf>
    <xf numFmtId="0" fontId="52" fillId="0" borderId="0" xfId="0" applyFont="1" applyFill="1" applyBorder="1" applyAlignment="1" applyProtection="1">
      <alignment horizontal="center" vertical="center" wrapText="1"/>
      <protection locked="0"/>
    </xf>
    <xf numFmtId="165" fontId="3" fillId="0" borderId="0" xfId="0" applyNumberFormat="1" applyFont="1" applyFill="1" applyBorder="1" applyAlignment="1" applyProtection="1">
      <alignment horizontal="center" vertical="center" wrapText="1" readingOrder="2"/>
      <protection locked="0"/>
    </xf>
    <xf numFmtId="9" fontId="3" fillId="0" borderId="0" xfId="1" applyFont="1" applyFill="1" applyBorder="1" applyAlignment="1" applyProtection="1">
      <alignment horizontal="center" vertical="center" wrapText="1" readingOrder="2"/>
      <protection locked="0"/>
    </xf>
    <xf numFmtId="0" fontId="5" fillId="0" borderId="26" xfId="0" applyFont="1" applyFill="1" applyBorder="1" applyAlignment="1">
      <alignment horizontal="center" vertical="center" wrapText="1"/>
    </xf>
    <xf numFmtId="167" fontId="5" fillId="0" borderId="26" xfId="0" applyNumberFormat="1" applyFont="1" applyFill="1" applyBorder="1" applyAlignment="1">
      <alignment horizontal="center" vertical="center" wrapText="1" readingOrder="2"/>
    </xf>
    <xf numFmtId="9" fontId="5" fillId="0" borderId="26" xfId="1" applyFont="1" applyFill="1" applyBorder="1" applyAlignment="1">
      <alignment horizontal="center" vertical="center" wrapText="1" readingOrder="2"/>
    </xf>
    <xf numFmtId="9" fontId="53" fillId="0" borderId="0" xfId="1" applyFont="1" applyAlignment="1">
      <alignment horizontal="center"/>
    </xf>
    <xf numFmtId="0" fontId="53" fillId="0" borderId="0" xfId="0" applyFont="1"/>
    <xf numFmtId="0" fontId="2" fillId="12" borderId="6" xfId="0" applyFont="1" applyFill="1" applyBorder="1" applyAlignment="1">
      <alignment horizontal="center" vertical="center" wrapText="1"/>
    </xf>
    <xf numFmtId="171" fontId="2" fillId="12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5" fillId="0" borderId="6" xfId="0" applyFont="1" applyFill="1" applyBorder="1" applyAlignment="1">
      <alignment horizontal="center" vertical="center" wrapText="1"/>
    </xf>
    <xf numFmtId="0" fontId="55" fillId="4" borderId="6" xfId="0" applyFont="1" applyFill="1" applyBorder="1" applyAlignment="1">
      <alignment horizontal="center" vertical="center" wrapText="1"/>
    </xf>
    <xf numFmtId="0" fontId="54" fillId="5" borderId="6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" fontId="0" fillId="0" borderId="0" xfId="0" applyNumberFormat="1"/>
    <xf numFmtId="0" fontId="2" fillId="0" borderId="6" xfId="0" applyFont="1" applyBorder="1"/>
    <xf numFmtId="171" fontId="2" fillId="0" borderId="6" xfId="0" applyNumberFormat="1" applyFont="1" applyBorder="1"/>
    <xf numFmtId="166" fontId="40" fillId="0" borderId="16" xfId="0" applyNumberFormat="1" applyFont="1" applyBorder="1" applyAlignment="1">
      <alignment horizontal="center"/>
    </xf>
    <xf numFmtId="0" fontId="24" fillId="0" borderId="6" xfId="0" applyFont="1" applyBorder="1" applyAlignment="1">
      <alignment horizontal="center" vertical="center"/>
    </xf>
    <xf numFmtId="171" fontId="24" fillId="0" borderId="6" xfId="0" applyNumberFormat="1" applyFont="1" applyBorder="1" applyAlignment="1">
      <alignment horizontal="center" vertical="center"/>
    </xf>
    <xf numFmtId="0" fontId="0" fillId="0" borderId="8" xfId="0" applyBorder="1"/>
    <xf numFmtId="0" fontId="35" fillId="0" borderId="8" xfId="0" applyFont="1" applyBorder="1"/>
    <xf numFmtId="0" fontId="24" fillId="0" borderId="10" xfId="0" applyFont="1" applyBorder="1" applyAlignment="1">
      <alignment horizontal="center" vertical="center"/>
    </xf>
    <xf numFmtId="0" fontId="0" fillId="0" borderId="11" xfId="0" applyBorder="1"/>
    <xf numFmtId="0" fontId="31" fillId="10" borderId="15" xfId="0" applyFont="1" applyFill="1" applyBorder="1" applyAlignment="1">
      <alignment horizontal="center" vertical="center"/>
    </xf>
    <xf numFmtId="0" fontId="32" fillId="10" borderId="16" xfId="0" applyFont="1" applyFill="1" applyBorder="1" applyAlignment="1">
      <alignment horizontal="center" vertical="center"/>
    </xf>
    <xf numFmtId="0" fontId="31" fillId="10" borderId="17" xfId="0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58" fillId="0" borderId="0" xfId="0" applyFont="1" applyBorder="1" applyAlignment="1" applyProtection="1">
      <alignment horizontal="center" vertical="center"/>
      <protection locked="0"/>
    </xf>
    <xf numFmtId="166" fontId="58" fillId="0" borderId="0" xfId="0" applyNumberFormat="1" applyFont="1" applyBorder="1" applyAlignment="1" applyProtection="1">
      <alignment horizontal="center" vertical="center"/>
      <protection locked="0"/>
    </xf>
    <xf numFmtId="166" fontId="58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180" fontId="8" fillId="0" borderId="16" xfId="0" applyNumberFormat="1" applyFont="1" applyBorder="1" applyAlignment="1">
      <alignment horizontal="center" vertical="center" wrapText="1"/>
    </xf>
    <xf numFmtId="180" fontId="8" fillId="0" borderId="17" xfId="0" applyNumberFormat="1" applyFont="1" applyBorder="1" applyAlignment="1">
      <alignment horizontal="center" vertical="center" wrapText="1"/>
    </xf>
    <xf numFmtId="0" fontId="59" fillId="8" borderId="0" xfId="0" applyFont="1" applyFill="1" applyBorder="1" applyAlignment="1">
      <alignment horizontal="center" vertical="center"/>
    </xf>
    <xf numFmtId="9" fontId="59" fillId="8" borderId="0" xfId="1" applyFont="1" applyFill="1" applyBorder="1" applyAlignment="1">
      <alignment horizontal="center" vertical="center"/>
    </xf>
    <xf numFmtId="0" fontId="60" fillId="27" borderId="0" xfId="0" applyNumberFormat="1" applyFont="1" applyFill="1" applyBorder="1" applyAlignment="1">
      <alignment horizontal="center" vertical="center" readingOrder="2"/>
    </xf>
    <xf numFmtId="164" fontId="60" fillId="27" borderId="0" xfId="0" applyNumberFormat="1" applyFont="1" applyFill="1" applyBorder="1" applyAlignment="1">
      <alignment horizontal="center" vertical="center" readingOrder="2"/>
    </xf>
    <xf numFmtId="9" fontId="59" fillId="8" borderId="0" xfId="0" applyNumberFormat="1" applyFont="1" applyFill="1" applyBorder="1" applyAlignment="1">
      <alignment horizontal="center" vertical="center"/>
    </xf>
    <xf numFmtId="10" fontId="0" fillId="8" borderId="0" xfId="1" applyNumberFormat="1" applyFont="1" applyFill="1"/>
    <xf numFmtId="0" fontId="5" fillId="28" borderId="15" xfId="0" applyFont="1" applyFill="1" applyBorder="1" applyAlignment="1">
      <alignment horizontal="center" vertical="center"/>
    </xf>
    <xf numFmtId="0" fontId="5" fillId="28" borderId="16" xfId="0" applyFont="1" applyFill="1" applyBorder="1" applyAlignment="1">
      <alignment horizontal="center" vertical="center"/>
    </xf>
    <xf numFmtId="0" fontId="5" fillId="28" borderId="17" xfId="0" applyFont="1" applyFill="1" applyBorder="1" applyAlignment="1">
      <alignment horizontal="center" vertical="center"/>
    </xf>
    <xf numFmtId="10" fontId="24" fillId="0" borderId="13" xfId="1" applyNumberFormat="1" applyFont="1" applyBorder="1" applyAlignment="1">
      <alignment horizontal="center" vertical="center"/>
    </xf>
    <xf numFmtId="10" fontId="24" fillId="0" borderId="8" xfId="1" applyNumberFormat="1" applyFont="1" applyBorder="1" applyAlignment="1">
      <alignment horizontal="center" vertical="center"/>
    </xf>
    <xf numFmtId="10" fontId="24" fillId="0" borderId="6" xfId="1" applyNumberFormat="1" applyFont="1" applyBorder="1" applyAlignment="1">
      <alignment horizontal="center" vertical="center"/>
    </xf>
    <xf numFmtId="9" fontId="24" fillId="0" borderId="6" xfId="1" applyNumberFormat="1" applyFont="1" applyBorder="1" applyAlignment="1">
      <alignment horizontal="center" vertical="center"/>
    </xf>
    <xf numFmtId="9" fontId="24" fillId="0" borderId="58" xfId="1" applyNumberFormat="1" applyFont="1" applyBorder="1" applyAlignment="1">
      <alignment horizontal="center" vertical="center"/>
    </xf>
    <xf numFmtId="10" fontId="24" fillId="0" borderId="58" xfId="1" applyNumberFormat="1" applyFont="1" applyBorder="1" applyAlignment="1">
      <alignment horizontal="center" vertical="center"/>
    </xf>
    <xf numFmtId="10" fontId="24" fillId="0" borderId="59" xfId="1" applyNumberFormat="1" applyFont="1" applyBorder="1" applyAlignment="1">
      <alignment horizontal="center" vertical="center"/>
    </xf>
    <xf numFmtId="10" fontId="34" fillId="0" borderId="16" xfId="0" applyNumberFormat="1" applyFont="1" applyBorder="1" applyAlignment="1">
      <alignment horizontal="center" vertical="center"/>
    </xf>
    <xf numFmtId="9" fontId="34" fillId="0" borderId="17" xfId="0" applyNumberFormat="1" applyFont="1" applyBorder="1" applyAlignment="1">
      <alignment horizontal="center" vertical="center"/>
    </xf>
    <xf numFmtId="0" fontId="5" fillId="28" borderId="60" xfId="0" applyFont="1" applyFill="1" applyBorder="1" applyAlignment="1">
      <alignment horizontal="center" vertical="center"/>
    </xf>
    <xf numFmtId="0" fontId="5" fillId="28" borderId="74" xfId="0" applyFont="1" applyFill="1" applyBorder="1" applyAlignment="1">
      <alignment horizontal="center" vertical="center"/>
    </xf>
    <xf numFmtId="0" fontId="5" fillId="28" borderId="75" xfId="0" applyFont="1" applyFill="1" applyBorder="1" applyAlignment="1">
      <alignment horizontal="center" vertical="center"/>
    </xf>
    <xf numFmtId="10" fontId="34" fillId="0" borderId="63" xfId="0" applyNumberFormat="1" applyFont="1" applyBorder="1" applyAlignment="1">
      <alignment horizontal="center" vertical="center"/>
    </xf>
    <xf numFmtId="9" fontId="34" fillId="0" borderId="64" xfId="0" applyNumberFormat="1" applyFont="1" applyBorder="1" applyAlignment="1">
      <alignment horizontal="center" vertical="center"/>
    </xf>
    <xf numFmtId="0" fontId="16" fillId="8" borderId="31" xfId="0" applyFont="1" applyFill="1" applyBorder="1" applyAlignment="1">
      <alignment vertical="center" wrapText="1"/>
    </xf>
    <xf numFmtId="10" fontId="24" fillId="0" borderId="32" xfId="1" applyNumberFormat="1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 wrapText="1"/>
    </xf>
    <xf numFmtId="0" fontId="16" fillId="8" borderId="9" xfId="0" applyFont="1" applyFill="1" applyBorder="1" applyAlignment="1">
      <alignment vertical="center" wrapText="1"/>
    </xf>
    <xf numFmtId="9" fontId="24" fillId="0" borderId="10" xfId="1" applyNumberFormat="1" applyFont="1" applyBorder="1" applyAlignment="1">
      <alignment horizontal="center" vertical="center"/>
    </xf>
    <xf numFmtId="10" fontId="24" fillId="0" borderId="10" xfId="1" applyNumberFormat="1" applyFont="1" applyBorder="1" applyAlignment="1">
      <alignment horizontal="center" vertical="center"/>
    </xf>
    <xf numFmtId="10" fontId="24" fillId="0" borderId="11" xfId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20" borderId="13" xfId="0" applyFont="1" applyFill="1" applyBorder="1" applyAlignment="1">
      <alignment horizontal="center" vertical="center" wrapText="1"/>
    </xf>
    <xf numFmtId="0" fontId="8" fillId="21" borderId="6" xfId="0" applyFont="1" applyFill="1" applyBorder="1" applyAlignment="1">
      <alignment horizontal="center" vertical="center" wrapText="1"/>
    </xf>
    <xf numFmtId="17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 wrapText="1"/>
    </xf>
    <xf numFmtId="166" fontId="8" fillId="22" borderId="0" xfId="0" applyNumberFormat="1" applyFon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166" fontId="43" fillId="0" borderId="10" xfId="0" applyNumberFormat="1" applyFont="1" applyBorder="1" applyAlignment="1">
      <alignment horizontal="center" vertical="center" wrapText="1"/>
    </xf>
    <xf numFmtId="166" fontId="8" fillId="20" borderId="13" xfId="2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9" fontId="22" fillId="15" borderId="6" xfId="1" applyNumberFormat="1" applyFont="1" applyFill="1" applyBorder="1" applyAlignment="1">
      <alignment horizontal="right" vertical="center"/>
    </xf>
    <xf numFmtId="10" fontId="22" fillId="15" borderId="6" xfId="1" applyNumberFormat="1" applyFont="1" applyFill="1" applyBorder="1" applyAlignment="1">
      <alignment horizontal="center"/>
    </xf>
    <xf numFmtId="0" fontId="61" fillId="8" borderId="6" xfId="0" applyFont="1" applyFill="1" applyBorder="1" applyAlignment="1">
      <alignment vertical="center" wrapText="1"/>
    </xf>
    <xf numFmtId="0" fontId="62" fillId="8" borderId="6" xfId="0" applyFont="1" applyFill="1" applyBorder="1" applyAlignment="1">
      <alignment vertical="center" wrapText="1"/>
    </xf>
    <xf numFmtId="10" fontId="17" fillId="9" borderId="0" xfId="1" applyNumberFormat="1" applyFont="1" applyFill="1" applyBorder="1" applyAlignment="1">
      <alignment horizontal="center"/>
    </xf>
    <xf numFmtId="10" fontId="17" fillId="4" borderId="0" xfId="1" applyNumberFormat="1" applyFont="1" applyFill="1" applyBorder="1" applyAlignment="1">
      <alignment horizontal="center"/>
    </xf>
    <xf numFmtId="10" fontId="17" fillId="10" borderId="0" xfId="1" applyNumberFormat="1" applyFont="1" applyFill="1" applyBorder="1" applyAlignment="1">
      <alignment horizontal="center" vertical="center"/>
    </xf>
    <xf numFmtId="10" fontId="17" fillId="4" borderId="0" xfId="1" applyNumberFormat="1" applyFont="1" applyFill="1" applyBorder="1" applyAlignment="1">
      <alignment horizontal="center" vertical="center"/>
    </xf>
    <xf numFmtId="10" fontId="17" fillId="11" borderId="0" xfId="1" applyNumberFormat="1" applyFont="1" applyFill="1" applyBorder="1" applyAlignment="1">
      <alignment horizontal="center" vertical="center"/>
    </xf>
    <xf numFmtId="182" fontId="17" fillId="8" borderId="0" xfId="1" applyNumberFormat="1" applyFont="1" applyFill="1" applyBorder="1" applyAlignment="1">
      <alignment horizontal="center" vertical="center"/>
    </xf>
    <xf numFmtId="183" fontId="17" fillId="8" borderId="0" xfId="1" applyNumberFormat="1" applyFont="1" applyFill="1" applyBorder="1" applyAlignment="1">
      <alignment horizontal="center" vertical="center"/>
    </xf>
    <xf numFmtId="10" fontId="17" fillId="0" borderId="0" xfId="1" applyNumberFormat="1" applyFont="1" applyFill="1" applyBorder="1" applyAlignment="1">
      <alignment horizontal="center" vertical="center"/>
    </xf>
    <xf numFmtId="182" fontId="17" fillId="0" borderId="0" xfId="1" applyNumberFormat="1" applyFont="1" applyFill="1" applyBorder="1" applyAlignment="1">
      <alignment horizontal="center" vertical="center"/>
    </xf>
    <xf numFmtId="181" fontId="22" fillId="15" borderId="0" xfId="1" applyNumberFormat="1" applyFont="1" applyFill="1" applyBorder="1" applyAlignment="1">
      <alignment horizontal="center"/>
    </xf>
    <xf numFmtId="164" fontId="6" fillId="0" borderId="0" xfId="0" applyNumberFormat="1" applyFont="1" applyAlignment="1" applyProtection="1">
      <alignment horizontal="center" vertical="center" readingOrder="2"/>
      <protection locked="0"/>
    </xf>
    <xf numFmtId="166" fontId="7" fillId="0" borderId="0" xfId="0" applyNumberFormat="1" applyFont="1" applyBorder="1" applyAlignment="1">
      <alignment horizontal="center" vertical="center" readingOrder="2"/>
    </xf>
    <xf numFmtId="0" fontId="63" fillId="0" borderId="0" xfId="0" applyNumberFormat="1" applyFont="1" applyBorder="1" applyAlignment="1" applyProtection="1">
      <alignment horizontal="center" vertical="center"/>
      <protection locked="0"/>
    </xf>
    <xf numFmtId="166" fontId="63" fillId="0" borderId="0" xfId="0" applyNumberFormat="1" applyFont="1" applyAlignment="1" applyProtection="1">
      <alignment horizontal="center" vertical="center"/>
      <protection locked="0"/>
    </xf>
    <xf numFmtId="0" fontId="64" fillId="2" borderId="1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0" fontId="1" fillId="0" borderId="13" xfId="1" applyNumberFormat="1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0" fontId="1" fillId="0" borderId="6" xfId="1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1" fillId="0" borderId="58" xfId="1" applyNumberFormat="1" applyFont="1" applyBorder="1" applyAlignment="1">
      <alignment horizontal="center" vertical="center"/>
    </xf>
    <xf numFmtId="10" fontId="1" fillId="0" borderId="59" xfId="0" applyNumberFormat="1" applyFont="1" applyBorder="1" applyAlignment="1">
      <alignment horizontal="center" vertical="center"/>
    </xf>
    <xf numFmtId="0" fontId="31" fillId="26" borderId="15" xfId="0" applyFont="1" applyFill="1" applyBorder="1" applyAlignment="1">
      <alignment horizontal="center" vertical="center"/>
    </xf>
    <xf numFmtId="9" fontId="31" fillId="26" borderId="16" xfId="1" applyNumberFormat="1" applyFont="1" applyFill="1" applyBorder="1" applyAlignment="1">
      <alignment horizontal="center" vertical="center"/>
    </xf>
    <xf numFmtId="9" fontId="31" fillId="26" borderId="17" xfId="0" applyNumberFormat="1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31" fillId="26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readingOrder="2"/>
    </xf>
    <xf numFmtId="0" fontId="2" fillId="0" borderId="6" xfId="0" applyFont="1" applyBorder="1" applyAlignment="1">
      <alignment horizontal="center" vertical="center" readingOrder="2"/>
    </xf>
    <xf numFmtId="0" fontId="2" fillId="0" borderId="31" xfId="0" applyFont="1" applyBorder="1" applyAlignment="1">
      <alignment horizontal="center" vertical="center" readingOrder="2"/>
    </xf>
    <xf numFmtId="0" fontId="2" fillId="0" borderId="32" xfId="0" applyFont="1" applyBorder="1" applyAlignment="1">
      <alignment horizontal="center" vertical="center" readingOrder="2"/>
    </xf>
    <xf numFmtId="0" fontId="2" fillId="0" borderId="33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 readingOrder="2"/>
    </xf>
    <xf numFmtId="0" fontId="2" fillId="0" borderId="8" xfId="0" applyFont="1" applyBorder="1" applyAlignment="1">
      <alignment horizontal="center" vertical="center" readingOrder="2"/>
    </xf>
    <xf numFmtId="0" fontId="2" fillId="0" borderId="9" xfId="0" applyFont="1" applyBorder="1" applyAlignment="1">
      <alignment horizontal="center" vertical="center" readingOrder="2"/>
    </xf>
    <xf numFmtId="0" fontId="2" fillId="0" borderId="10" xfId="0" applyFont="1" applyBorder="1" applyAlignment="1">
      <alignment horizontal="center" vertical="center" readingOrder="2"/>
    </xf>
    <xf numFmtId="0" fontId="2" fillId="0" borderId="11" xfId="0" applyFont="1" applyBorder="1" applyAlignment="1">
      <alignment horizontal="center" vertical="center" readingOrder="2"/>
    </xf>
    <xf numFmtId="0" fontId="2" fillId="0" borderId="6" xfId="0" applyFont="1" applyBorder="1" applyAlignment="1">
      <alignment horizontal="right" vertical="center" readingOrder="1"/>
    </xf>
    <xf numFmtId="0" fontId="2" fillId="0" borderId="6" xfId="0" applyFont="1" applyBorder="1" applyAlignment="1">
      <alignment horizontal="right" vertical="center" readingOrder="2"/>
    </xf>
    <xf numFmtId="0" fontId="2" fillId="0" borderId="10" xfId="0" applyFont="1" applyBorder="1" applyAlignment="1">
      <alignment horizontal="right" vertical="center" readingOrder="2"/>
    </xf>
    <xf numFmtId="0" fontId="2" fillId="0" borderId="6" xfId="0" applyFont="1" applyBorder="1" applyAlignment="1">
      <alignment horizontal="right" vertical="center" wrapText="1" readingOrder="2"/>
    </xf>
    <xf numFmtId="0" fontId="5" fillId="29" borderId="60" xfId="0" applyFont="1" applyFill="1" applyBorder="1" applyAlignment="1">
      <alignment horizontal="center" vertical="center" wrapText="1" readingOrder="2"/>
    </xf>
    <xf numFmtId="0" fontId="5" fillId="29" borderId="74" xfId="0" applyFont="1" applyFill="1" applyBorder="1" applyAlignment="1">
      <alignment horizontal="center" vertical="center" wrapText="1" readingOrder="2"/>
    </xf>
    <xf numFmtId="0" fontId="5" fillId="29" borderId="75" xfId="0" applyFont="1" applyFill="1" applyBorder="1" applyAlignment="1">
      <alignment horizontal="center" vertical="center" wrapText="1" readingOrder="2"/>
    </xf>
    <xf numFmtId="0" fontId="8" fillId="0" borderId="62" xfId="0" applyFont="1" applyBorder="1" applyAlignment="1">
      <alignment horizontal="center" vertical="center" readingOrder="2"/>
    </xf>
    <xf numFmtId="0" fontId="8" fillId="0" borderId="22" xfId="0" applyFont="1" applyBorder="1" applyAlignment="1">
      <alignment horizontal="center" vertical="center" readingOrder="2"/>
    </xf>
    <xf numFmtId="0" fontId="2" fillId="0" borderId="32" xfId="0" applyFont="1" applyBorder="1" applyAlignment="1">
      <alignment horizontal="right" vertical="center" readingOrder="1"/>
    </xf>
    <xf numFmtId="166" fontId="2" fillId="12" borderId="6" xfId="0" applyNumberFormat="1" applyFont="1" applyFill="1" applyBorder="1" applyAlignment="1">
      <alignment horizontal="center" vertical="center" wrapText="1"/>
    </xf>
    <xf numFmtId="166" fontId="2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31" borderId="6" xfId="0" applyFont="1" applyFill="1" applyBorder="1" applyAlignment="1">
      <alignment horizontal="center" vertical="center" wrapText="1"/>
    </xf>
    <xf numFmtId="0" fontId="6" fillId="33" borderId="6" xfId="0" applyFont="1" applyFill="1" applyBorder="1" applyAlignment="1">
      <alignment horizontal="center" vertical="center" wrapText="1"/>
    </xf>
    <xf numFmtId="171" fontId="2" fillId="33" borderId="6" xfId="0" applyNumberFormat="1" applyFont="1" applyFill="1" applyBorder="1" applyAlignment="1">
      <alignment horizontal="center" vertical="center" wrapText="1"/>
    </xf>
    <xf numFmtId="0" fontId="2" fillId="33" borderId="6" xfId="0" applyFont="1" applyFill="1" applyBorder="1" applyAlignment="1">
      <alignment horizontal="center" vertical="center" wrapText="1"/>
    </xf>
    <xf numFmtId="0" fontId="8" fillId="32" borderId="6" xfId="0" applyFont="1" applyFill="1" applyBorder="1" applyAlignment="1">
      <alignment horizontal="center" vertical="center" wrapText="1"/>
    </xf>
    <xf numFmtId="171" fontId="8" fillId="32" borderId="6" xfId="0" applyNumberFormat="1" applyFont="1" applyFill="1" applyBorder="1" applyAlignment="1">
      <alignment horizontal="center" vertical="center" wrapText="1"/>
    </xf>
    <xf numFmtId="171" fontId="2" fillId="0" borderId="0" xfId="0" applyNumberFormat="1" applyFont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171" fontId="3" fillId="0" borderId="6" xfId="0" applyNumberFormat="1" applyFont="1" applyBorder="1" applyAlignment="1">
      <alignment horizontal="center" vertical="center" wrapText="1"/>
    </xf>
    <xf numFmtId="0" fontId="52" fillId="33" borderId="6" xfId="0" applyFont="1" applyFill="1" applyBorder="1" applyAlignment="1">
      <alignment horizontal="center" vertical="center" wrapText="1"/>
    </xf>
    <xf numFmtId="171" fontId="3" fillId="33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32" borderId="6" xfId="0" applyFont="1" applyFill="1" applyBorder="1" applyAlignment="1">
      <alignment horizontal="center" vertical="center" wrapText="1"/>
    </xf>
    <xf numFmtId="171" fontId="5" fillId="32" borderId="6" xfId="0" applyNumberFormat="1" applyFont="1" applyFill="1" applyBorder="1" applyAlignment="1">
      <alignment horizontal="center" vertical="center" wrapText="1"/>
    </xf>
    <xf numFmtId="0" fontId="2" fillId="34" borderId="6" xfId="0" applyFont="1" applyFill="1" applyBorder="1" applyAlignment="1">
      <alignment horizontal="center" vertical="center" wrapText="1"/>
    </xf>
    <xf numFmtId="0" fontId="67" fillId="33" borderId="6" xfId="0" applyFont="1" applyFill="1" applyBorder="1" applyAlignment="1">
      <alignment horizontal="center" vertical="center" wrapText="1"/>
    </xf>
    <xf numFmtId="0" fontId="41" fillId="25" borderId="27" xfId="0" applyFont="1" applyFill="1" applyBorder="1" applyAlignment="1">
      <alignment horizontal="center" vertical="center" wrapText="1"/>
    </xf>
    <xf numFmtId="0" fontId="41" fillId="25" borderId="28" xfId="0" applyFont="1" applyFill="1" applyBorder="1" applyAlignment="1">
      <alignment horizontal="center" vertical="center" wrapText="1"/>
    </xf>
    <xf numFmtId="0" fontId="41" fillId="25" borderId="29" xfId="0" applyFont="1" applyFill="1" applyBorder="1" applyAlignment="1">
      <alignment horizontal="center" vertical="center" wrapText="1"/>
    </xf>
    <xf numFmtId="0" fontId="41" fillId="0" borderId="18" xfId="0" applyFont="1" applyBorder="1" applyAlignment="1">
      <alignment horizontal="center" vertical="center" wrapText="1"/>
    </xf>
    <xf numFmtId="171" fontId="41" fillId="0" borderId="0" xfId="0" applyNumberFormat="1" applyFont="1" applyBorder="1" applyAlignment="1">
      <alignment horizontal="center" vertical="center" wrapText="1"/>
    </xf>
    <xf numFmtId="171" fontId="41" fillId="0" borderId="19" xfId="0" applyNumberFormat="1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 wrapText="1"/>
    </xf>
    <xf numFmtId="171" fontId="41" fillId="0" borderId="21" xfId="0" applyNumberFormat="1" applyFont="1" applyBorder="1" applyAlignment="1">
      <alignment horizontal="center" vertical="center" wrapText="1"/>
    </xf>
    <xf numFmtId="171" fontId="41" fillId="0" borderId="22" xfId="0" applyNumberFormat="1" applyFont="1" applyBorder="1" applyAlignment="1">
      <alignment horizontal="center" vertical="center" wrapText="1"/>
    </xf>
    <xf numFmtId="0" fontId="41" fillId="0" borderId="23" xfId="0" applyFont="1" applyBorder="1" applyAlignment="1">
      <alignment horizontal="center" vertical="center" wrapText="1"/>
    </xf>
    <xf numFmtId="0" fontId="68" fillId="0" borderId="0" xfId="0" applyNumberFormat="1" applyFont="1" applyAlignment="1" applyProtection="1">
      <alignment horizontal="center" vertical="center"/>
      <protection locked="0"/>
    </xf>
    <xf numFmtId="0" fontId="69" fillId="0" borderId="0" xfId="0" applyNumberFormat="1" applyFont="1" applyAlignment="1" applyProtection="1">
      <alignment horizontal="center" vertical="center"/>
      <protection locked="0"/>
    </xf>
    <xf numFmtId="164" fontId="68" fillId="0" borderId="0" xfId="0" applyNumberFormat="1" applyFont="1" applyAlignment="1" applyProtection="1">
      <alignment horizontal="center" vertical="center" readingOrder="2"/>
      <protection locked="0"/>
    </xf>
    <xf numFmtId="164" fontId="68" fillId="0" borderId="0" xfId="0" applyNumberFormat="1" applyFont="1" applyBorder="1" applyAlignment="1" applyProtection="1">
      <alignment horizontal="center" vertical="center" readingOrder="2"/>
      <protection locked="0"/>
    </xf>
    <xf numFmtId="166" fontId="68" fillId="0" borderId="0" xfId="0" applyNumberFormat="1" applyFont="1" applyAlignment="1" applyProtection="1">
      <alignment horizontal="center" vertical="center" readingOrder="2"/>
      <protection locked="0"/>
    </xf>
    <xf numFmtId="166" fontId="68" fillId="0" borderId="0" xfId="0" applyNumberFormat="1" applyFont="1" applyBorder="1" applyAlignment="1" applyProtection="1">
      <alignment horizontal="center" vertical="center" readingOrder="2"/>
      <protection locked="0"/>
    </xf>
    <xf numFmtId="166" fontId="68" fillId="0" borderId="0" xfId="0" applyNumberFormat="1" applyFont="1" applyAlignment="1" applyProtection="1">
      <alignment horizontal="center" vertical="center"/>
      <protection locked="0"/>
    </xf>
    <xf numFmtId="166" fontId="69" fillId="0" borderId="0" xfId="0" applyNumberFormat="1" applyFont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 vertical="center" wrapText="1"/>
    </xf>
    <xf numFmtId="166" fontId="31" fillId="6" borderId="10" xfId="0" applyNumberFormat="1" applyFont="1" applyFill="1" applyBorder="1" applyAlignment="1">
      <alignment horizontal="center" vertical="center"/>
    </xf>
    <xf numFmtId="185" fontId="31" fillId="6" borderId="11" xfId="0" applyNumberFormat="1" applyFont="1" applyFill="1" applyBorder="1" applyAlignment="1">
      <alignment horizontal="center" vertical="center"/>
    </xf>
    <xf numFmtId="185" fontId="1" fillId="0" borderId="14" xfId="0" applyNumberFormat="1" applyFont="1" applyBorder="1" applyAlignment="1">
      <alignment horizontal="center" vertical="center"/>
    </xf>
    <xf numFmtId="185" fontId="1" fillId="0" borderId="8" xfId="0" applyNumberFormat="1" applyFont="1" applyBorder="1" applyAlignment="1">
      <alignment horizontal="center" vertical="center"/>
    </xf>
    <xf numFmtId="181" fontId="2" fillId="0" borderId="0" xfId="1" applyNumberFormat="1" applyFont="1" applyFill="1" applyBorder="1" applyAlignment="1">
      <alignment horizontal="center" vertical="center" wrapText="1" readingOrder="2"/>
    </xf>
    <xf numFmtId="9" fontId="2" fillId="0" borderId="0" xfId="1" applyNumberFormat="1" applyFont="1" applyFill="1" applyBorder="1" applyAlignment="1">
      <alignment horizontal="center" vertical="center" wrapText="1" readingOrder="2"/>
    </xf>
    <xf numFmtId="0" fontId="2" fillId="0" borderId="6" xfId="0" applyFont="1" applyBorder="1" applyAlignment="1">
      <alignment horizontal="center" vertical="center" wrapText="1"/>
    </xf>
    <xf numFmtId="0" fontId="2" fillId="31" borderId="6" xfId="0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3" fillId="33" borderId="6" xfId="0" applyNumberFormat="1" applyFont="1" applyFill="1" applyBorder="1" applyAlignment="1">
      <alignment horizontal="center" vertical="center" wrapText="1"/>
    </xf>
    <xf numFmtId="166" fontId="3" fillId="0" borderId="6" xfId="0" applyNumberFormat="1" applyFont="1" applyBorder="1" applyAlignment="1">
      <alignment horizontal="center" vertical="center" wrapText="1"/>
    </xf>
    <xf numFmtId="0" fontId="59" fillId="8" borderId="0" xfId="0" applyFont="1" applyFill="1" applyBorder="1" applyAlignment="1">
      <alignment horizontal="center" vertical="center"/>
    </xf>
    <xf numFmtId="0" fontId="71" fillId="0" borderId="0" xfId="0" applyNumberFormat="1" applyFont="1" applyAlignment="1" applyProtection="1">
      <alignment horizontal="center" vertical="center"/>
      <protection locked="0"/>
    </xf>
    <xf numFmtId="164" fontId="71" fillId="0" borderId="0" xfId="0" applyNumberFormat="1" applyFont="1" applyAlignment="1" applyProtection="1">
      <alignment horizontal="center" vertical="center" readingOrder="2"/>
      <protection locked="0"/>
    </xf>
    <xf numFmtId="166" fontId="71" fillId="0" borderId="0" xfId="0" applyNumberFormat="1" applyFont="1" applyAlignment="1" applyProtection="1">
      <alignment horizontal="center" vertical="center" readingOrder="2"/>
      <protection locked="0"/>
    </xf>
    <xf numFmtId="0" fontId="72" fillId="0" borderId="0" xfId="0" applyFont="1" applyAlignment="1">
      <alignment horizontal="center" vertical="center"/>
    </xf>
    <xf numFmtId="164" fontId="72" fillId="0" borderId="0" xfId="0" applyNumberFormat="1" applyFont="1" applyBorder="1" applyAlignment="1">
      <alignment horizontal="center" vertical="center" readingOrder="2"/>
    </xf>
    <xf numFmtId="166" fontId="73" fillId="0" borderId="0" xfId="0" applyNumberFormat="1" applyFont="1" applyBorder="1" applyAlignment="1" applyProtection="1">
      <alignment horizontal="center" vertical="center" readingOrder="2"/>
      <protection locked="0"/>
    </xf>
    <xf numFmtId="166" fontId="73" fillId="0" borderId="0" xfId="0" applyNumberFormat="1" applyFont="1" applyAlignment="1">
      <alignment horizontal="center" vertical="center"/>
    </xf>
    <xf numFmtId="171" fontId="1" fillId="0" borderId="13" xfId="0" applyNumberFormat="1" applyFont="1" applyBorder="1" applyAlignment="1">
      <alignment horizontal="center" vertical="center"/>
    </xf>
    <xf numFmtId="171" fontId="1" fillId="0" borderId="14" xfId="0" applyNumberFormat="1" applyFont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 wrapText="1"/>
    </xf>
    <xf numFmtId="0" fontId="31" fillId="4" borderId="15" xfId="0" applyFont="1" applyFill="1" applyBorder="1" applyAlignment="1">
      <alignment horizontal="center" vertical="center"/>
    </xf>
    <xf numFmtId="171" fontId="31" fillId="4" borderId="16" xfId="0" applyNumberFormat="1" applyFont="1" applyFill="1" applyBorder="1" applyAlignment="1">
      <alignment horizontal="center" vertical="center"/>
    </xf>
    <xf numFmtId="171" fontId="31" fillId="4" borderId="17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9" fontId="3" fillId="0" borderId="6" xfId="1" applyFont="1" applyFill="1" applyBorder="1" applyAlignment="1">
      <alignment horizontal="center" vertical="center" wrapText="1"/>
    </xf>
    <xf numFmtId="9" fontId="3" fillId="30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84" fontId="41" fillId="0" borderId="24" xfId="0" applyNumberFormat="1" applyFont="1" applyBorder="1" applyAlignment="1">
      <alignment horizontal="center" vertical="center" wrapText="1" readingOrder="2"/>
    </xf>
    <xf numFmtId="184" fontId="41" fillId="0" borderId="25" xfId="0" applyNumberFormat="1" applyFont="1" applyBorder="1" applyAlignment="1">
      <alignment horizontal="center" vertical="center" wrapText="1" readingOrder="2"/>
    </xf>
    <xf numFmtId="0" fontId="3" fillId="34" borderId="6" xfId="0" applyFont="1" applyFill="1" applyBorder="1" applyAlignment="1">
      <alignment horizontal="center" vertical="center" wrapText="1"/>
    </xf>
    <xf numFmtId="0" fontId="2" fillId="31" borderId="6" xfId="0" applyFont="1" applyFill="1" applyBorder="1" applyAlignment="1">
      <alignment horizontal="center" vertical="center" wrapText="1"/>
    </xf>
    <xf numFmtId="0" fontId="2" fillId="31" borderId="58" xfId="0" applyFont="1" applyFill="1" applyBorder="1" applyAlignment="1">
      <alignment horizontal="center" vertical="center" wrapText="1"/>
    </xf>
    <xf numFmtId="0" fontId="2" fillId="31" borderId="13" xfId="0" applyFont="1" applyFill="1" applyBorder="1" applyAlignment="1">
      <alignment horizontal="center" vertical="center" wrapText="1"/>
    </xf>
    <xf numFmtId="0" fontId="2" fillId="31" borderId="35" xfId="0" applyFont="1" applyFill="1" applyBorder="1" applyAlignment="1">
      <alignment horizontal="center" vertical="center" wrapText="1"/>
    </xf>
    <xf numFmtId="0" fontId="2" fillId="31" borderId="34" xfId="0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59" fillId="8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1" fillId="6" borderId="9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21" xfId="0" applyFont="1" applyBorder="1" applyAlignment="1">
      <alignment horizontal="center" vertical="center"/>
    </xf>
    <xf numFmtId="0" fontId="65" fillId="0" borderId="12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45" fillId="0" borderId="60" xfId="0" applyFont="1" applyBorder="1" applyAlignment="1">
      <alignment horizontal="center"/>
    </xf>
    <xf numFmtId="0" fontId="45" fillId="0" borderId="74" xfId="0" applyFont="1" applyBorder="1" applyAlignment="1">
      <alignment horizontal="center"/>
    </xf>
    <xf numFmtId="0" fontId="45" fillId="0" borderId="75" xfId="0" applyFont="1" applyBorder="1" applyAlignment="1">
      <alignment horizontal="center"/>
    </xf>
    <xf numFmtId="0" fontId="37" fillId="18" borderId="23" xfId="0" applyNumberFormat="1" applyFont="1" applyFill="1" applyBorder="1" applyAlignment="1">
      <alignment horizontal="center" vertical="center"/>
    </xf>
    <xf numFmtId="0" fontId="37" fillId="18" borderId="24" xfId="0" applyNumberFormat="1" applyFont="1" applyFill="1" applyBorder="1" applyAlignment="1">
      <alignment horizontal="center" vertical="center"/>
    </xf>
    <xf numFmtId="0" fontId="37" fillId="18" borderId="76" xfId="0" applyNumberFormat="1" applyFont="1" applyFill="1" applyBorder="1" applyAlignment="1">
      <alignment horizontal="center" vertical="center"/>
    </xf>
    <xf numFmtId="0" fontId="37" fillId="19" borderId="23" xfId="0" applyFont="1" applyFill="1" applyBorder="1" applyAlignment="1">
      <alignment horizontal="center" vertical="center"/>
    </xf>
    <xf numFmtId="0" fontId="37" fillId="19" borderId="24" xfId="0" applyFont="1" applyFill="1" applyBorder="1" applyAlignment="1">
      <alignment horizontal="center" vertical="center"/>
    </xf>
    <xf numFmtId="0" fontId="37" fillId="19" borderId="25" xfId="0" applyFont="1" applyFill="1" applyBorder="1" applyAlignment="1">
      <alignment horizontal="center" vertical="center"/>
    </xf>
    <xf numFmtId="0" fontId="32" fillId="10" borderId="32" xfId="0" applyFont="1" applyFill="1" applyBorder="1" applyAlignment="1">
      <alignment horizontal="center" vertical="center"/>
    </xf>
    <xf numFmtId="0" fontId="32" fillId="10" borderId="33" xfId="0" applyFont="1" applyFill="1" applyBorder="1" applyAlignment="1">
      <alignment horizontal="center" vertical="center"/>
    </xf>
    <xf numFmtId="0" fontId="31" fillId="10" borderId="60" xfId="0" applyFont="1" applyFill="1" applyBorder="1" applyAlignment="1">
      <alignment horizontal="center" vertical="center"/>
    </xf>
    <xf numFmtId="0" fontId="31" fillId="10" borderId="6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1" fillId="26" borderId="32" xfId="0" applyFont="1" applyFill="1" applyBorder="1" applyAlignment="1">
      <alignment horizontal="center" vertical="center"/>
    </xf>
    <xf numFmtId="0" fontId="31" fillId="26" borderId="33" xfId="0" applyFont="1" applyFill="1" applyBorder="1" applyAlignment="1">
      <alignment horizontal="center" vertical="center"/>
    </xf>
    <xf numFmtId="0" fontId="31" fillId="26" borderId="31" xfId="0" applyFont="1" applyFill="1" applyBorder="1" applyAlignment="1">
      <alignment horizontal="center" vertical="center"/>
    </xf>
    <xf numFmtId="0" fontId="31" fillId="26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top" wrapText="1" readingOrder="2"/>
    </xf>
    <xf numFmtId="0" fontId="34" fillId="0" borderId="15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2" xfId="0" applyFont="1" applyFill="1" applyBorder="1" applyAlignment="1">
      <alignment horizontal="center" vertical="center"/>
    </xf>
    <xf numFmtId="0" fontId="34" fillId="0" borderId="63" xfId="0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 wrapText="1"/>
    </xf>
    <xf numFmtId="0" fontId="8" fillId="0" borderId="8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21" borderId="7" xfId="0" applyFont="1" applyFill="1" applyBorder="1" applyAlignment="1">
      <alignment horizontal="center" vertical="center" wrapText="1"/>
    </xf>
    <xf numFmtId="0" fontId="8" fillId="21" borderId="58" xfId="0" applyFont="1" applyFill="1" applyBorder="1" applyAlignment="1">
      <alignment horizontal="center" vertical="center" wrapText="1"/>
    </xf>
    <xf numFmtId="0" fontId="8" fillId="21" borderId="13" xfId="0" applyFont="1" applyFill="1" applyBorder="1" applyAlignment="1">
      <alignment horizontal="center" vertical="center" wrapText="1"/>
    </xf>
    <xf numFmtId="166" fontId="8" fillId="21" borderId="58" xfId="0" applyNumberFormat="1" applyFont="1" applyFill="1" applyBorder="1" applyAlignment="1">
      <alignment horizontal="center" vertical="center" wrapText="1"/>
    </xf>
    <xf numFmtId="166" fontId="8" fillId="21" borderId="13" xfId="0" applyNumberFormat="1" applyFont="1" applyFill="1" applyBorder="1" applyAlignment="1">
      <alignment horizontal="center" vertical="center" wrapText="1"/>
    </xf>
    <xf numFmtId="0" fontId="8" fillId="20" borderId="7" xfId="0" applyFont="1" applyFill="1" applyBorder="1" applyAlignment="1">
      <alignment horizontal="center" vertical="center" wrapText="1"/>
    </xf>
    <xf numFmtId="0" fontId="8" fillId="20" borderId="58" xfId="0" applyFont="1" applyFill="1" applyBorder="1" applyAlignment="1">
      <alignment horizontal="center" vertical="center" wrapText="1"/>
    </xf>
    <xf numFmtId="0" fontId="8" fillId="20" borderId="13" xfId="0" applyFont="1" applyFill="1" applyBorder="1" applyAlignment="1">
      <alignment horizontal="center" vertical="center" wrapText="1"/>
    </xf>
    <xf numFmtId="166" fontId="8" fillId="20" borderId="58" xfId="0" applyNumberFormat="1" applyFont="1" applyFill="1" applyBorder="1" applyAlignment="1">
      <alignment horizontal="center" vertical="center" wrapText="1"/>
    </xf>
    <xf numFmtId="166" fontId="8" fillId="20" borderId="13" xfId="0" applyNumberFormat="1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9" fontId="44" fillId="0" borderId="0" xfId="0" applyNumberFormat="1" applyFont="1" applyAlignment="1">
      <alignment horizontal="center" vertical="center" wrapText="1"/>
    </xf>
    <xf numFmtId="179" fontId="44" fillId="0" borderId="21" xfId="0" applyNumberFormat="1" applyFont="1" applyBorder="1" applyAlignment="1">
      <alignment horizontal="center" vertical="center" wrapText="1"/>
    </xf>
    <xf numFmtId="166" fontId="8" fillId="0" borderId="58" xfId="0" applyNumberFormat="1" applyFont="1" applyBorder="1" applyAlignment="1">
      <alignment horizontal="center" vertical="center" wrapText="1"/>
    </xf>
    <xf numFmtId="166" fontId="8" fillId="0" borderId="13" xfId="0" applyNumberFormat="1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166" fontId="8" fillId="0" borderId="80" xfId="0" applyNumberFormat="1" applyFont="1" applyBorder="1" applyAlignment="1">
      <alignment horizontal="center" vertical="center" wrapText="1"/>
    </xf>
    <xf numFmtId="0" fontId="8" fillId="22" borderId="15" xfId="0" applyFont="1" applyFill="1" applyBorder="1" applyAlignment="1">
      <alignment horizontal="center" vertical="center" wrapText="1"/>
    </xf>
    <xf numFmtId="0" fontId="8" fillId="22" borderId="16" xfId="0" applyFont="1" applyFill="1" applyBorder="1" applyAlignment="1">
      <alignment horizontal="center" vertical="center" wrapText="1"/>
    </xf>
    <xf numFmtId="0" fontId="8" fillId="20" borderId="12" xfId="0" applyFont="1" applyFill="1" applyBorder="1" applyAlignment="1">
      <alignment horizontal="center" vertical="center" wrapText="1"/>
    </xf>
    <xf numFmtId="0" fontId="8" fillId="20" borderId="6" xfId="0" applyFont="1" applyFill="1" applyBorder="1" applyAlignment="1">
      <alignment horizontal="center" vertical="center" wrapText="1"/>
    </xf>
    <xf numFmtId="0" fontId="8" fillId="21" borderId="6" xfId="0" applyFont="1" applyFill="1" applyBorder="1" applyAlignment="1">
      <alignment horizontal="center" vertical="center" wrapText="1"/>
    </xf>
    <xf numFmtId="180" fontId="8" fillId="20" borderId="14" xfId="0" applyNumberFormat="1" applyFont="1" applyFill="1" applyBorder="1" applyAlignment="1">
      <alignment horizontal="center" vertical="center" wrapText="1"/>
    </xf>
    <xf numFmtId="180" fontId="8" fillId="20" borderId="8" xfId="0" applyNumberFormat="1" applyFont="1" applyFill="1" applyBorder="1" applyAlignment="1">
      <alignment horizontal="center" vertical="center" wrapText="1"/>
    </xf>
    <xf numFmtId="180" fontId="8" fillId="0" borderId="6" xfId="0" applyNumberFormat="1" applyFont="1" applyBorder="1" applyAlignment="1">
      <alignment horizontal="center" vertical="center" wrapText="1"/>
    </xf>
    <xf numFmtId="180" fontId="8" fillId="0" borderId="8" xfId="0" applyNumberFormat="1" applyFont="1" applyBorder="1" applyAlignment="1">
      <alignment horizontal="center" vertical="center" wrapText="1"/>
    </xf>
    <xf numFmtId="180" fontId="8" fillId="20" borderId="13" xfId="0" applyNumberFormat="1" applyFont="1" applyFill="1" applyBorder="1" applyAlignment="1">
      <alignment horizontal="center" vertical="center" wrapText="1"/>
    </xf>
    <xf numFmtId="180" fontId="8" fillId="20" borderId="6" xfId="0" applyNumberFormat="1" applyFont="1" applyFill="1" applyBorder="1" applyAlignment="1">
      <alignment horizontal="center" vertical="center" wrapText="1"/>
    </xf>
    <xf numFmtId="166" fontId="8" fillId="0" borderId="6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80" fontId="8" fillId="21" borderId="8" xfId="0" applyNumberFormat="1" applyFont="1" applyFill="1" applyBorder="1" applyAlignment="1">
      <alignment horizontal="center" vertical="center" wrapText="1"/>
    </xf>
    <xf numFmtId="180" fontId="8" fillId="0" borderId="58" xfId="0" applyNumberFormat="1" applyFont="1" applyBorder="1" applyAlignment="1">
      <alignment horizontal="center" vertical="center" wrapText="1"/>
    </xf>
    <xf numFmtId="180" fontId="8" fillId="0" borderId="59" xfId="0" applyNumberFormat="1" applyFont="1" applyBorder="1" applyAlignment="1">
      <alignment horizontal="center" vertical="center" wrapText="1"/>
    </xf>
    <xf numFmtId="180" fontId="8" fillId="21" borderId="6" xfId="0" applyNumberFormat="1" applyFont="1" applyFill="1" applyBorder="1" applyAlignment="1">
      <alignment horizontal="center" vertical="center" wrapText="1"/>
    </xf>
    <xf numFmtId="166" fontId="8" fillId="20" borderId="13" xfId="2" applyNumberFormat="1" applyFont="1" applyFill="1" applyBorder="1" applyAlignment="1">
      <alignment horizontal="center" vertical="center" wrapText="1"/>
    </xf>
    <xf numFmtId="166" fontId="8" fillId="20" borderId="6" xfId="2" applyNumberFormat="1" applyFont="1" applyFill="1" applyBorder="1" applyAlignment="1">
      <alignment horizontal="center" vertical="center" wrapText="1"/>
    </xf>
    <xf numFmtId="166" fontId="8" fillId="21" borderId="6" xfId="0" applyNumberFormat="1" applyFont="1" applyFill="1" applyBorder="1" applyAlignment="1">
      <alignment horizontal="center" vertical="center" wrapText="1"/>
    </xf>
    <xf numFmtId="166" fontId="8" fillId="0" borderId="10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6" fontId="8" fillId="20" borderId="6" xfId="0" applyNumberFormat="1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166" fontId="8" fillId="20" borderId="14" xfId="2" applyNumberFormat="1" applyFont="1" applyFill="1" applyBorder="1" applyAlignment="1">
      <alignment horizontal="center" vertical="center" wrapText="1"/>
    </xf>
    <xf numFmtId="166" fontId="8" fillId="20" borderId="8" xfId="2" applyNumberFormat="1" applyFont="1" applyFill="1" applyBorder="1" applyAlignment="1">
      <alignment horizontal="center"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166" fontId="8" fillId="21" borderId="8" xfId="0" applyNumberFormat="1" applyFont="1" applyFill="1" applyBorder="1" applyAlignment="1">
      <alignment horizontal="center" vertical="center" wrapText="1"/>
    </xf>
    <xf numFmtId="172" fontId="8" fillId="0" borderId="6" xfId="0" applyNumberFormat="1" applyFont="1" applyBorder="1" applyAlignment="1">
      <alignment horizontal="center" vertical="center" wrapText="1"/>
    </xf>
    <xf numFmtId="172" fontId="8" fillId="0" borderId="10" xfId="0" applyNumberFormat="1" applyFont="1" applyBorder="1" applyAlignment="1">
      <alignment horizontal="center" vertical="center" wrapText="1"/>
    </xf>
    <xf numFmtId="166" fontId="8" fillId="0" borderId="11" xfId="0" applyNumberFormat="1" applyFont="1" applyBorder="1" applyAlignment="1">
      <alignment horizontal="center" vertical="center" wrapText="1"/>
    </xf>
    <xf numFmtId="0" fontId="8" fillId="6" borderId="89" xfId="3" applyFont="1" applyFill="1" applyBorder="1" applyAlignment="1">
      <alignment horizontal="center" vertical="center"/>
    </xf>
    <xf numFmtId="0" fontId="8" fillId="6" borderId="81" xfId="3" applyFont="1" applyFill="1" applyBorder="1" applyAlignment="1">
      <alignment horizontal="center" vertical="center"/>
    </xf>
    <xf numFmtId="0" fontId="45" fillId="6" borderId="23" xfId="0" applyFont="1" applyFill="1" applyBorder="1" applyAlignment="1">
      <alignment horizontal="center"/>
    </xf>
    <xf numFmtId="0" fontId="45" fillId="6" borderId="24" xfId="0" applyFont="1" applyFill="1" applyBorder="1" applyAlignment="1">
      <alignment horizontal="center"/>
    </xf>
    <xf numFmtId="0" fontId="45" fillId="6" borderId="25" xfId="0" applyFont="1" applyFill="1" applyBorder="1" applyAlignment="1">
      <alignment horizontal="center"/>
    </xf>
    <xf numFmtId="0" fontId="45" fillId="6" borderId="15" xfId="0" applyFont="1" applyFill="1" applyBorder="1" applyAlignment="1">
      <alignment horizontal="center"/>
    </xf>
    <xf numFmtId="0" fontId="45" fillId="6" borderId="16" xfId="0" applyFont="1" applyFill="1" applyBorder="1" applyAlignment="1">
      <alignment horizontal="center"/>
    </xf>
    <xf numFmtId="0" fontId="45" fillId="6" borderId="17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4" borderId="91" xfId="0" applyFont="1" applyFill="1" applyBorder="1" applyAlignment="1">
      <alignment horizontal="right" vertical="center" wrapText="1"/>
    </xf>
    <xf numFmtId="0" fontId="8" fillId="24" borderId="30" xfId="0" applyFont="1" applyFill="1" applyBorder="1" applyAlignment="1">
      <alignment horizontal="right" vertical="center" wrapText="1"/>
    </xf>
    <xf numFmtId="0" fontId="8" fillId="24" borderId="92" xfId="0" applyFont="1" applyFill="1" applyBorder="1" applyAlignment="1">
      <alignment horizontal="right" vertical="center" wrapText="1"/>
    </xf>
    <xf numFmtId="0" fontId="8" fillId="24" borderId="0" xfId="0" applyFont="1" applyFill="1" applyBorder="1" applyAlignment="1">
      <alignment horizontal="right" vertical="center" wrapText="1"/>
    </xf>
    <xf numFmtId="0" fontId="8" fillId="24" borderId="37" xfId="0" applyFont="1" applyFill="1" applyBorder="1" applyAlignment="1">
      <alignment horizontal="right" vertical="center" wrapText="1"/>
    </xf>
    <xf numFmtId="0" fontId="8" fillId="24" borderId="2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7">
    <cellStyle name="Comma" xfId="2" builtinId="3"/>
    <cellStyle name="Comma 2" xfId="6"/>
    <cellStyle name="Comma 3" xfId="4"/>
    <cellStyle name="Normal" xfId="0" builtinId="0"/>
    <cellStyle name="Normal 2" xfId="5"/>
    <cellStyle name="Normal 2 2" xfId="3"/>
    <cellStyle name="Percent" xfId="1" builtinId="5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6600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2"/>
      <border diagonalUp="0" diagonalDown="0" outline="0">
        <left style="medium">
          <color rgb="FF000000"/>
        </left>
        <right style="hair">
          <color auto="1"/>
        </right>
        <top style="thin">
          <color auto="1"/>
        </top>
        <bottom style="thin">
          <color rgb="FF000000"/>
        </bottom>
      </border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 Nazanin"/>
        <scheme val="none"/>
      </font>
      <alignment horizontal="center" vertical="center" textRotation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rgb="FFBDD7E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 Nazanin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 Nazanin"/>
        <scheme val="none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9999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B Nazanin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5" formatCode="#,###\ 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#,###\ 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#,###\ 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#,###\ 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#,###.00\ &quot;متر&quot;"/>
      <alignment horizontal="center" vertical="center" textRotation="0" wrapText="0" indent="0" justifyLastLine="0" shrinkToFit="0" readingOrder="2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/>
      <protection locked="0" hidden="0"/>
    </dxf>
    <dxf>
      <font>
        <strike val="0"/>
        <outline val="0"/>
        <shadow val="0"/>
        <u val="none"/>
        <vertAlign val="baseline"/>
        <color theme="1"/>
        <name val="B Nazanin"/>
        <scheme val="none"/>
      </font>
      <alignment horizontal="center" vertical="center" textRotation="0" wrapText="0" indent="0" justifyLastLine="0" shrinkToFit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164" formatCode="#,###.00\ &quot;متر&quot;"/>
      <alignment horizontal="center" vertical="center" textRotation="0" wrapText="0" indent="0" justifyLastLine="0" shrinkToFit="0" readingOrder="2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#,###.00\ &quot;متر&quot;"/>
      <alignment horizontal="center" vertical="center" textRotation="0" wrapText="0" indent="0" justifyLastLine="0" shrinkToFit="0" readingOrder="2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/>
      <protection locked="0" hidden="0"/>
    </dxf>
    <dxf>
      <font>
        <b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#,###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2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fill>
        <patternFill patternType="solid">
          <fgColor indexed="64"/>
          <bgColor rgb="FF33CCCC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fill>
        <patternFill patternType="solid">
          <fgColor indexed="64"/>
          <bgColor rgb="FF33CCCC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71" formatCode="#,###;;\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6" formatCode="#,###"/>
      <fill>
        <patternFill patternType="solid">
          <fgColor indexed="64"/>
          <bgColor rgb="FF33CCCC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fill>
        <patternFill patternType="solid">
          <fgColor indexed="64"/>
          <bgColor rgb="FF00808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33CCCC"/>
      <color rgb="FF008080"/>
      <color rgb="FF99CCFF"/>
      <color rgb="FFFFFFFF"/>
      <color rgb="FFFF7C80"/>
      <color rgb="FF00CC99"/>
      <color rgb="FF00CC66"/>
      <color rgb="FF33CC33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9.png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image" Target="../media/image16.png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image" Target="../media/image18.png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image" Target="../media/image20.png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image" Target="../media/image22.png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image" Target="../media/image24.png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image" Target="../media/image26.png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microsoft.com/office/2011/relationships/chartColorStyle" Target="colors23.xml"/><Relationship Id="rId1" Type="http://schemas.microsoft.com/office/2011/relationships/chartStyle" Target="style23.xml"/><Relationship Id="rId4" Type="http://schemas.openxmlformats.org/officeDocument/2006/relationships/image" Target="../media/image28.png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microsoft.com/office/2011/relationships/chartColorStyle" Target="colors25.xml"/><Relationship Id="rId1" Type="http://schemas.microsoft.com/office/2011/relationships/chartStyle" Target="style25.xml"/><Relationship Id="rId4" Type="http://schemas.openxmlformats.org/officeDocument/2006/relationships/image" Target="../media/image30.png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درصد</a:t>
            </a:r>
            <a:r>
              <a:rPr lang="fa-IR" baseline="0">
                <a:cs typeface="B Titr" panose="00000700000000000000" pitchFamily="2" charset="-78"/>
              </a:rPr>
              <a:t> نسبت به کل مسیر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2-4D09-BFB5-B89B18F132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2-4D09-BFB5-B89B18F132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02-4D09-BFB5-B89B18F132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02-4D09-BFB5-B89B18F132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'مشخصات منطقه'!$N$16:$N$19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منطقه'!$O$16:$O$19</c:f>
              <c:numCache>
                <c:formatCode>0%</c:formatCode>
                <c:ptCount val="4"/>
                <c:pt idx="0">
                  <c:v>0.70604545454545453</c:v>
                </c:pt>
                <c:pt idx="1">
                  <c:v>6.1636363636363635E-2</c:v>
                </c:pt>
                <c:pt idx="2">
                  <c:v>8.4750000000000006E-2</c:v>
                </c:pt>
                <c:pt idx="3">
                  <c:v>0.14688636363636365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D-4638-A1C8-D956BD4B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'A2'!$R$2:$U$2</c:f>
          <c:strCache>
            <c:ptCount val="4"/>
            <c:pt idx="0">
              <c:v>حفاری بنچ قطعه 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'A2'!$R$4:$R$15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7-43BF-AB18-CDE1025C51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277-43BF-AB18-CDE1025C51B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4277-43BF-AB18-CDE1025C51BE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B2D-4EA2-A91F-34C836CA0AA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B2D-4EA2-A91F-34C836CA0AA0}"/>
              </c:ext>
            </c:extLst>
          </c:dPt>
          <c:dPt>
            <c:idx val="8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8B2D-4EA2-A91F-34C836CA0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'A2'!$S$4:$S$15</c:f>
              <c:numCache>
                <c:formatCode>0%</c:formatCode>
                <c:ptCount val="12"/>
                <c:pt idx="0">
                  <c:v>0.81081081081081086</c:v>
                </c:pt>
                <c:pt idx="1">
                  <c:v>0.8936170212765957</c:v>
                </c:pt>
                <c:pt idx="2">
                  <c:v>0.97570850202429149</c:v>
                </c:pt>
                <c:pt idx="3">
                  <c:v>0.94399999999999995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3.2967032967032968E-2</c:v>
                </c:pt>
                <c:pt idx="9">
                  <c:v>0</c:v>
                </c:pt>
                <c:pt idx="10">
                  <c:v>0</c:v>
                </c:pt>
                <c:pt idx="11">
                  <c:v>0.44247787610619466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77-43BF-AB18-CDE1025C51BE}"/>
            </c:ext>
          </c:extLst>
        </c:ser>
        <c:ser>
          <c:idx val="2"/>
          <c:order val="2"/>
          <c:spPr>
            <a:solidFill>
              <a:schemeClr val="bg1">
                <a:alpha val="6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'A2'!$T$4:$T$15</c:f>
              <c:numCache>
                <c:formatCode>0%</c:formatCode>
                <c:ptCount val="12"/>
                <c:pt idx="0">
                  <c:v>0.18918918918918914</c:v>
                </c:pt>
                <c:pt idx="1">
                  <c:v>0.1063829787234043</c:v>
                </c:pt>
                <c:pt idx="2">
                  <c:v>2.4291497975708509E-2</c:v>
                </c:pt>
                <c:pt idx="3">
                  <c:v>5.600000000000005E-2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0.96703296703296704</c:v>
                </c:pt>
                <c:pt idx="9">
                  <c:v>1</c:v>
                </c:pt>
                <c:pt idx="10">
                  <c:v>1</c:v>
                </c:pt>
                <c:pt idx="11">
                  <c:v>0.55752212389380529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77-43BF-AB18-CDE1025C51BE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'A2'!$U$4:$U$15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77-43BF-AB18-CDE1025C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8083151"/>
        <c:axId val="88078991"/>
        <c:axId val="0"/>
      </c:bar3DChart>
      <c:catAx>
        <c:axId val="8808315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cap="rnd">
            <a:solidFill>
              <a:srgbClr val="FF00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78991"/>
        <c:crosses val="autoZero"/>
        <c:auto val="1"/>
        <c:lblAlgn val="ctr"/>
        <c:lblOffset val="100"/>
        <c:noMultiLvlLbl val="0"/>
      </c:catAx>
      <c:valAx>
        <c:axId val="880789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808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'B2'!$M$1:$Q$1</c:f>
          <c:strCache>
            <c:ptCount val="5"/>
            <c:pt idx="0">
              <c:v>حفاری هد قطعه 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'B2'!$N$3:$N$21</c:f>
              <c:numCache>
                <c:formatCode>0%</c:formatCode>
                <c:ptCount val="1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F-4A0F-9B37-33B530F1F7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0EBF-4A0F-9B37-33B530F1F7CC}"/>
              </c:ext>
            </c:extLst>
          </c:dPt>
          <c:dPt>
            <c:idx val="3"/>
            <c:invertIfNegative val="0"/>
            <c:bubble3D val="0"/>
            <c:spPr>
              <a:solidFill>
                <a:srgbClr val="6699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EBF-4A0F-9B37-33B530F1F7CC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0EBF-4A0F-9B37-33B530F1F7CC}"/>
              </c:ext>
            </c:extLst>
          </c:dPt>
          <c:dPt>
            <c:idx val="5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EBF-4A0F-9B37-33B530F1F7CC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0EBF-4A0F-9B37-33B530F1F7CC}"/>
              </c:ext>
            </c:extLst>
          </c:dPt>
          <c:dPt>
            <c:idx val="7"/>
            <c:invertIfNegative val="0"/>
            <c:bubble3D val="0"/>
            <c:spPr>
              <a:solidFill>
                <a:srgbClr val="CC00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EBF-4A0F-9B37-33B530F1F7CC}"/>
              </c:ext>
            </c:extLst>
          </c:dPt>
          <c:dPt>
            <c:idx val="8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0EBF-4A0F-9B37-33B530F1F7CC}"/>
              </c:ext>
            </c:extLst>
          </c:dPt>
          <c:dPt>
            <c:idx val="9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EBF-4A0F-9B37-33B530F1F7CC}"/>
              </c:ext>
            </c:extLst>
          </c:dPt>
          <c:dPt>
            <c:idx val="10"/>
            <c:invertIfNegative val="0"/>
            <c:bubble3D val="0"/>
            <c:spPr>
              <a:solidFill>
                <a:srgbClr val="00CC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0EBF-4A0F-9B37-33B530F1F7CC}"/>
              </c:ext>
            </c:extLst>
          </c:dPt>
          <c:dPt>
            <c:idx val="11"/>
            <c:invertIfNegative val="0"/>
            <c:bubble3D val="0"/>
            <c:spPr>
              <a:solidFill>
                <a:srgbClr val="CCFF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EBF-4A0F-9B37-33B530F1F7C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0EBF-4A0F-9B37-33B530F1F7CC}"/>
              </c:ext>
            </c:extLst>
          </c:dPt>
          <c:dPt>
            <c:idx val="14"/>
            <c:invertIfNegative val="0"/>
            <c:bubble3D val="0"/>
            <c:spPr>
              <a:solidFill>
                <a:srgbClr val="3333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EBF-4A0F-9B37-33B530F1F7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tx1"/>
                    </a:solidFill>
                    <a:latin typeface="Segoe Print" panose="02000600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'B2'!$O$3:$O$21</c:f>
              <c:numCache>
                <c:formatCode>0%</c:formatCode>
                <c:ptCount val="19"/>
                <c:pt idx="0">
                  <c:v>0</c:v>
                </c:pt>
                <c:pt idx="1">
                  <c:v>0.30769230769230771</c:v>
                </c:pt>
                <c:pt idx="2">
                  <c:v>0.12222222222222222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1.0006437768240344</c:v>
                </c:pt>
                <c:pt idx="8">
                  <c:v>0.39342105263157895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0.55666666666666664</c:v>
                </c:pt>
                <c:pt idx="13">
                  <c:v>0.84677419354838712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F-4A0F-9B37-33B530F1F7CC}"/>
            </c:ext>
          </c:extLst>
        </c:ser>
        <c:ser>
          <c:idx val="2"/>
          <c:order val="2"/>
          <c:spPr>
            <a:solidFill>
              <a:schemeClr val="bg1">
                <a:alpha val="7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'B2'!$P$3:$P$21</c:f>
              <c:numCache>
                <c:formatCode>0%</c:formatCode>
                <c:ptCount val="19"/>
                <c:pt idx="0">
                  <c:v>1</c:v>
                </c:pt>
                <c:pt idx="1">
                  <c:v>0.69230769230769229</c:v>
                </c:pt>
                <c:pt idx="2">
                  <c:v>0.87777777777777777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-6.4377682403438108E-4</c:v>
                </c:pt>
                <c:pt idx="8">
                  <c:v>0.60657894736842111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0.44333333333333336</c:v>
                </c:pt>
                <c:pt idx="13">
                  <c:v>0.15322580645161288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F-4A0F-9B37-33B530F1F7CC}"/>
            </c:ext>
          </c:extLst>
        </c:ser>
        <c:ser>
          <c:idx val="3"/>
          <c:order val="3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'B2'!$Q$3:$Q$21</c:f>
              <c:numCache>
                <c:formatCode>0%</c:formatCode>
                <c:ptCount val="1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F-4A0F-9B37-33B530F1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shape val="cylinder"/>
        <c:axId val="2131511871"/>
        <c:axId val="2131502303"/>
        <c:axId val="0"/>
      </c:bar3DChart>
      <c:catAx>
        <c:axId val="21315118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00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1502303"/>
        <c:crosses val="autoZero"/>
        <c:auto val="1"/>
        <c:lblAlgn val="ctr"/>
        <c:lblOffset val="100"/>
        <c:noMultiLvlLbl val="0"/>
      </c:catAx>
      <c:valAx>
        <c:axId val="2131502303"/>
        <c:scaling>
          <c:orientation val="minMax"/>
          <c:max val="1.2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1315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'B2'!$U$1:$Y$1</c:f>
          <c:strCache>
            <c:ptCount val="5"/>
            <c:pt idx="0">
              <c:v>حفاری بنچ قطعه 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'B2'!$V$3:$V$21</c:f>
              <c:numCache>
                <c:formatCode>0%</c:formatCode>
                <c:ptCount val="1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D-45F5-8744-B9D5258E90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EB0D-45F5-8744-B9D5258E90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EB0D-45F5-8744-B9D5258E902E}"/>
              </c:ext>
            </c:extLst>
          </c:dPt>
          <c:dPt>
            <c:idx val="8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EB0D-45F5-8744-B9D5258E902E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EB0D-45F5-8744-B9D5258E9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'B2'!$W$3:$W$21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0.95407759303246242</c:v>
                </c:pt>
                <c:pt idx="6">
                  <c:v>6.1807880504764358E-2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0.24342105263157895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B0D-45F5-8744-B9D5258E902E}"/>
            </c:ext>
          </c:extLst>
        </c:ser>
        <c:ser>
          <c:idx val="2"/>
          <c:order val="2"/>
          <c:spPr>
            <a:solidFill>
              <a:schemeClr val="bg1">
                <a:alpha val="7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'B2'!$X$3:$X$21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4.5922406967537577E-2</c:v>
                </c:pt>
                <c:pt idx="6">
                  <c:v>0.93819211949523562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0.75657894736842102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B0D-45F5-8744-B9D5258E902E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'B2'!$B$3:$B$27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'B2'!$Y$3:$Y$21</c:f>
              <c:numCache>
                <c:formatCode>0%</c:formatCode>
                <c:ptCount val="1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B0D-45F5-8744-B9D5258E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shape val="cylinder"/>
        <c:axId val="2131511871"/>
        <c:axId val="2131502303"/>
        <c:axId val="0"/>
      </c:bar3DChart>
      <c:catAx>
        <c:axId val="21315118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00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1502303"/>
        <c:crosses val="autoZero"/>
        <c:auto val="1"/>
        <c:lblAlgn val="ctr"/>
        <c:lblOffset val="100"/>
        <c:noMultiLvlLbl val="0"/>
      </c:catAx>
      <c:valAx>
        <c:axId val="2131502303"/>
        <c:scaling>
          <c:orientation val="minMax"/>
          <c:max val="1.2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1315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'B2'!$B$3:$B$26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'B2'!$O$3:$O$26</c:f>
              <c:numCache>
                <c:formatCode>0%</c:formatCode>
                <c:ptCount val="24"/>
                <c:pt idx="0">
                  <c:v>0</c:v>
                </c:pt>
                <c:pt idx="1">
                  <c:v>0.30769230769230771</c:v>
                </c:pt>
                <c:pt idx="2">
                  <c:v>0.12222222222222222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1.0006437768240344</c:v>
                </c:pt>
                <c:pt idx="8">
                  <c:v>0.39342105263157895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0.55666666666666664</c:v>
                </c:pt>
                <c:pt idx="13">
                  <c:v>0.84677419354838712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0.16747252747252747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F-417A-9F06-3D2F9B1A9017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'B2'!$B$3:$B$26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'B2'!$R$3:$R$26</c:f>
              <c:numCache>
                <c:formatCode>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F-417A-9F06-3D2F9B1A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891295679"/>
        <c:axId val="1891296095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'B2'!$M$3:$M$26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'B2'!$O$3:$O$26</c:f>
              <c:numCache>
                <c:formatCode>0%</c:formatCode>
                <c:ptCount val="24"/>
                <c:pt idx="0">
                  <c:v>0</c:v>
                </c:pt>
                <c:pt idx="1">
                  <c:v>0.30769230769230771</c:v>
                </c:pt>
                <c:pt idx="2">
                  <c:v>0.12222222222222222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1.0006437768240344</c:v>
                </c:pt>
                <c:pt idx="8">
                  <c:v>0.39342105263157895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0.55666666666666664</c:v>
                </c:pt>
                <c:pt idx="13">
                  <c:v>0.84677419354838712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0.16747252747252747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F-417A-9F06-3D2F9B1A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295679"/>
        <c:axId val="1891296095"/>
      </c:lineChart>
      <c:catAx>
        <c:axId val="18912956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1296095"/>
        <c:crosses val="autoZero"/>
        <c:auto val="1"/>
        <c:lblAlgn val="ctr"/>
        <c:lblOffset val="350"/>
        <c:noMultiLvlLbl val="0"/>
      </c:catAx>
      <c:valAx>
        <c:axId val="18912960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912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'B2'!$B$3:$B$26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'B2'!$W$3:$W$26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0.95407759303246242</c:v>
                </c:pt>
                <c:pt idx="6">
                  <c:v>6.1807880504764358E-2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0.24342105263157895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D-47A6-AE9F-B0D878F2F26B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'B2'!$B$3:$B$26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'B2'!$R$3:$R$26</c:f>
              <c:numCache>
                <c:formatCode>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D-47A6-AE9F-B0D878F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922763807"/>
        <c:axId val="1922751327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'B2'!$U$3:$U$26</c:f>
              <c:strCache>
                <c:ptCount val="24"/>
                <c:pt idx="0">
                  <c:v>L 23-1</c:v>
                </c:pt>
                <c:pt idx="1">
                  <c:v>L 24</c:v>
                </c:pt>
                <c:pt idx="2">
                  <c:v>R 24</c:v>
                </c:pt>
                <c:pt idx="3">
                  <c:v>L 25</c:v>
                </c:pt>
                <c:pt idx="4">
                  <c:v>R 25</c:v>
                </c:pt>
                <c:pt idx="5">
                  <c:v>L 26</c:v>
                </c:pt>
                <c:pt idx="6">
                  <c:v>R 26</c:v>
                </c:pt>
                <c:pt idx="7">
                  <c:v>L 27</c:v>
                </c:pt>
                <c:pt idx="8">
                  <c:v>R 27</c:v>
                </c:pt>
                <c:pt idx="9">
                  <c:v>L 28</c:v>
                </c:pt>
                <c:pt idx="10">
                  <c:v>L 29</c:v>
                </c:pt>
                <c:pt idx="11">
                  <c:v>L 30</c:v>
                </c:pt>
                <c:pt idx="12">
                  <c:v>R 30</c:v>
                </c:pt>
                <c:pt idx="13">
                  <c:v>L 31</c:v>
                </c:pt>
                <c:pt idx="14">
                  <c:v>R 31</c:v>
                </c:pt>
                <c:pt idx="15">
                  <c:v>L 31-1</c:v>
                </c:pt>
                <c:pt idx="16">
                  <c:v>R 31-1</c:v>
                </c:pt>
                <c:pt idx="17">
                  <c:v>L 31-2</c:v>
                </c:pt>
                <c:pt idx="18">
                  <c:v>R 31-2</c:v>
                </c:pt>
                <c:pt idx="19">
                  <c:v>L 32</c:v>
                </c:pt>
                <c:pt idx="20">
                  <c:v>R 32</c:v>
                </c:pt>
                <c:pt idx="21">
                  <c:v>L 33</c:v>
                </c:pt>
                <c:pt idx="22">
                  <c:v>R 33</c:v>
                </c:pt>
                <c:pt idx="23">
                  <c:v>R 33-A</c:v>
                </c:pt>
              </c:strCache>
            </c:strRef>
          </c:cat>
          <c:val>
            <c:numRef>
              <c:f>'B2'!$W$3:$W$26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0.95407759303246242</c:v>
                </c:pt>
                <c:pt idx="6">
                  <c:v>6.1807880504764358E-2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0.24342105263157895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D-47A6-AE9F-B0D878F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763807"/>
        <c:axId val="1922751327"/>
      </c:lineChart>
      <c:catAx>
        <c:axId val="192276380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2751327"/>
        <c:crosses val="autoZero"/>
        <c:auto val="1"/>
        <c:lblAlgn val="ctr"/>
        <c:lblOffset val="400"/>
        <c:noMultiLvlLbl val="0"/>
      </c:catAx>
      <c:valAx>
        <c:axId val="19227513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27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'C2'!$K$5:$N$5</c:f>
          <c:strCache>
            <c:ptCount val="4"/>
            <c:pt idx="0">
              <c:v>حفاری هد قطعه 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'C2'!$K$7:$K$13</c:f>
              <c:numCache>
                <c:formatCode>0%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C-4118-805A-7545A7BEA0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A78C-4118-805A-7545A7BEA083}"/>
              </c:ext>
            </c:extLst>
          </c:dPt>
          <c:dPt>
            <c:idx val="2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78C-4118-805A-7545A7BEA083}"/>
              </c:ext>
            </c:extLst>
          </c:dPt>
          <c:dPt>
            <c:idx val="3"/>
            <c:invertIfNegative val="0"/>
            <c:bubble3D val="0"/>
            <c:spPr>
              <a:solidFill>
                <a:srgbClr val="CCFF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A78C-4118-805A-7545A7BEA08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A78C-4118-805A-7545A7BEA08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70A8-4BAB-AE61-93C9E97D7C90}"/>
              </c:ext>
            </c:extLst>
          </c:dPt>
          <c:dPt>
            <c:idx val="6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0A8-4BAB-AE61-93C9E97D7C90}"/>
              </c:ext>
            </c:extLst>
          </c:dPt>
          <c:dLbls>
            <c:dLbl>
              <c:idx val="4"/>
              <c:layout>
                <c:manualLayout>
                  <c:x val="1.1111111111111112E-2"/>
                  <c:y val="-1.2914137930450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8C-4118-805A-7545A7BEA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'C2'!$L$7:$L$13</c:f>
              <c:numCache>
                <c:formatCode>0%</c:formatCode>
                <c:ptCount val="7"/>
                <c:pt idx="0">
                  <c:v>0.3661723163841808</c:v>
                </c:pt>
                <c:pt idx="1">
                  <c:v>0.69380378657487096</c:v>
                </c:pt>
                <c:pt idx="2">
                  <c:v>1</c:v>
                </c:pt>
                <c:pt idx="3">
                  <c:v>0.31723282279455806</c:v>
                </c:pt>
                <c:pt idx="4">
                  <c:v>0.3912455309691758</c:v>
                </c:pt>
                <c:pt idx="5">
                  <c:v>0.32138777237148297</c:v>
                </c:pt>
                <c:pt idx="6">
                  <c:v>0.37572228443449046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C-4118-805A-7545A7BEA083}"/>
            </c:ext>
          </c:extLst>
        </c:ser>
        <c:ser>
          <c:idx val="2"/>
          <c:order val="2"/>
          <c:spPr>
            <a:solidFill>
              <a:schemeClr val="bg1">
                <a:alpha val="6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'C2'!$M$7:$M$13</c:f>
              <c:numCache>
                <c:formatCode>0%</c:formatCode>
                <c:ptCount val="7"/>
                <c:pt idx="0">
                  <c:v>0.6338276836158192</c:v>
                </c:pt>
                <c:pt idx="1">
                  <c:v>0.30619621342512904</c:v>
                </c:pt>
                <c:pt idx="2">
                  <c:v>0</c:v>
                </c:pt>
                <c:pt idx="3">
                  <c:v>0.682767177205442</c:v>
                </c:pt>
                <c:pt idx="4">
                  <c:v>0.6087544690308242</c:v>
                </c:pt>
                <c:pt idx="5">
                  <c:v>0.67861222762851703</c:v>
                </c:pt>
                <c:pt idx="6">
                  <c:v>0.62427771556550948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C-4118-805A-7545A7BEA083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'C2'!$N$7:$N$13</c:f>
              <c:numCache>
                <c:formatCode>0%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C-4118-805A-7545A7BE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02909344"/>
        <c:axId val="402908512"/>
        <c:axId val="0"/>
      </c:bar3DChart>
      <c:catAx>
        <c:axId val="4029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66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908512"/>
        <c:crosses val="autoZero"/>
        <c:auto val="1"/>
        <c:lblAlgn val="ctr"/>
        <c:lblOffset val="100"/>
        <c:noMultiLvlLbl val="0"/>
      </c:catAx>
      <c:valAx>
        <c:axId val="4029085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29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'C2'!$O$5:$R$5</c:f>
          <c:strCache>
            <c:ptCount val="4"/>
            <c:pt idx="0">
              <c:v>حفاری بنچ قطعه 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'C2'!$O$7:$O$13</c:f>
              <c:numCache>
                <c:formatCode>0%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B-4461-8E23-B16CD5699175}"/>
            </c:ext>
          </c:extLst>
        </c:ser>
        <c:ser>
          <c:idx val="1"/>
          <c:order val="1"/>
          <c:spPr>
            <a:solidFill>
              <a:srgbClr val="33CCCC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'C2'!$P$7:$P$13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1.0428571428571429</c:v>
                </c:pt>
                <c:pt idx="3">
                  <c:v>0</c:v>
                </c:pt>
                <c:pt idx="4">
                  <c:v>0</c:v>
                </c:pt>
                <c:pt idx="5">
                  <c:v>1.650095197799873E-2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FB-4461-8E23-B16CD5699175}"/>
            </c:ext>
          </c:extLst>
        </c:ser>
        <c:ser>
          <c:idx val="2"/>
          <c:order val="2"/>
          <c:spPr>
            <a:solidFill>
              <a:schemeClr val="bg1">
                <a:alpha val="6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'C2'!$Q$7:$Q$13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-4.2857142857142927E-2</c:v>
                </c:pt>
                <c:pt idx="3">
                  <c:v>1</c:v>
                </c:pt>
                <c:pt idx="4">
                  <c:v>1</c:v>
                </c:pt>
                <c:pt idx="5">
                  <c:v>0.98349904802200128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FB-4461-8E23-B16CD5699175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'C2'!$B$2:$B$8</c:f>
              <c:strCache>
                <c:ptCount val="7"/>
                <c:pt idx="0">
                  <c:v>L 33-A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f>'C2'!$R$7:$R$13</c:f>
              <c:numCache>
                <c:formatCode>0%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FB-4461-8E23-B16CD569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02909344"/>
        <c:axId val="402908512"/>
        <c:axId val="0"/>
      </c:bar3DChart>
      <c:catAx>
        <c:axId val="4029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66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908512"/>
        <c:crosses val="autoZero"/>
        <c:auto val="1"/>
        <c:lblAlgn val="ctr"/>
        <c:lblOffset val="100"/>
        <c:noMultiLvlLbl val="0"/>
      </c:catAx>
      <c:valAx>
        <c:axId val="4029085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29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Scale"/>
          </c:pictureOptions>
          <c:cat>
            <c:strRef>
              <c:extLst>
                <c:ext xmlns:c15="http://schemas.microsoft.com/office/drawing/2012/chart" uri="{02D57815-91ED-43cb-92C2-25804820EDAC}">
                  <c15:fullRef>
                    <c15:sqref>'C2'!$J$7:$J$13</c15:sqref>
                  </c15:fullRef>
                </c:ext>
              </c:extLst>
              <c:f>'C2'!$J$7:$J$13</c:f>
              <c:strCache>
                <c:ptCount val="7"/>
                <c:pt idx="0">
                  <c:v>L 33-1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'C2'!$L$7:$L$13</c15:sqref>
                  </c15:fullRef>
                </c:ext>
              </c:extLst>
              <c:f>'C2'!$L$7:$L$13</c:f>
              <c:numCache>
                <c:formatCode>0%</c:formatCode>
                <c:ptCount val="7"/>
                <c:pt idx="0">
                  <c:v>0.3661723163841808</c:v>
                </c:pt>
                <c:pt idx="1">
                  <c:v>0.69380378657487096</c:v>
                </c:pt>
                <c:pt idx="2">
                  <c:v>1</c:v>
                </c:pt>
                <c:pt idx="3">
                  <c:v>0.31723282279455806</c:v>
                </c:pt>
                <c:pt idx="4">
                  <c:v>0.3912455309691758</c:v>
                </c:pt>
                <c:pt idx="5">
                  <c:v>0.32138777237148297</c:v>
                </c:pt>
                <c:pt idx="6">
                  <c:v>0.37572228443449046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D4-4556-9D60-139CA12B4439}"/>
            </c:ext>
          </c:extLst>
        </c:ser>
        <c:ser>
          <c:idx val="4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strLit>
              <c:ptCount val="7"/>
              <c:pt idx="0">
                <c:v>L 33-1</c:v>
              </c:pt>
              <c:pt idx="1">
                <c:v>L 34</c:v>
              </c:pt>
              <c:pt idx="2">
                <c:v>R 34</c:v>
              </c:pt>
              <c:pt idx="3">
                <c:v>L 35</c:v>
              </c:pt>
              <c:pt idx="4">
                <c:v>R 35</c:v>
              </c:pt>
              <c:pt idx="5">
                <c:v>L 36</c:v>
              </c:pt>
              <c:pt idx="6">
                <c:v>R 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'C2'!$S$6:$S$13</c15:sqref>
                  </c15:fullRef>
                </c:ext>
              </c:extLst>
              <c:f>'C2'!$S$6:$S$12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D4-4556-9D60-139CA12B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922755903"/>
        <c:axId val="1922756319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L 33-1</c:v>
              </c:pt>
              <c:pt idx="1">
                <c:v>L 34</c:v>
              </c:pt>
              <c:pt idx="2">
                <c:v>R 34</c:v>
              </c:pt>
              <c:pt idx="3">
                <c:v>L 35</c:v>
              </c:pt>
              <c:pt idx="4">
                <c:v>R 35</c:v>
              </c:pt>
              <c:pt idx="5">
                <c:v>L 36</c:v>
              </c:pt>
              <c:pt idx="6">
                <c:v>R 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'C2'!$L$7:$L$13</c15:sqref>
                  </c15:fullRef>
                </c:ext>
              </c:extLst>
              <c:f>'C2'!$L$7:$L$13</c:f>
              <c:numCache>
                <c:formatCode>0%</c:formatCode>
                <c:ptCount val="7"/>
                <c:pt idx="0">
                  <c:v>0.3661723163841808</c:v>
                </c:pt>
                <c:pt idx="1">
                  <c:v>0.69380378657487096</c:v>
                </c:pt>
                <c:pt idx="2">
                  <c:v>1</c:v>
                </c:pt>
                <c:pt idx="3">
                  <c:v>0.31723282279455806</c:v>
                </c:pt>
                <c:pt idx="4">
                  <c:v>0.3912455309691758</c:v>
                </c:pt>
                <c:pt idx="5">
                  <c:v>0.32138777237148297</c:v>
                </c:pt>
                <c:pt idx="6">
                  <c:v>0.37572228443449046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D4-4556-9D60-139CA12B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755903"/>
        <c:axId val="1922756319"/>
      </c:lineChart>
      <c:catAx>
        <c:axId val="192275590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2756319"/>
        <c:crosses val="autoZero"/>
        <c:auto val="1"/>
        <c:lblAlgn val="ctr"/>
        <c:lblOffset val="300"/>
        <c:noMultiLvlLbl val="0"/>
      </c:catAx>
      <c:valAx>
        <c:axId val="19227563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2755903"/>
        <c:crosses val="autoZero"/>
        <c:crossBetween val="between"/>
      </c:valAx>
      <c:spPr>
        <a:solidFill>
          <a:schemeClr val="bg2"/>
        </a:solidFill>
        <a:ln>
          <a:noFill/>
        </a:ln>
      </c:spPr>
    </c:plotArea>
    <c:plotVisOnly val="1"/>
    <c:dispBlanksAs val="gap"/>
    <c:showDLblsOverMax val="0"/>
  </c:chart>
  <c:spPr>
    <a:solidFill>
      <a:schemeClr val="bg2"/>
    </a:solidFill>
    <a:ln>
      <a:solidFill>
        <a:srgbClr val="C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'C2'!$J$7:$J$13</c15:sqref>
                  </c15:fullRef>
                </c:ext>
              </c:extLst>
              <c:f>'C2'!$J$7:$J$13</c:f>
              <c:strCache>
                <c:ptCount val="7"/>
                <c:pt idx="0">
                  <c:v>L 33-1</c:v>
                </c:pt>
                <c:pt idx="1">
                  <c:v>L 34</c:v>
                </c:pt>
                <c:pt idx="2">
                  <c:v>R 34</c:v>
                </c:pt>
                <c:pt idx="3">
                  <c:v>L 35</c:v>
                </c:pt>
                <c:pt idx="4">
                  <c:v>R 35</c:v>
                </c:pt>
                <c:pt idx="5">
                  <c:v>L 36</c:v>
                </c:pt>
                <c:pt idx="6">
                  <c:v>R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'C2'!$P$7:$P$13</c15:sqref>
                  </c15:fullRef>
                </c:ext>
              </c:extLst>
              <c:f>'C2'!$P$7:$P$13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1.0428571428571429</c:v>
                </c:pt>
                <c:pt idx="3">
                  <c:v>0</c:v>
                </c:pt>
                <c:pt idx="4">
                  <c:v>0</c:v>
                </c:pt>
                <c:pt idx="5">
                  <c:v>1.650095197799873E-2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2-4D76-A2E0-8A775F4580D8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L 33-1</c:v>
              </c:pt>
              <c:pt idx="1">
                <c:v>L 34</c:v>
              </c:pt>
              <c:pt idx="2">
                <c:v>R 34</c:v>
              </c:pt>
              <c:pt idx="3">
                <c:v>L 35</c:v>
              </c:pt>
              <c:pt idx="4">
                <c:v>R 35</c:v>
              </c:pt>
              <c:pt idx="5">
                <c:v>L 36</c:v>
              </c:pt>
              <c:pt idx="6">
                <c:v>R 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'C2'!$S$6:$S$13</c15:sqref>
                  </c15:fullRef>
                </c:ext>
              </c:extLst>
              <c:f>'C2'!$S$6:$S$12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2-4D76-A2E0-8A775F45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82094559"/>
        <c:axId val="1082094975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L 33-1</c:v>
              </c:pt>
              <c:pt idx="1">
                <c:v>L 34</c:v>
              </c:pt>
              <c:pt idx="2">
                <c:v>R 34</c:v>
              </c:pt>
              <c:pt idx="3">
                <c:v>L 35</c:v>
              </c:pt>
              <c:pt idx="4">
                <c:v>R 35</c:v>
              </c:pt>
              <c:pt idx="5">
                <c:v>L 36</c:v>
              </c:pt>
              <c:pt idx="6">
                <c:v>R 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'C2'!$P$7:$P$13</c15:sqref>
                  </c15:fullRef>
                </c:ext>
              </c:extLst>
              <c:f>'C2'!$P$7:$P$13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1.0428571428571429</c:v>
                </c:pt>
                <c:pt idx="3">
                  <c:v>0</c:v>
                </c:pt>
                <c:pt idx="4">
                  <c:v>0</c:v>
                </c:pt>
                <c:pt idx="5">
                  <c:v>1.650095197799873E-2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D76-A2E0-8A775F45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94559"/>
        <c:axId val="1082094975"/>
      </c:lineChart>
      <c:catAx>
        <c:axId val="10820945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2094975"/>
        <c:crosses val="autoZero"/>
        <c:auto val="1"/>
        <c:lblAlgn val="ctr"/>
        <c:lblOffset val="300"/>
        <c:noMultiLvlLbl val="0"/>
      </c:catAx>
      <c:valAx>
        <c:axId val="108209497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209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'D2'!$M$4:$P$4</c:f>
          <c:strCache>
            <c:ptCount val="4"/>
            <c:pt idx="0">
              <c:v>حفاری هد قطعه 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'D2'!$M$6:$M$17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3-4EB4-ABCC-76F7461313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8656-441C-855F-3BC3546BA8A9}"/>
              </c:ext>
            </c:extLst>
          </c:dPt>
          <c:dPt>
            <c:idx val="7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8656-441C-855F-3BC3546BA8A9}"/>
              </c:ext>
            </c:extLst>
          </c:dPt>
          <c:dPt>
            <c:idx val="9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9AF3-4EB4-ABCC-76F746131368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7DE-4ACB-A6A5-BABB8C3A5BF6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7DE-4ACB-A6A5-BABB8C3A5B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'D2'!$N$6:$N$17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0.33979360684621202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0.40357053055066633</c:v>
                </c:pt>
                <c:pt idx="11">
                  <c:v>0.8088832487309644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3-4EB4-ABCC-76F746131368}"/>
            </c:ext>
          </c:extLst>
        </c:ser>
        <c:ser>
          <c:idx val="2"/>
          <c:order val="2"/>
          <c:spPr>
            <a:solidFill>
              <a:schemeClr val="bg1">
                <a:alpha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'D2'!$O$6:$O$17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0.66020639315378804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0.59642946944933373</c:v>
                </c:pt>
                <c:pt idx="11">
                  <c:v>0.1911167512690356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3-4EB4-ABCC-76F746131368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'D2'!$P$6:$P$17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3-4EB4-ABCC-76F74613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91260495"/>
        <c:axId val="491250095"/>
        <c:axId val="0"/>
      </c:bar3DChart>
      <c:catAx>
        <c:axId val="49126049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FF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250095"/>
        <c:crosses val="autoZero"/>
        <c:auto val="1"/>
        <c:lblAlgn val="ctr"/>
        <c:lblOffset val="100"/>
        <c:noMultiLvlLbl val="0"/>
      </c:catAx>
      <c:valAx>
        <c:axId val="4912500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9126049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طول کل</a:t>
            </a:r>
            <a:r>
              <a:rPr lang="fa-IR" baseline="0">
                <a:cs typeface="B Titr" panose="00000700000000000000" pitchFamily="2" charset="-78"/>
              </a:rPr>
              <a:t> هر عملیات</a:t>
            </a:r>
            <a:r>
              <a:rPr lang="fa-IR">
                <a:cs typeface="B Titr" panose="00000700000000000000" pitchFamily="2" charset="-78"/>
              </a:rPr>
              <a:t> (متر)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'مشخصات منطقه'!$N$16:$N$19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منطقه'!$P$16:$P$19</c:f>
              <c:numCache>
                <c:formatCode>#,###;;\-</c:formatCode>
                <c:ptCount val="4"/>
                <c:pt idx="0">
                  <c:v>31066</c:v>
                </c:pt>
                <c:pt idx="1">
                  <c:v>2712</c:v>
                </c:pt>
                <c:pt idx="2">
                  <c:v>3729</c:v>
                </c:pt>
                <c:pt idx="3">
                  <c:v>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3-4D32-A8E5-6E07A8A4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107519"/>
        <c:axId val="1704106687"/>
      </c:barChart>
      <c:catAx>
        <c:axId val="17041075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704106687"/>
        <c:crosses val="autoZero"/>
        <c:auto val="1"/>
        <c:lblAlgn val="ctr"/>
        <c:lblOffset val="100"/>
        <c:noMultiLvlLbl val="0"/>
      </c:catAx>
      <c:valAx>
        <c:axId val="1704106687"/>
        <c:scaling>
          <c:orientation val="maxMin"/>
        </c:scaling>
        <c:delete val="1"/>
        <c:axPos val="b"/>
        <c:numFmt formatCode="#,###;;\-" sourceLinked="1"/>
        <c:majorTickMark val="none"/>
        <c:minorTickMark val="none"/>
        <c:tickLblPos val="nextTo"/>
        <c:crossAx val="17041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'D2'!$Q$4:$T$4</c:f>
          <c:strCache>
            <c:ptCount val="4"/>
            <c:pt idx="0">
              <c:v>حفاری بنچ قطعه 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'D2'!$M$6:$M$17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9-4881-AB40-827AB014A3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'D2'!$R$6:$R$17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0.3984375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0.12690355329949238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49-4881-AB40-827AB014A3FE}"/>
            </c:ext>
          </c:extLst>
        </c:ser>
        <c:ser>
          <c:idx val="2"/>
          <c:order val="2"/>
          <c:spPr>
            <a:solidFill>
              <a:schemeClr val="bg1">
                <a:alpha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'D2'!$S$6:$S$17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0.6015625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0.87309644670050757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49-4881-AB40-827AB014A3FE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'D2'!$J$6:$J$17</c:f>
              <c:strCache>
                <c:ptCount val="12"/>
                <c:pt idx="0">
                  <c:v>L37</c:v>
                </c:pt>
                <c:pt idx="1">
                  <c:v>R37</c:v>
                </c:pt>
                <c:pt idx="2">
                  <c:v>L38</c:v>
                </c:pt>
                <c:pt idx="3">
                  <c:v>R38</c:v>
                </c:pt>
                <c:pt idx="4">
                  <c:v>L38-1</c:v>
                </c:pt>
                <c:pt idx="5">
                  <c:v>R38-1</c:v>
                </c:pt>
                <c:pt idx="6">
                  <c:v>L39</c:v>
                </c:pt>
                <c:pt idx="7">
                  <c:v>R39</c:v>
                </c:pt>
                <c:pt idx="8">
                  <c:v>L39A</c:v>
                </c:pt>
                <c:pt idx="9">
                  <c:v>R39A</c:v>
                </c:pt>
                <c:pt idx="10">
                  <c:v>L39-1</c:v>
                </c:pt>
                <c:pt idx="11">
                  <c:v>R39-1</c:v>
                </c:pt>
              </c:strCache>
            </c:strRef>
          </c:cat>
          <c:val>
            <c:numRef>
              <c:f>'D2'!$P$6:$P$17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C49-4881-AB40-827AB014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91260495"/>
        <c:axId val="491250095"/>
        <c:axId val="0"/>
      </c:bar3DChart>
      <c:catAx>
        <c:axId val="49126049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00FF"/>
            </a:solidFill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250095"/>
        <c:crosses val="autoZero"/>
        <c:auto val="1"/>
        <c:lblAlgn val="ctr"/>
        <c:lblOffset val="100"/>
        <c:noMultiLvlLbl val="0"/>
      </c:catAx>
      <c:valAx>
        <c:axId val="4912500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9126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sng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'کل منطقه 2 - با البرز شرقی'!$B$3:$B$13</c:f>
              <c:strCache>
                <c:ptCount val="11"/>
                <c:pt idx="0">
                  <c:v>تملک و اراضی </c:v>
                </c:pt>
                <c:pt idx="1">
                  <c:v>مطالعات و طراحی </c:v>
                </c:pt>
                <c:pt idx="2">
                  <c:v>A2</c:v>
                </c:pt>
                <c:pt idx="3">
                  <c:v>B2</c:v>
                </c:pt>
                <c:pt idx="4">
                  <c:v>C2</c:v>
                </c:pt>
                <c:pt idx="5">
                  <c:v>D2</c:v>
                </c:pt>
                <c:pt idx="6">
                  <c:v> البرز شرقی  و تاسسیات</c:v>
                </c:pt>
                <c:pt idx="7">
                  <c:v>تونل البرز غربی تاسیسات</c:v>
                </c:pt>
                <c:pt idx="8">
                  <c:v>روسازی و عملیات تکمیلی </c:v>
                </c:pt>
                <c:pt idx="9">
                  <c:v>تاسیسات مسیر </c:v>
                </c:pt>
                <c:pt idx="10">
                  <c:v> جاده اتصال به جاده چالوس</c:v>
                </c:pt>
              </c:strCache>
            </c:strRef>
          </c:cat>
          <c:val>
            <c:numRef>
              <c:f>'کل منطقه 2 - با البرز شرقی'!$C$3:$C$13</c:f>
              <c:numCache>
                <c:formatCode>0%</c:formatCode>
                <c:ptCount val="11"/>
                <c:pt idx="0">
                  <c:v>0.872</c:v>
                </c:pt>
                <c:pt idx="1">
                  <c:v>0.66915422885572129</c:v>
                </c:pt>
                <c:pt idx="2">
                  <c:v>0.15804783423547611</c:v>
                </c:pt>
                <c:pt idx="3">
                  <c:v>0.17321833779945736</c:v>
                </c:pt>
                <c:pt idx="4">
                  <c:v>0.16247984498168871</c:v>
                </c:pt>
                <c:pt idx="5">
                  <c:v>7.3889695718438633E-2</c:v>
                </c:pt>
                <c:pt idx="6">
                  <c:v>0.75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7-4E4F-A7D8-57530A2173A8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val>
            <c:numRef>
              <c:f>'کل منطقه 2 - با البرز شرقی'!$D$3:$D$13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7-4E4F-A7D8-57530A21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100"/>
        <c:axId val="1272547103"/>
        <c:axId val="1272550015"/>
      </c:barChart>
      <c:catAx>
        <c:axId val="1272547103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33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72550015"/>
        <c:crosses val="autoZero"/>
        <c:auto val="1"/>
        <c:lblAlgn val="ctr"/>
        <c:lblOffset val="100"/>
        <c:noMultiLvlLbl val="0"/>
      </c:catAx>
      <c:valAx>
        <c:axId val="1272550015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27254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sng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'کل منطقه 2 - بدون البرز شرقی'!$B$6:$B$15</c:f>
              <c:strCache>
                <c:ptCount val="10"/>
                <c:pt idx="0">
                  <c:v>تملک و اراضی </c:v>
                </c:pt>
                <c:pt idx="1">
                  <c:v>مطالعات و طراحی </c:v>
                </c:pt>
                <c:pt idx="2">
                  <c:v>A2</c:v>
                </c:pt>
                <c:pt idx="3">
                  <c:v>B2</c:v>
                </c:pt>
                <c:pt idx="4">
                  <c:v>C2</c:v>
                </c:pt>
                <c:pt idx="5">
                  <c:v>D2</c:v>
                </c:pt>
                <c:pt idx="6">
                  <c:v>تونل البرز غربی تاسیسات</c:v>
                </c:pt>
                <c:pt idx="7">
                  <c:v>روسازی و عملیات تکمیلی </c:v>
                </c:pt>
                <c:pt idx="8">
                  <c:v>تاسیسات مسیر </c:v>
                </c:pt>
                <c:pt idx="9">
                  <c:v> جاده اتصال تونل البرز </c:v>
                </c:pt>
              </c:strCache>
            </c:strRef>
          </c:cat>
          <c:val>
            <c:numRef>
              <c:f>'کل منطقه 2 - بدون البرز شرقی'!$C$6:$C$15</c:f>
              <c:numCache>
                <c:formatCode>0%</c:formatCode>
                <c:ptCount val="10"/>
                <c:pt idx="0">
                  <c:v>0.87199999999999989</c:v>
                </c:pt>
                <c:pt idx="1">
                  <c:v>0.66230366492146597</c:v>
                </c:pt>
                <c:pt idx="2">
                  <c:v>0.15804783423547611</c:v>
                </c:pt>
                <c:pt idx="3">
                  <c:v>0.17321833779945736</c:v>
                </c:pt>
                <c:pt idx="4">
                  <c:v>0.16247984498168874</c:v>
                </c:pt>
                <c:pt idx="5">
                  <c:v>7.3889695718438619E-2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1CF-9B91-CC5A9CD6E870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'کل منطقه 2 - بدون البرز شرقی'!$B$6:$B$15</c:f>
              <c:strCache>
                <c:ptCount val="10"/>
                <c:pt idx="0">
                  <c:v>تملک و اراضی </c:v>
                </c:pt>
                <c:pt idx="1">
                  <c:v>مطالعات و طراحی </c:v>
                </c:pt>
                <c:pt idx="2">
                  <c:v>A2</c:v>
                </c:pt>
                <c:pt idx="3">
                  <c:v>B2</c:v>
                </c:pt>
                <c:pt idx="4">
                  <c:v>C2</c:v>
                </c:pt>
                <c:pt idx="5">
                  <c:v>D2</c:v>
                </c:pt>
                <c:pt idx="6">
                  <c:v>تونل البرز غربی تاسیسات</c:v>
                </c:pt>
                <c:pt idx="7">
                  <c:v>روسازی و عملیات تکمیلی </c:v>
                </c:pt>
                <c:pt idx="8">
                  <c:v>تاسیسات مسیر </c:v>
                </c:pt>
                <c:pt idx="9">
                  <c:v> جاده اتصال تونل البرز </c:v>
                </c:pt>
              </c:strCache>
            </c:strRef>
          </c:cat>
          <c:val>
            <c:numRef>
              <c:f>'کل منطقه 2 - بدون البرز شرقی'!$D$6:$D$15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1CF-9B91-CC5A9CD6E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100"/>
        <c:axId val="1271639391"/>
        <c:axId val="1271646047"/>
      </c:barChart>
      <c:catAx>
        <c:axId val="1271639391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0066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71646047"/>
        <c:crosses val="autoZero"/>
        <c:auto val="1"/>
        <c:lblAlgn val="ctr"/>
        <c:lblOffset val="100"/>
        <c:noMultiLvlLbl val="0"/>
      </c:catAx>
      <c:valAx>
        <c:axId val="127164604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27163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'West Alborz Tunnel'!$F$6:$F$8</c:f>
              <c:strCache>
                <c:ptCount val="3"/>
                <c:pt idx="0">
                  <c:v>حفاری تاپ</c:v>
                </c:pt>
                <c:pt idx="1">
                  <c:v>لاینینگ</c:v>
                </c:pt>
                <c:pt idx="2">
                  <c:v>سقف دوم</c:v>
                </c:pt>
              </c:strCache>
            </c:strRef>
          </c:cat>
          <c:val>
            <c:numRef>
              <c:f>'West Alborz Tunnel'!$G$6:$G$8</c:f>
              <c:numCache>
                <c:formatCode>0%</c:formatCode>
                <c:ptCount val="3"/>
                <c:pt idx="0">
                  <c:v>0.66</c:v>
                </c:pt>
                <c:pt idx="1">
                  <c:v>0.26400000000000001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D-4C71-B7D9-0B89288C0B3B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CF303E9-DF8E-4DB5-8883-6407DE52A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8AD-4C71-B7D9-0B89288C0B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DF0A8E-F7F1-4EDD-9FF8-6653A303C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8AD-4C71-B7D9-0B89288C0B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D3E417-EF97-461A-8B3A-CC480FE005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8AD-4C71-B7D9-0B89288C0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'West Alborz Tunnel'!$F$6:$F$8</c:f>
              <c:strCache>
                <c:ptCount val="3"/>
                <c:pt idx="0">
                  <c:v>حفاری تاپ</c:v>
                </c:pt>
                <c:pt idx="1">
                  <c:v>لاینینگ</c:v>
                </c:pt>
                <c:pt idx="2">
                  <c:v>سقف دوم</c:v>
                </c:pt>
              </c:strCache>
            </c:strRef>
          </c:cat>
          <c:val>
            <c:numRef>
              <c:f>'West Alborz Tunnel'!$H$6:$H$8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'West Alborz Tunnel'!$G$6:$G$8</c15:f>
                <c15:dlblRangeCache>
                  <c:ptCount val="3"/>
                  <c:pt idx="0">
                    <c:v>66%</c:v>
                  </c:pt>
                  <c:pt idx="1">
                    <c:v>26%</c:v>
                  </c:pt>
                  <c:pt idx="2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8AD-4C71-B7D9-0B89288C0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2545231"/>
        <c:axId val="1172553967"/>
      </c:barChart>
      <c:catAx>
        <c:axId val="117254523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172553967"/>
        <c:crosses val="autoZero"/>
        <c:auto val="1"/>
        <c:lblAlgn val="ctr"/>
        <c:lblOffset val="100"/>
        <c:noMultiLvlLbl val="0"/>
      </c:catAx>
      <c:valAx>
        <c:axId val="117255396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1725452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6.074074074074072E-2"/>
          <c:w val="0.93888888888888888"/>
          <c:h val="0.83039333624963552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 w="19050">
                <a:solidFill>
                  <a:srgbClr val="FF99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حفاری!$B$4:$B$7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حفاری!$E$4:$E$7</c:f>
              <c:numCache>
                <c:formatCode>0%</c:formatCode>
                <c:ptCount val="4"/>
                <c:pt idx="0">
                  <c:v>0.49916473567925851</c:v>
                </c:pt>
                <c:pt idx="1">
                  <c:v>0.49831848592179168</c:v>
                </c:pt>
                <c:pt idx="2">
                  <c:v>0.39744842074677844</c:v>
                </c:pt>
                <c:pt idx="3">
                  <c:v>0.43322106227413132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A-427B-AF74-ABFBAFB36A0D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حفاری!$B$4:$B$7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حفاری!$F$4:$F$7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A-427B-AF74-ABFBAFB3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100"/>
        <c:axId val="350706224"/>
        <c:axId val="350717040"/>
      </c:barChart>
      <c:catAx>
        <c:axId val="350706224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3399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717040"/>
        <c:crosses val="autoZero"/>
        <c:auto val="1"/>
        <c:lblAlgn val="ctr"/>
        <c:lblOffset val="100"/>
        <c:noMultiLvlLbl val="0"/>
      </c:catAx>
      <c:valAx>
        <c:axId val="350717040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3507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7.4629629629629615E-2"/>
          <c:w val="0.93888888888888888"/>
          <c:h val="0.81650444736074657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 w="15875">
                <a:solidFill>
                  <a:srgbClr val="FF99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حفاری!$H$4:$H$7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حفاری!$K$4:$K$7</c:f>
              <c:numCache>
                <c:formatCode>0%</c:formatCode>
                <c:ptCount val="4"/>
                <c:pt idx="0">
                  <c:v>0.17486662714878481</c:v>
                </c:pt>
                <c:pt idx="1">
                  <c:v>0.19793567314228472</c:v>
                </c:pt>
                <c:pt idx="2">
                  <c:v>4.5591223546098743E-2</c:v>
                </c:pt>
                <c:pt idx="3" formatCode="0%;;\-">
                  <c:v>7.0937435416212835E-2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5-4BF0-BCC9-1EF31961E4A2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حفاری!$H$4:$H$7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حفاری!$L$4:$L$7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5-4BF0-BCC9-1EF31961E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100"/>
        <c:axId val="1074086431"/>
        <c:axId val="1074084351"/>
      </c:barChart>
      <c:catAx>
        <c:axId val="1074086431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505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4084351"/>
        <c:crosses val="autoZero"/>
        <c:auto val="1"/>
        <c:lblAlgn val="ctr"/>
        <c:lblOffset val="100"/>
        <c:noMultiLvlLbl val="0"/>
      </c:catAx>
      <c:valAx>
        <c:axId val="1074084351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0740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rgbClr val="33CCCC"/>
              </a:solidFill>
            </a:ln>
          </c:spPr>
          <c:dPt>
            <c:idx val="0"/>
            <c:bubble3D val="0"/>
            <c:spPr>
              <a:solidFill>
                <a:srgbClr val="009999"/>
              </a:solidFill>
              <a:ln w="19050">
                <a:solidFill>
                  <a:srgbClr val="33CCC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A8-4F0E-883A-9A39C06F165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rgbClr val="33CCC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8-4F0E-883A-9A39C06F165F}"/>
              </c:ext>
            </c:extLst>
          </c:dPt>
          <c:val>
            <c:numRef>
              <c:f>حفاری!$E$8:$F$8</c:f>
              <c:numCache>
                <c:formatCode>0%</c:formatCode>
                <c:ptCount val="2"/>
                <c:pt idx="0">
                  <c:v>0.45649181908069614</c:v>
                </c:pt>
                <c:pt idx="1">
                  <c:v>0.54350818091930386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8-4F0E-883A-9A39C06F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rgbClr val="009999"/>
              </a:solidFill>
            </a:ln>
          </c:spPr>
          <c:dPt>
            <c:idx val="0"/>
            <c:bubble3D val="0"/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A5-4425-B7BB-193AD79C052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rgbClr val="0099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A5-4425-B7BB-193AD79C052F}"/>
              </c:ext>
            </c:extLst>
          </c:dPt>
          <c:val>
            <c:numRef>
              <c:f>حفاری!$K$8:$L$8</c:f>
              <c:numCache>
                <c:formatCode>0%</c:formatCode>
                <c:ptCount val="2"/>
                <c:pt idx="0">
                  <c:v>0.12410639804918874</c:v>
                </c:pt>
                <c:pt idx="1">
                  <c:v>0.87589360195081123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5-4425-B7BB-193AD79C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 w="25400">
                <a:solidFill>
                  <a:srgbClr val="FFC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B Titr" panose="000007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لاینینگ!$B$4:$B$7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لاینینگ!$E$4:$E$7</c:f>
              <c:numCache>
                <c:formatCode>0%</c:formatCode>
                <c:ptCount val="4"/>
                <c:pt idx="0" formatCode="0.0%">
                  <c:v>2.2444360618634477E-2</c:v>
                </c:pt>
                <c:pt idx="1">
                  <c:v>0</c:v>
                </c:pt>
                <c:pt idx="2">
                  <c:v>4.0143215700967447E-2</c:v>
                </c:pt>
                <c:pt idx="3">
                  <c:v>1.0054124704660087E-2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B-4A9E-A653-94A3EB9531CA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لاینینگ!$B$4:$B$7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لاینینگ!$F$4:$F$7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B-4A9E-A653-94A3EB95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9"/>
        <c:overlap val="100"/>
        <c:axId val="350734512"/>
        <c:axId val="350731184"/>
      </c:barChart>
      <c:catAx>
        <c:axId val="350734512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0066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731184"/>
        <c:crosses val="autoZero"/>
        <c:auto val="1"/>
        <c:lblAlgn val="ctr"/>
        <c:lblOffset val="100"/>
        <c:noMultiLvlLbl val="0"/>
      </c:catAx>
      <c:valAx>
        <c:axId val="350731184"/>
        <c:scaling>
          <c:orientation val="minMax"/>
        </c:scaling>
        <c:delete val="1"/>
        <c:axPos val="r"/>
        <c:numFmt formatCode="0.0%" sourceLinked="1"/>
        <c:majorTickMark val="none"/>
        <c:minorTickMark val="none"/>
        <c:tickLblPos val="nextTo"/>
        <c:crossAx val="3507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cs typeface="B Titr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 sz="1100">
                <a:cs typeface="B Titr" panose="00000700000000000000" pitchFamily="2" charset="-78"/>
              </a:rPr>
              <a:t>میزان لاینینگ انجام</a:t>
            </a:r>
            <a:r>
              <a:rPr lang="fa-IR" sz="1100" baseline="0">
                <a:cs typeface="B Titr" panose="00000700000000000000" pitchFamily="2" charset="-78"/>
              </a:rPr>
              <a:t> شده </a:t>
            </a:r>
            <a:r>
              <a:rPr lang="fa-IR" sz="1100">
                <a:cs typeface="B Titr" panose="00000700000000000000" pitchFamily="2" charset="-78"/>
              </a:rPr>
              <a:t>کل منطقه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5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15-41E0-95E5-8F6F483F4B1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15-41E0-95E5-8F6F483F4B1B}"/>
              </c:ext>
            </c:extLst>
          </c:dPt>
          <c:val>
            <c:numRef>
              <c:f>لاینینگ!$E$8:$F$8</c:f>
              <c:numCache>
                <c:formatCode>0%</c:formatCode>
                <c:ptCount val="2"/>
                <c:pt idx="0">
                  <c:v>1.8179820675088013E-2</c:v>
                </c:pt>
                <c:pt idx="1">
                  <c:v>0.98182017932491195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5-41E0-95E5-8F6F483F4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درصد</a:t>
            </a:r>
            <a:r>
              <a:rPr lang="fa-IR" baseline="0">
                <a:cs typeface="B Titr" panose="00000700000000000000" pitchFamily="2" charset="-78"/>
              </a:rPr>
              <a:t> نسبت به کل مسیر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1-4787-9825-A666A82A9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1-4787-9825-A666A82A9B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11-4787-9825-A666A82A9B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11-4787-9825-A666A82A9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'مشخصات باند شرقی'!$N$16:$N$19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باند شرقی'!$O$16:$O$19</c:f>
              <c:numCache>
                <c:formatCode>0%</c:formatCode>
                <c:ptCount val="4"/>
                <c:pt idx="0">
                  <c:v>0.57898973636546591</c:v>
                </c:pt>
                <c:pt idx="1">
                  <c:v>0.11149124572348561</c:v>
                </c:pt>
                <c:pt idx="2">
                  <c:v>0.12293888777084591</c:v>
                </c:pt>
                <c:pt idx="3">
                  <c:v>0.18658013014020258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11-4787-9825-A666A82A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 w="25400">
                <a:solidFill>
                  <a:srgbClr val="FFC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خاکبرداری!$B$4:$B$7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خاکبرداری!$F$4:$F$7</c:f>
              <c:numCache>
                <c:formatCode>0%</c:formatCode>
                <c:ptCount val="4"/>
                <c:pt idx="0">
                  <c:v>0.24944464944649447</c:v>
                </c:pt>
                <c:pt idx="1">
                  <c:v>0.22934738723156203</c:v>
                </c:pt>
                <c:pt idx="2">
                  <c:v>0.72</c:v>
                </c:pt>
                <c:pt idx="3">
                  <c:v>0.15774545454545455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7-4B51-97E1-2AF19BEC1A85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خاکبرداری!$B$4:$B$7</c:f>
              <c:strCache>
                <c:ptCount val="4"/>
                <c:pt idx="0">
                  <c:v>A2</c:v>
                </c:pt>
                <c:pt idx="1">
                  <c:v>B2</c:v>
                </c:pt>
                <c:pt idx="2">
                  <c:v>C2</c:v>
                </c:pt>
                <c:pt idx="3">
                  <c:v>D2</c:v>
                </c:pt>
              </c:strCache>
            </c:strRef>
          </c:cat>
          <c:val>
            <c:numRef>
              <c:f>خاکبرداری!$G$4:$G$7</c:f>
              <c:numCache>
                <c:formatCode>#,###\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7-4B51-97E1-2AF19BEC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5096000"/>
        <c:axId val="665084768"/>
      </c:barChart>
      <c:catAx>
        <c:axId val="66509600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66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5084768"/>
        <c:crosses val="autoZero"/>
        <c:auto val="1"/>
        <c:lblAlgn val="ctr"/>
        <c:lblOffset val="100"/>
        <c:noMultiLvlLbl val="0"/>
      </c:catAx>
      <c:valAx>
        <c:axId val="665084768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6650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12-411B-972E-F8D858A3003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2-411B-972E-F8D858A3003E}"/>
              </c:ext>
            </c:extLst>
          </c:dPt>
          <c:val>
            <c:numRef>
              <c:f>خاکبرداری!$F$8:$G$8</c:f>
              <c:numCache>
                <c:formatCode>0%</c:formatCode>
                <c:ptCount val="2"/>
                <c:pt idx="0">
                  <c:v>0.26351898226404458</c:v>
                </c:pt>
                <c:pt idx="1">
                  <c:v>0.73648101773595542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2-411B-972E-F8D858A3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 w="25400">
                <a:solidFill>
                  <a:srgbClr val="FF99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'عملیات اجرایی'!$I$7:$I$11</c:f>
              <c:strCache>
                <c:ptCount val="5"/>
                <c:pt idx="0">
                  <c:v>حفاری تاپ تونل</c:v>
                </c:pt>
                <c:pt idx="1">
                  <c:v>حفاری بنچ تونل</c:v>
                </c:pt>
                <c:pt idx="2">
                  <c:v>لاینینگ</c:v>
                </c:pt>
                <c:pt idx="3">
                  <c:v>خاکبرداری</c:v>
                </c:pt>
                <c:pt idx="4">
                  <c:v>خاکریزی</c:v>
                </c:pt>
              </c:strCache>
            </c:strRef>
          </c:cat>
          <c:val>
            <c:numRef>
              <c:f>'عملیات اجرایی'!$G$7:$G$11</c:f>
              <c:numCache>
                <c:formatCode>0%</c:formatCode>
                <c:ptCount val="5"/>
                <c:pt idx="0">
                  <c:v>0.45649181908069614</c:v>
                </c:pt>
                <c:pt idx="1">
                  <c:v>0.12410639804918874</c:v>
                </c:pt>
                <c:pt idx="2">
                  <c:v>1.8179820675088013E-2</c:v>
                </c:pt>
                <c:pt idx="3">
                  <c:v>0.26351898226404458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A-4AD1-B7F2-CC0EE1A33F42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'عملیات اجرایی'!$I$7:$I$11</c:f>
              <c:strCache>
                <c:ptCount val="5"/>
                <c:pt idx="0">
                  <c:v>حفاری تاپ تونل</c:v>
                </c:pt>
                <c:pt idx="1">
                  <c:v>حفاری بنچ تونل</c:v>
                </c:pt>
                <c:pt idx="2">
                  <c:v>لاینینگ</c:v>
                </c:pt>
                <c:pt idx="3">
                  <c:v>خاکبرداری</c:v>
                </c:pt>
                <c:pt idx="4">
                  <c:v>خاکریزی</c:v>
                </c:pt>
              </c:strCache>
            </c:strRef>
          </c:cat>
          <c:val>
            <c:numRef>
              <c:f>'عملیات اجرایی'!$H$7:$H$11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A-4AD1-B7F2-CC0EE1A3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1206913951"/>
        <c:axId val="1206915615"/>
      </c:barChart>
      <c:catAx>
        <c:axId val="1206913951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06915615"/>
        <c:crosses val="autoZero"/>
        <c:auto val="1"/>
        <c:lblAlgn val="ctr"/>
        <c:lblOffset val="100"/>
        <c:noMultiLvlLbl val="0"/>
      </c:catAx>
      <c:valAx>
        <c:axId val="1206915615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2069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933873580965062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D5-4F4F-AFD7-F3BD0B082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وضعیت مطالبات پیمانکاران'!$C$6:$C$8</c:f>
              <c:strCache>
                <c:ptCount val="3"/>
                <c:pt idx="0">
                  <c:v>نقد</c:v>
                </c:pt>
                <c:pt idx="1">
                  <c:v>اوراق</c:v>
                </c:pt>
                <c:pt idx="2">
                  <c:v>املاک</c:v>
                </c:pt>
              </c:strCache>
            </c:strRef>
          </c:cat>
          <c:val>
            <c:numRef>
              <c:f>'خلاصه وضعیت مطالبات پیمانکاران'!$G$6:$G$8</c:f>
              <c:numCache>
                <c:formatCode>#,###</c:formatCode>
                <c:ptCount val="3"/>
                <c:pt idx="0">
                  <c:v>140443</c:v>
                </c:pt>
                <c:pt idx="1">
                  <c:v>315374.61249999999</c:v>
                </c:pt>
                <c:pt idx="2">
                  <c:v>457146.32499999995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5-4F4F-AFD7-F3BD0B082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2"/>
        <c:overlap val="-13"/>
        <c:axId val="1851018176"/>
        <c:axId val="1851020256"/>
      </c:barChart>
      <c:catAx>
        <c:axId val="185101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851020256"/>
        <c:crosses val="autoZero"/>
        <c:auto val="1"/>
        <c:lblAlgn val="ctr"/>
        <c:lblOffset val="100"/>
        <c:noMultiLvlLbl val="0"/>
      </c:catAx>
      <c:valAx>
        <c:axId val="1851020256"/>
        <c:scaling>
          <c:orientation val="minMax"/>
        </c:scaling>
        <c:delete val="1"/>
        <c:axPos val="b"/>
        <c:numFmt formatCode="#,###" sourceLinked="1"/>
        <c:majorTickMark val="none"/>
        <c:minorTickMark val="none"/>
        <c:tickLblPos val="nextTo"/>
        <c:crossAx val="18510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rgbClr val="00FFFF"/>
                  </a:gs>
                  <a:gs pos="26000">
                    <a:srgbClr val="00CCFF"/>
                  </a:gs>
                  <a:gs pos="100000">
                    <a:srgbClr val="0099CC"/>
                  </a:gs>
                </a:gsLst>
                <a:lin ang="189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0-421C-A7B4-4385ECF5C9C7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FCCCC"/>
                  </a:gs>
                  <a:gs pos="36000">
                    <a:srgbClr val="FF7C80"/>
                  </a:gs>
                  <a:gs pos="100000">
                    <a:srgbClr val="FF5050"/>
                  </a:gs>
                </a:gsLst>
                <a:lin ang="2700000" scaled="1"/>
                <a:tileRect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160-421C-A7B4-4385ECF5C9C7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00CC66"/>
                  </a:gs>
                  <a:gs pos="32000">
                    <a:srgbClr val="00CC99"/>
                  </a:gs>
                  <a:gs pos="80000">
                    <a:srgbClr val="008080"/>
                  </a:gs>
                </a:gsLst>
                <a:lin ang="135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60-421C-A7B4-4385ECF5C9C7}"/>
              </c:ext>
            </c:extLst>
          </c:dPt>
          <c:dLbls>
            <c:dLbl>
              <c:idx val="0"/>
              <c:layout>
                <c:manualLayout>
                  <c:x val="-0.12555938320209975"/>
                  <c:y val="0.25708260425780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60-421C-A7B4-4385ECF5C9C7}"/>
                </c:ext>
              </c:extLst>
            </c:dLbl>
            <c:dLbl>
              <c:idx val="1"/>
              <c:layout>
                <c:manualLayout>
                  <c:x val="-0.20858464566929133"/>
                  <c:y val="-0.160473899095946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60-421C-A7B4-4385ECF5C9C7}"/>
                </c:ext>
              </c:extLst>
            </c:dLbl>
            <c:dLbl>
              <c:idx val="2"/>
              <c:layout>
                <c:manualLayout>
                  <c:x val="0.22269477252843395"/>
                  <c:y val="6.81685622630504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60-421C-A7B4-4385ECF5C9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sng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'خلاصه وضعیت مطالبات پیمانکاران'!$G$6:$G$8</c:f>
              <c:numCache>
                <c:formatCode>#,###</c:formatCode>
                <c:ptCount val="3"/>
                <c:pt idx="0">
                  <c:v>140443</c:v>
                </c:pt>
                <c:pt idx="1">
                  <c:v>315374.61249999999</c:v>
                </c:pt>
                <c:pt idx="2">
                  <c:v>457146.32499999995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0-421C-A7B4-4385ECF5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chemeClr val="bg2">
                      <a:lumMod val="50000"/>
                    </a:schemeClr>
                  </a:gs>
                  <a:gs pos="46000">
                    <a:schemeClr val="tx1">
                      <a:lumMod val="65000"/>
                      <a:lumOff val="35000"/>
                    </a:schemeClr>
                  </a:gs>
                  <a:gs pos="93000">
                    <a:schemeClr val="tx1"/>
                  </a:gs>
                </a:gsLst>
                <a:lin ang="16200000" scaled="1"/>
                <a:tileRect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0C-446A-9BA8-FB18BDB76C7A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FFFFF"/>
                  </a:gs>
                  <a:gs pos="46000">
                    <a:srgbClr val="0099CC"/>
                  </a:gs>
                  <a:gs pos="100000">
                    <a:srgbClr val="3366CC"/>
                  </a:gs>
                </a:gsLst>
                <a:lin ang="18900000" scaled="1"/>
                <a:tileRect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0C-446A-9BA8-FB18BDB76C7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FFFF99"/>
                  </a:gs>
                  <a:gs pos="46000">
                    <a:srgbClr val="FF5050"/>
                  </a:gs>
                  <a:gs pos="100000">
                    <a:srgbClr val="FF0000"/>
                  </a:gs>
                </a:gsLst>
                <a:lin ang="5400000" scaled="1"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D0C-446A-9BA8-FB18BDB76C7A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FFFFCC"/>
                  </a:gs>
                  <a:gs pos="69000">
                    <a:srgbClr val="FFFF00"/>
                  </a:gs>
                </a:gsLst>
                <a:lin ang="13500000" scaled="1"/>
                <a:tileRect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0C-446A-9BA8-FB18BDB76C7A}"/>
              </c:ext>
            </c:extLst>
          </c:dPt>
          <c:dLbls>
            <c:dLbl>
              <c:idx val="0"/>
              <c:layout>
                <c:manualLayout>
                  <c:x val="-1.6097871486994358E-2"/>
                  <c:y val="0.298913931622632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C-446A-9BA8-FB18BDB76C7A}"/>
                </c:ext>
              </c:extLst>
            </c:dLbl>
            <c:dLbl>
              <c:idx val="1"/>
              <c:layout>
                <c:manualLayout>
                  <c:x val="-0.24523922881732807"/>
                  <c:y val="0.171979511872548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C-446A-9BA8-FB18BDB76C7A}"/>
                </c:ext>
              </c:extLst>
            </c:dLbl>
            <c:dLbl>
              <c:idx val="2"/>
              <c:layout>
                <c:manualLayout>
                  <c:x val="-0.10431684411541581"/>
                  <c:y val="-0.288438991669453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C-446A-9BA8-FB18BDB76C7A}"/>
                </c:ext>
              </c:extLst>
            </c:dLbl>
            <c:dLbl>
              <c:idx val="3"/>
              <c:layout>
                <c:manualLayout>
                  <c:x val="0.26769386384841432"/>
                  <c:y val="8.57961714450761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C-446A-9BA8-FB18BDB76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sng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'خلاصه وضعیت مطالبات پیمانکاران'!$C$22:$C$25</c:f>
              <c:numCache>
                <c:formatCode>0%</c:formatCode>
                <c:ptCount val="4"/>
                <c:pt idx="0">
                  <c:v>1.6789729641206754E-2</c:v>
                </c:pt>
                <c:pt idx="1">
                  <c:v>0.31591464152716758</c:v>
                </c:pt>
                <c:pt idx="2">
                  <c:v>0.24825730011463726</c:v>
                </c:pt>
                <c:pt idx="3">
                  <c:v>0.41903832871698837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C-446A-9BA8-FB18BDB7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bg2">
                      <a:lumMod val="75000"/>
                    </a:schemeClr>
                  </a:gs>
                  <a:gs pos="46000">
                    <a:schemeClr val="tx1">
                      <a:lumMod val="75000"/>
                      <a:lumOff val="25000"/>
                    </a:schemeClr>
                  </a:gs>
                  <a:gs pos="93000">
                    <a:schemeClr val="tx1"/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C-44D9-99C9-D5D2F045268C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46000">
                    <a:srgbClr val="0099CC"/>
                  </a:gs>
                  <a:gs pos="93000">
                    <a:srgbClr val="3366CC"/>
                  </a:gs>
                </a:gsLst>
                <a:lin ang="27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1C-44D9-99C9-D5D2F045268C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7C80"/>
                  </a:gs>
                  <a:gs pos="46000">
                    <a:srgbClr val="FF3300"/>
                  </a:gs>
                  <a:gs pos="93000">
                    <a:srgbClr val="FF0000"/>
                  </a:gs>
                </a:gsLst>
                <a:lin ang="81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C-44D9-99C9-D5D2F045268C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FFFFCC"/>
                  </a:gs>
                  <a:gs pos="58000">
                    <a:srgbClr val="FFFF00"/>
                  </a:gs>
                </a:gsLst>
                <a:lin ang="135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91C-44D9-99C9-D5D2F045268C}"/>
              </c:ext>
            </c:extLst>
          </c:dPt>
          <c:dLbls>
            <c:dLbl>
              <c:idx val="0"/>
              <c:layout>
                <c:manualLayout>
                  <c:x val="-0.15390656780959705"/>
                  <c:y val="0.27618967972140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1C-44D9-99C9-D5D2F045268C}"/>
                </c:ext>
              </c:extLst>
            </c:dLbl>
            <c:dLbl>
              <c:idx val="1"/>
              <c:layout>
                <c:manualLayout>
                  <c:x val="-0.24725621478843807"/>
                  <c:y val="-0.228714126130539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1C-44D9-99C9-D5D2F045268C}"/>
                </c:ext>
              </c:extLst>
            </c:dLbl>
            <c:dLbl>
              <c:idx val="2"/>
              <c:layout>
                <c:manualLayout>
                  <c:x val="0.24907147354988265"/>
                  <c:y val="-0.1460594876248372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1C-44D9-99C9-D5D2F045268C}"/>
                </c:ext>
              </c:extLst>
            </c:dLbl>
            <c:dLbl>
              <c:idx val="3"/>
              <c:layout>
                <c:manualLayout>
                  <c:x val="0.20196042373684173"/>
                  <c:y val="0.2751089251849129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1C-44D9-99C9-D5D2F0452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'خلاصه وضعیت مطالبات پیمانکاران'!$D$22:$D$25</c:f>
              <c:numCache>
                <c:formatCode>0%</c:formatCode>
                <c:ptCount val="4"/>
                <c:pt idx="0">
                  <c:v>0.12501323327032227</c:v>
                </c:pt>
                <c:pt idx="1">
                  <c:v>0.46010803263373012</c:v>
                </c:pt>
                <c:pt idx="2">
                  <c:v>0.18496485667501214</c:v>
                </c:pt>
                <c:pt idx="3">
                  <c:v>0.22991387742093536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C-44D9-99C9-D5D2F045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bg2">
                      <a:lumMod val="50000"/>
                    </a:schemeClr>
                  </a:gs>
                  <a:gs pos="34000">
                    <a:schemeClr val="tx1">
                      <a:lumMod val="65000"/>
                      <a:lumOff val="35000"/>
                    </a:schemeClr>
                  </a:gs>
                  <a:gs pos="93000">
                    <a:schemeClr val="tx1">
                      <a:lumMod val="85000"/>
                      <a:lumOff val="15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FD-4F07-A706-4FF447329529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00B0F0"/>
                  </a:gs>
                  <a:gs pos="34000">
                    <a:srgbClr val="0099CC"/>
                  </a:gs>
                  <a:gs pos="100000">
                    <a:srgbClr val="006699"/>
                  </a:gs>
                </a:gsLst>
                <a:lin ang="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FD-4F07-A706-4FF447329529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FF7C80"/>
                  </a:gs>
                  <a:gs pos="42000">
                    <a:srgbClr val="FF5050"/>
                  </a:gs>
                  <a:gs pos="100000">
                    <a:srgbClr val="FF0000"/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FD-4F07-A706-4FF447329529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FFFFCC"/>
                  </a:gs>
                  <a:gs pos="32000">
                    <a:srgbClr val="FFFF66"/>
                  </a:gs>
                  <a:gs pos="100000">
                    <a:srgbClr val="FFFF00"/>
                  </a:gs>
                </a:gsLst>
                <a:lin ang="189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FD-4F07-A706-4FF447329529}"/>
              </c:ext>
            </c:extLst>
          </c:dPt>
          <c:dLbls>
            <c:dLbl>
              <c:idx val="0"/>
              <c:layout>
                <c:manualLayout>
                  <c:x val="-0.19823900396208435"/>
                  <c:y val="0.2796771115092593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FD-4F07-A706-4FF447329529}"/>
                </c:ext>
              </c:extLst>
            </c:dLbl>
            <c:dLbl>
              <c:idx val="1"/>
              <c:layout>
                <c:manualLayout>
                  <c:x val="-0.28105234855197248"/>
                  <c:y val="-0.118663733397045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FD-4F07-A706-4FF447329529}"/>
                </c:ext>
              </c:extLst>
            </c:dLbl>
            <c:dLbl>
              <c:idx val="2"/>
              <c:layout>
                <c:manualLayout>
                  <c:x val="0.2359289583228848"/>
                  <c:y val="-0.314799116044656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FD-4F07-A706-4FF447329529}"/>
                </c:ext>
              </c:extLst>
            </c:dLbl>
            <c:dLbl>
              <c:idx val="3"/>
              <c:layout>
                <c:manualLayout>
                  <c:x val="0.17277174549041244"/>
                  <c:y val="0.2872073523839289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FD-4F07-A706-4FF4473295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sng" strike="noStrike" kern="1200" baseline="0">
                    <a:solidFill>
                      <a:sysClr val="windowText" lastClr="00000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'خلاصه وضعیت مطالبات پیمانکاران'!$E$22:$E$25</c:f>
              <c:numCache>
                <c:formatCode>0%</c:formatCode>
                <c:ptCount val="4"/>
                <c:pt idx="0">
                  <c:v>0.20372172411098352</c:v>
                </c:pt>
                <c:pt idx="1">
                  <c:v>0.19554567675896767</c:v>
                </c:pt>
                <c:pt idx="2">
                  <c:v>0.43998100608158669</c:v>
                </c:pt>
                <c:pt idx="3">
                  <c:v>0.16075159304846209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F07-A706-4FF44732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طول کل</a:t>
            </a:r>
            <a:r>
              <a:rPr lang="fa-IR" baseline="0">
                <a:cs typeface="B Titr" panose="00000700000000000000" pitchFamily="2" charset="-78"/>
              </a:rPr>
              <a:t> هر عملیات</a:t>
            </a:r>
            <a:r>
              <a:rPr lang="fa-IR">
                <a:cs typeface="B Titr" panose="00000700000000000000" pitchFamily="2" charset="-78"/>
              </a:rPr>
              <a:t> (متر)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'مشخصات باند شرقی'!$N$16:$N$19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باند شرقی'!$P$16:$P$19</c:f>
              <c:numCache>
                <c:formatCode>#,###;;\-</c:formatCode>
                <c:ptCount val="4"/>
                <c:pt idx="0">
                  <c:v>8631</c:v>
                </c:pt>
                <c:pt idx="1">
                  <c:v>1662</c:v>
                </c:pt>
                <c:pt idx="2">
                  <c:v>1832.65</c:v>
                </c:pt>
                <c:pt idx="3">
                  <c:v>2781.35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2-4639-BC29-F4B68BC5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107519"/>
        <c:axId val="1704106687"/>
      </c:barChart>
      <c:catAx>
        <c:axId val="17041075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704106687"/>
        <c:crosses val="autoZero"/>
        <c:auto val="1"/>
        <c:lblAlgn val="ctr"/>
        <c:lblOffset val="100"/>
        <c:noMultiLvlLbl val="0"/>
      </c:catAx>
      <c:valAx>
        <c:axId val="1704106687"/>
        <c:scaling>
          <c:orientation val="maxMin"/>
        </c:scaling>
        <c:delete val="1"/>
        <c:axPos val="b"/>
        <c:numFmt formatCode="#,###;;\-" sourceLinked="1"/>
        <c:majorTickMark val="none"/>
        <c:minorTickMark val="none"/>
        <c:tickLblPos val="nextTo"/>
        <c:crossAx val="17041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درصد</a:t>
            </a:r>
            <a:r>
              <a:rPr lang="fa-IR" baseline="0">
                <a:cs typeface="B Titr" panose="00000700000000000000" pitchFamily="2" charset="-78"/>
              </a:rPr>
              <a:t> نسبت به کل مسیر</a:t>
            </a:r>
            <a:endParaRPr lang="en-US">
              <a:cs typeface="B Titr" panose="000007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A1-4896-B7F2-503F8BF61B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A1-4896-B7F2-503F8BF61B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A1-4896-B7F2-503F8BF61B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A1-4896-B7F2-503F8BF61B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'مشخصات باند غربی'!$N$16:$N$19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باند غربی'!$O$16:$O$19</c:f>
              <c:numCache>
                <c:formatCode>0%</c:formatCode>
                <c:ptCount val="4"/>
                <c:pt idx="0">
                  <c:v>0.63330559097926031</c:v>
                </c:pt>
                <c:pt idx="1">
                  <c:v>0.13749244915766159</c:v>
                </c:pt>
                <c:pt idx="2">
                  <c:v>7.6684341230955091E-2</c:v>
                </c:pt>
                <c:pt idx="3">
                  <c:v>0.16329820793341834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A1-4896-B7F2-503F8BF6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Titr" panose="00000700000000000000" pitchFamily="2" charset="-78"/>
              </a:defRPr>
            </a:pPr>
            <a:r>
              <a:rPr lang="fa-IR">
                <a:cs typeface="B Titr" panose="00000700000000000000" pitchFamily="2" charset="-78"/>
              </a:rPr>
              <a:t>طول کل</a:t>
            </a:r>
            <a:r>
              <a:rPr lang="fa-IR" baseline="0">
                <a:cs typeface="B Titr" panose="00000700000000000000" pitchFamily="2" charset="-78"/>
              </a:rPr>
              <a:t> هر عملیات</a:t>
            </a:r>
            <a:r>
              <a:rPr lang="fa-IR">
                <a:cs typeface="B Titr" panose="00000700000000000000" pitchFamily="2" charset="-78"/>
              </a:rPr>
              <a:t> (متر)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Titr" panose="00000700000000000000" pitchFamily="2" charset="-78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'مشخصات باند غربی'!$N$16:$N$19</c:f>
              <c:strCache>
                <c:ptCount val="4"/>
                <c:pt idx="0">
                  <c:v>تونل</c:v>
                </c:pt>
                <c:pt idx="1">
                  <c:v>گالری</c:v>
                </c:pt>
                <c:pt idx="2">
                  <c:v>پل</c:v>
                </c:pt>
                <c:pt idx="3">
                  <c:v>مسیر</c:v>
                </c:pt>
              </c:strCache>
            </c:strRef>
          </c:cat>
          <c:val>
            <c:numRef>
              <c:f>'مشخصات باند غربی'!$P$16:$P$19</c:f>
              <c:numCache>
                <c:formatCode>#,###;;\-</c:formatCode>
                <c:ptCount val="4"/>
                <c:pt idx="0">
                  <c:v>9435.619999999999</c:v>
                </c:pt>
                <c:pt idx="1">
                  <c:v>2048.5</c:v>
                </c:pt>
                <c:pt idx="2">
                  <c:v>1142.52</c:v>
                </c:pt>
                <c:pt idx="3">
                  <c:v>2432.98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CB4-BF98-84E4CC56D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107519"/>
        <c:axId val="1704106687"/>
      </c:barChart>
      <c:catAx>
        <c:axId val="17041075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704106687"/>
        <c:crosses val="autoZero"/>
        <c:auto val="1"/>
        <c:lblAlgn val="ctr"/>
        <c:lblOffset val="100"/>
        <c:noMultiLvlLbl val="0"/>
      </c:catAx>
      <c:valAx>
        <c:axId val="1704106687"/>
        <c:scaling>
          <c:orientation val="maxMin"/>
        </c:scaling>
        <c:delete val="1"/>
        <c:axPos val="b"/>
        <c:numFmt formatCode="#,###;;\-" sourceLinked="1"/>
        <c:majorTickMark val="none"/>
        <c:minorTickMark val="none"/>
        <c:tickLblPos val="nextTo"/>
        <c:crossAx val="17041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'A2'!$L$2:$Q$2</c:f>
          <c:strCache>
            <c:ptCount val="6"/>
            <c:pt idx="0">
              <c:v>حفاری هد قطعه 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007730299521105E-2"/>
          <c:y val="4.0034251207618714E-2"/>
          <c:w val="0.96598453940095774"/>
          <c:h val="0.73718158871498363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'A2'!$B$2:$B$13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'A2'!$O$4:$O$15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0.10186335403726707</c:v>
                </c:pt>
                <c:pt idx="5">
                  <c:v>6.5079365079365084E-2</c:v>
                </c:pt>
                <c:pt idx="6">
                  <c:v>0</c:v>
                </c:pt>
                <c:pt idx="7">
                  <c:v>0</c:v>
                </c:pt>
                <c:pt idx="8">
                  <c:v>0.54285714285714282</c:v>
                </c:pt>
                <c:pt idx="9">
                  <c:v>0.55083798882681567</c:v>
                </c:pt>
                <c:pt idx="10">
                  <c:v>1.0390000000000001</c:v>
                </c:pt>
                <c:pt idx="11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4EEC-A519-AF2F636BF1B2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'A2'!$B$2:$B$13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'A2'!$V$4:$V$15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8-4EEC-A519-AF2F636B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1295280704"/>
        <c:axId val="1295294016"/>
      </c:barChart>
      <c:lineChart>
        <c:grouping val="stacke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avie" panose="04040805050809020602" pitchFamily="8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'A2'!$O$4:$O$15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0.10186335403726707</c:v>
                </c:pt>
                <c:pt idx="5">
                  <c:v>6.5079365079365084E-2</c:v>
                </c:pt>
                <c:pt idx="6">
                  <c:v>0</c:v>
                </c:pt>
                <c:pt idx="7">
                  <c:v>0</c:v>
                </c:pt>
                <c:pt idx="8">
                  <c:v>0.54285714285714282</c:v>
                </c:pt>
                <c:pt idx="9">
                  <c:v>0.55083798882681567</c:v>
                </c:pt>
                <c:pt idx="10">
                  <c:v>1.0390000000000001</c:v>
                </c:pt>
                <c:pt idx="11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8-4EEC-A519-AF2F636B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80704"/>
        <c:axId val="1295294016"/>
      </c:lineChart>
      <c:catAx>
        <c:axId val="129528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5294016"/>
        <c:crosses val="autoZero"/>
        <c:auto val="1"/>
        <c:lblAlgn val="ctr"/>
        <c:lblOffset val="300"/>
        <c:noMultiLvlLbl val="0"/>
      </c:catAx>
      <c:valAx>
        <c:axId val="12952940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952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'A2'!$R$2:$U$2</c:f>
          <c:strCache>
            <c:ptCount val="4"/>
            <c:pt idx="0">
              <c:v>حفاری بنچ قطعه 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82782475739716E-2"/>
          <c:y val="0.14034182231619588"/>
          <c:w val="0.94963443504852052"/>
          <c:h val="0.72870072347891535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'A2'!$B$2:$B$13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'A2'!$S$4:$S$15</c:f>
              <c:numCache>
                <c:formatCode>0%</c:formatCode>
                <c:ptCount val="12"/>
                <c:pt idx="0">
                  <c:v>0.81081081081081086</c:v>
                </c:pt>
                <c:pt idx="1">
                  <c:v>0.8936170212765957</c:v>
                </c:pt>
                <c:pt idx="2">
                  <c:v>0.97570850202429149</c:v>
                </c:pt>
                <c:pt idx="3">
                  <c:v>0.94399999999999995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3.2967032967032968E-2</c:v>
                </c:pt>
                <c:pt idx="9">
                  <c:v>0</c:v>
                </c:pt>
                <c:pt idx="10">
                  <c:v>0</c:v>
                </c:pt>
                <c:pt idx="11">
                  <c:v>0.44247787610619466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A-4BF7-8BA1-B0489B543884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'A2'!$B$2:$B$13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'A2'!$V$4:$V$15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A-4BF7-8BA1-B0489B543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1304474112"/>
        <c:axId val="1304475776"/>
      </c:barChart>
      <c:lineChart>
        <c:grouping val="stacke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avie" panose="04040805050809020602" pitchFamily="8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'A2'!$B$2:$B$13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'A2'!$S$4:$S$15</c:f>
              <c:numCache>
                <c:formatCode>0%</c:formatCode>
                <c:ptCount val="12"/>
                <c:pt idx="0">
                  <c:v>0.81081081081081086</c:v>
                </c:pt>
                <c:pt idx="1">
                  <c:v>0.8936170212765957</c:v>
                </c:pt>
                <c:pt idx="2">
                  <c:v>0.97570850202429149</c:v>
                </c:pt>
                <c:pt idx="3">
                  <c:v>0.94399999999999995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3.2967032967032968E-2</c:v>
                </c:pt>
                <c:pt idx="9">
                  <c:v>0</c:v>
                </c:pt>
                <c:pt idx="10">
                  <c:v>0</c:v>
                </c:pt>
                <c:pt idx="11">
                  <c:v>0.44247787610619466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A-4BF7-8BA1-B0489B543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474112"/>
        <c:axId val="1304475776"/>
      </c:lineChart>
      <c:catAx>
        <c:axId val="1304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4475776"/>
        <c:crosses val="autoZero"/>
        <c:auto val="1"/>
        <c:lblAlgn val="ctr"/>
        <c:lblOffset val="300"/>
        <c:noMultiLvlLbl val="0"/>
      </c:catAx>
      <c:valAx>
        <c:axId val="13044757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0447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'A2'!$L$2:$Q$2</c:f>
          <c:strCache>
            <c:ptCount val="6"/>
            <c:pt idx="0">
              <c:v>حفاری هد قطعه 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'A2'!$N$4:$N$15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0-4F8A-A7C1-2278F18B25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AF0-4F8A-A7C1-2278F18B2502}"/>
              </c:ext>
            </c:extLst>
          </c:dPt>
          <c:dPt>
            <c:idx val="1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3AF0-4F8A-A7C1-2278F18B2502}"/>
              </c:ext>
            </c:extLst>
          </c:dPt>
          <c:dPt>
            <c:idx val="4"/>
            <c:invertIfNegative val="0"/>
            <c:bubble3D val="0"/>
            <c:spPr>
              <a:solidFill>
                <a:srgbClr val="FFCCC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D48-4D13-B28D-08E9F4CBCC69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FD48-4D13-B28D-08E9F4CBCC69}"/>
              </c:ext>
            </c:extLst>
          </c:dPt>
          <c:dPt>
            <c:idx val="8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3AF0-4F8A-A7C1-2278F18B250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3AF0-4F8A-A7C1-2278F18B250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FD48-4D13-B28D-08E9F4CBCC69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FD48-4D13-B28D-08E9F4CBCC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'A2'!$O$4:$O$15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0.10186335403726707</c:v>
                </c:pt>
                <c:pt idx="5">
                  <c:v>6.5079365079365084E-2</c:v>
                </c:pt>
                <c:pt idx="6">
                  <c:v>0</c:v>
                </c:pt>
                <c:pt idx="7">
                  <c:v>0</c:v>
                </c:pt>
                <c:pt idx="8">
                  <c:v>0.54285714285714282</c:v>
                </c:pt>
                <c:pt idx="9">
                  <c:v>0.55083798882681567</c:v>
                </c:pt>
                <c:pt idx="10">
                  <c:v>1.0390000000000001</c:v>
                </c:pt>
                <c:pt idx="11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F0-4F8A-A7C1-2278F18B2502}"/>
            </c:ext>
          </c:extLst>
        </c:ser>
        <c:ser>
          <c:idx val="2"/>
          <c:order val="2"/>
          <c:spPr>
            <a:solidFill>
              <a:schemeClr val="bg1">
                <a:alpha val="6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'A2'!$P$4:$P$15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0.8981366459627329</c:v>
                </c:pt>
                <c:pt idx="5">
                  <c:v>0.93492063492063493</c:v>
                </c:pt>
                <c:pt idx="6">
                  <c:v>1</c:v>
                </c:pt>
                <c:pt idx="7">
                  <c:v>1</c:v>
                </c:pt>
                <c:pt idx="8">
                  <c:v>0.45714285714285718</c:v>
                </c:pt>
                <c:pt idx="9">
                  <c:v>0.44916201117318433</c:v>
                </c:pt>
                <c:pt idx="10">
                  <c:v>-3.9000000000000146E-2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F0-4F8A-A7C1-2278F18B2502}"/>
            </c:ext>
          </c:extLst>
        </c:ser>
        <c:ser>
          <c:idx val="3"/>
          <c:order val="3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'A2'!$M$4:$M$15</c:f>
              <c:strCache>
                <c:ptCount val="12"/>
                <c:pt idx="0">
                  <c:v>19 L</c:v>
                </c:pt>
                <c:pt idx="1">
                  <c:v>19 R</c:v>
                </c:pt>
                <c:pt idx="2">
                  <c:v>20 L</c:v>
                </c:pt>
                <c:pt idx="3">
                  <c:v>20 R</c:v>
                </c:pt>
                <c:pt idx="4">
                  <c:v>L 20-1</c:v>
                </c:pt>
                <c:pt idx="5">
                  <c:v>R 20-1</c:v>
                </c:pt>
                <c:pt idx="6">
                  <c:v>21 L</c:v>
                </c:pt>
                <c:pt idx="7">
                  <c:v>21 R</c:v>
                </c:pt>
                <c:pt idx="8">
                  <c:v>22 L</c:v>
                </c:pt>
                <c:pt idx="9">
                  <c:v>R 22</c:v>
                </c:pt>
                <c:pt idx="10">
                  <c:v>23 L</c:v>
                </c:pt>
                <c:pt idx="11">
                  <c:v>23 R</c:v>
                </c:pt>
              </c:strCache>
            </c:strRef>
          </c:cat>
          <c:val>
            <c:numRef>
              <c:f>'A2'!$Q$4:$Q$15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F0-4F8A-A7C1-2278F18B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8083151"/>
        <c:axId val="88078991"/>
        <c:axId val="0"/>
      </c:bar3DChart>
      <c:catAx>
        <c:axId val="8808315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cap="rnd">
            <a:solidFill>
              <a:srgbClr val="FF0000"/>
            </a:solidFill>
            <a:round/>
            <a:headEnd type="oval"/>
            <a:tailEnd type="oval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078991"/>
        <c:crosses val="autoZero"/>
        <c:auto val="1"/>
        <c:lblAlgn val="ctr"/>
        <c:lblOffset val="100"/>
        <c:noMultiLvlLbl val="0"/>
      </c:catAx>
      <c:valAx>
        <c:axId val="880789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808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17</xdr:row>
      <xdr:rowOff>159846</xdr:rowOff>
    </xdr:from>
    <xdr:to>
      <xdr:col>20</xdr:col>
      <xdr:colOff>1008608</xdr:colOff>
      <xdr:row>26</xdr:row>
      <xdr:rowOff>46586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301718</xdr:colOff>
      <xdr:row>13</xdr:row>
      <xdr:rowOff>20170</xdr:rowOff>
    </xdr:from>
    <xdr:to>
      <xdr:col>29</xdr:col>
      <xdr:colOff>260817</xdr:colOff>
      <xdr:row>20</xdr:row>
      <xdr:rowOff>255494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2</xdr:row>
      <xdr:rowOff>161925</xdr:rowOff>
    </xdr:from>
    <xdr:to>
      <xdr:col>13</xdr:col>
      <xdr:colOff>337857</xdr:colOff>
      <xdr:row>13</xdr:row>
      <xdr:rowOff>105896</xdr:rowOff>
    </xdr:to>
    <xdr:sp macro="" textlink="">
      <xdr:nvSpPr>
        <xdr:cNvPr id="3" name="Rounded Rectangle 2"/>
        <xdr:cNvSpPr/>
      </xdr:nvSpPr>
      <xdr:spPr>
        <a:xfrm>
          <a:off x="9979423743" y="542925"/>
          <a:ext cx="537882" cy="2039471"/>
        </a:xfrm>
        <a:prstGeom prst="roundRect">
          <a:avLst>
            <a:gd name="adj" fmla="val 50000"/>
          </a:avLst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442632</xdr:colOff>
      <xdr:row>2</xdr:row>
      <xdr:rowOff>161925</xdr:rowOff>
    </xdr:from>
    <xdr:to>
      <xdr:col>14</xdr:col>
      <xdr:colOff>370914</xdr:colOff>
      <xdr:row>13</xdr:row>
      <xdr:rowOff>105896</xdr:rowOff>
    </xdr:to>
    <xdr:sp macro="" textlink="">
      <xdr:nvSpPr>
        <xdr:cNvPr id="4" name="Rounded Rectangle 3"/>
        <xdr:cNvSpPr/>
      </xdr:nvSpPr>
      <xdr:spPr>
        <a:xfrm>
          <a:off x="9978781086" y="542925"/>
          <a:ext cx="537882" cy="2039471"/>
        </a:xfrm>
        <a:prstGeom prst="roundRect">
          <a:avLst>
            <a:gd name="adj" fmla="val 50000"/>
          </a:avLst>
        </a:prstGeom>
        <a:solidFill>
          <a:srgbClr val="00B0F0"/>
        </a:solidFill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271463</xdr:colOff>
      <xdr:row>9</xdr:row>
      <xdr:rowOff>133350</xdr:rowOff>
    </xdr:from>
    <xdr:to>
      <xdr:col>14</xdr:col>
      <xdr:colOff>576263</xdr:colOff>
      <xdr:row>24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196104</xdr:colOff>
      <xdr:row>8</xdr:row>
      <xdr:rowOff>242046</xdr:rowOff>
    </xdr:from>
    <xdr:to>
      <xdr:col>5</xdr:col>
      <xdr:colOff>397810</xdr:colOff>
      <xdr:row>18</xdr:row>
      <xdr:rowOff>71717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156882</xdr:colOff>
      <xdr:row>31</xdr:row>
      <xdr:rowOff>44824</xdr:rowOff>
    </xdr:from>
    <xdr:to>
      <xdr:col>1</xdr:col>
      <xdr:colOff>571500</xdr:colOff>
      <xdr:row>37</xdr:row>
      <xdr:rowOff>280147</xdr:rowOff>
    </xdr:to>
    <xdr:sp macro="" textlink="">
      <xdr:nvSpPr>
        <xdr:cNvPr id="3" name="Rounded Rectangle 2"/>
        <xdr:cNvSpPr/>
      </xdr:nvSpPr>
      <xdr:spPr>
        <a:xfrm>
          <a:off x="9916432676" y="8886265"/>
          <a:ext cx="414618" cy="1983441"/>
        </a:xfrm>
        <a:prstGeom prst="roundRect">
          <a:avLst>
            <a:gd name="adj" fmla="val 43694"/>
          </a:avLst>
        </a:prstGeom>
        <a:solidFill>
          <a:srgbClr val="33CCCC"/>
        </a:solidFill>
        <a:ln w="38100">
          <a:solidFill>
            <a:srgbClr val="33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571500</xdr:colOff>
      <xdr:row>31</xdr:row>
      <xdr:rowOff>44824</xdr:rowOff>
    </xdr:from>
    <xdr:to>
      <xdr:col>2</xdr:col>
      <xdr:colOff>44824</xdr:colOff>
      <xdr:row>37</xdr:row>
      <xdr:rowOff>280147</xdr:rowOff>
    </xdr:to>
    <xdr:sp macro="" textlink="">
      <xdr:nvSpPr>
        <xdr:cNvPr id="4" name="Rounded Rectangle 3"/>
        <xdr:cNvSpPr/>
      </xdr:nvSpPr>
      <xdr:spPr>
        <a:xfrm>
          <a:off x="9916018058" y="8886265"/>
          <a:ext cx="414618" cy="1983441"/>
        </a:xfrm>
        <a:prstGeom prst="roundRect">
          <a:avLst>
            <a:gd name="adj" fmla="val 43694"/>
          </a:avLst>
        </a:prstGeom>
        <a:noFill/>
        <a:ln w="38100">
          <a:solidFill>
            <a:srgbClr val="33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565899</xdr:colOff>
      <xdr:row>8</xdr:row>
      <xdr:rowOff>141194</xdr:rowOff>
    </xdr:from>
    <xdr:to>
      <xdr:col>11</xdr:col>
      <xdr:colOff>431428</xdr:colOff>
      <xdr:row>17</xdr:row>
      <xdr:rowOff>262218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280147</xdr:colOff>
      <xdr:row>24</xdr:row>
      <xdr:rowOff>11205</xdr:rowOff>
    </xdr:from>
    <xdr:to>
      <xdr:col>9</xdr:col>
      <xdr:colOff>818029</xdr:colOff>
      <xdr:row>31</xdr:row>
      <xdr:rowOff>11206</xdr:rowOff>
    </xdr:to>
    <xdr:sp macro="" textlink="">
      <xdr:nvSpPr>
        <xdr:cNvPr id="6" name="Rounded Rectangle 5"/>
        <xdr:cNvSpPr/>
      </xdr:nvSpPr>
      <xdr:spPr>
        <a:xfrm>
          <a:off x="9908655794" y="6813176"/>
          <a:ext cx="537882" cy="2039471"/>
        </a:xfrm>
        <a:prstGeom prst="roundRect">
          <a:avLst>
            <a:gd name="adj" fmla="val 50000"/>
          </a:avLst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818029</xdr:colOff>
      <xdr:row>24</xdr:row>
      <xdr:rowOff>11205</xdr:rowOff>
    </xdr:from>
    <xdr:to>
      <xdr:col>10</xdr:col>
      <xdr:colOff>414617</xdr:colOff>
      <xdr:row>31</xdr:row>
      <xdr:rowOff>11206</xdr:rowOff>
    </xdr:to>
    <xdr:sp macro="" textlink="">
      <xdr:nvSpPr>
        <xdr:cNvPr id="7" name="Rounded Rectangle 6"/>
        <xdr:cNvSpPr/>
      </xdr:nvSpPr>
      <xdr:spPr>
        <a:xfrm>
          <a:off x="9908117912" y="6813176"/>
          <a:ext cx="537882" cy="2039471"/>
        </a:xfrm>
        <a:prstGeom prst="roundRect">
          <a:avLst>
            <a:gd name="adj" fmla="val 50000"/>
          </a:avLst>
        </a:prstGeom>
        <a:solidFill>
          <a:srgbClr val="00B0F0"/>
        </a:solidFill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285750</xdr:colOff>
      <xdr:row>20</xdr:row>
      <xdr:rowOff>246528</xdr:rowOff>
    </xdr:from>
    <xdr:to>
      <xdr:col>5</xdr:col>
      <xdr:colOff>605118</xdr:colOff>
      <xdr:row>28</xdr:row>
      <xdr:rowOff>116540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156883</xdr:colOff>
      <xdr:row>10</xdr:row>
      <xdr:rowOff>56029</xdr:rowOff>
    </xdr:from>
    <xdr:to>
      <xdr:col>17</xdr:col>
      <xdr:colOff>493059</xdr:colOff>
      <xdr:row>17</xdr:row>
      <xdr:rowOff>127745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0.36941</cdr:x>
      <cdr:y>0.28513</cdr:y>
    </cdr:from>
    <cdr:to>
      <cdr:x>0.6176</cdr:x>
      <cdr:y>0.73829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34352" y="627530"/>
          <a:ext cx="963707" cy="99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0.3088</cdr:x>
      <cdr:y>0.21385</cdr:y>
    </cdr:from>
    <cdr:to>
      <cdr:x>0.6811</cdr:x>
      <cdr:y>0.71792</cdr:y>
    </cdr:to>
    <cdr:grpSp>
      <cdr:nvGrpSpPr>
        <cdr:cNvPr id="5" name="Group 4"/>
        <cdr:cNvGrpSpPr/>
      </cdr:nvGrpSpPr>
      <cdr:grpSpPr>
        <a:xfrm xmlns:a="http://schemas.openxmlformats.org/drawingml/2006/main">
          <a:off x="1263384" y="524208"/>
          <a:ext cx="1523179" cy="1235620"/>
          <a:chOff x="1199029" y="470647"/>
          <a:chExt cx="1445560" cy="1109383"/>
        </a:xfrm>
      </cdr:grpSpPr>
      <cdr:sp macro="" textlink="">
        <cdr:nvSpPr>
          <cdr:cNvPr id="3" name="TextBox 2"/>
          <cdr:cNvSpPr txBox="1"/>
        </cdr:nvSpPr>
        <cdr:spPr>
          <a:xfrm xmlns:a="http://schemas.openxmlformats.org/drawingml/2006/main">
            <a:off x="1199029" y="470647"/>
            <a:ext cx="1445560" cy="6947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 anchor="ctr"/>
          <a:lstStyle xmlns:a="http://schemas.openxmlformats.org/drawingml/2006/main"/>
          <a:p xmlns:a="http://schemas.openxmlformats.org/drawingml/2006/main">
            <a:pPr algn="ctr"/>
            <a:r>
              <a:rPr lang="fa-IR" sz="1400" b="1">
                <a:cs typeface="B Nazanin" panose="00000400000000000000" pitchFamily="2" charset="-78"/>
              </a:rPr>
              <a:t>درصد</a:t>
            </a:r>
            <a:r>
              <a:rPr lang="fa-IR" sz="1400" b="1" baseline="0">
                <a:cs typeface="B Nazanin" panose="00000400000000000000" pitchFamily="2" charset="-78"/>
              </a:rPr>
              <a:t> پیشرفت حفاری تاپ</a:t>
            </a:r>
            <a:endParaRPr lang="en-US" sz="1400" b="1">
              <a:cs typeface="B Nazanin" panose="00000400000000000000" pitchFamily="2" charset="-78"/>
            </a:endParaRPr>
          </a:p>
        </cdr:txBody>
      </cdr:sp>
      <cdr:sp macro="" textlink="حفاری!$E$8">
        <cdr:nvSpPr>
          <cdr:cNvPr id="4" name="TextBox 3"/>
          <cdr:cNvSpPr txBox="1"/>
        </cdr:nvSpPr>
        <cdr:spPr>
          <a:xfrm xmlns:a="http://schemas.openxmlformats.org/drawingml/2006/main">
            <a:off x="1501588" y="1210236"/>
            <a:ext cx="907677" cy="36979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 anchor="ctr"/>
          <a:lstStyle xmlns:a="http://schemas.openxmlformats.org/drawingml/2006/main"/>
          <a:p xmlns:a="http://schemas.openxmlformats.org/drawingml/2006/main">
            <a:pPr algn="ctr"/>
            <a:fld id="{CDA6C3A3-0EF7-4485-8E61-89542DF3C92D}" type="TxLink">
              <a:rPr lang="en-US" sz="1800" b="1" i="0" u="none" strike="noStrike">
                <a:solidFill>
                  <a:srgbClr val="000000"/>
                </a:solidFill>
                <a:latin typeface="Segoe Print" panose="02000600000000000000" pitchFamily="2" charset="0"/>
                <a:cs typeface="Zar" panose="00000400000000000000" pitchFamily="2" charset="-78"/>
              </a:rPr>
              <a:pPr algn="ctr"/>
              <a:t>46%</a:t>
            </a:fld>
            <a:endParaRPr lang="en-US" sz="1800" b="1">
              <a:latin typeface="Segoe Print" panose="02000600000000000000" pitchFamily="2" charset="0"/>
              <a:cs typeface="Zar" panose="00000400000000000000" pitchFamily="2" charset="-78"/>
            </a:endParaRPr>
          </a:p>
        </cdr:txBody>
      </cdr:sp>
    </cdr:grp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0.38235</cdr:x>
      <cdr:y>0.20997</cdr:y>
    </cdr:from>
    <cdr:to>
      <cdr:x>0.72059</cdr:x>
      <cdr:y>0.5531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48118" y="575982"/>
          <a:ext cx="1546411" cy="941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0.31333</cdr:x>
      <cdr:y>0.24947</cdr:y>
    </cdr:from>
    <cdr:to>
      <cdr:x>0.69333</cdr:x>
      <cdr:y>0.74841</cdr:y>
    </cdr:to>
    <cdr:grpSp>
      <cdr:nvGrpSpPr>
        <cdr:cNvPr id="5" name="Group 4"/>
        <cdr:cNvGrpSpPr/>
      </cdr:nvGrpSpPr>
      <cdr:grpSpPr>
        <a:xfrm xmlns:a="http://schemas.openxmlformats.org/drawingml/2006/main">
          <a:off x="1432544" y="526678"/>
          <a:ext cx="1737360" cy="1053355"/>
          <a:chOff x="1053353" y="526677"/>
          <a:chExt cx="1277471" cy="1053353"/>
        </a:xfrm>
      </cdr:grpSpPr>
      <cdr:sp macro="" textlink="">
        <cdr:nvSpPr>
          <cdr:cNvPr id="3" name="TextBox 2"/>
          <cdr:cNvSpPr txBox="1"/>
        </cdr:nvSpPr>
        <cdr:spPr>
          <a:xfrm xmlns:a="http://schemas.openxmlformats.org/drawingml/2006/main">
            <a:off x="1120589" y="526677"/>
            <a:ext cx="1086970" cy="68355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 anchor="ctr"/>
          <a:lstStyle xmlns:a="http://schemas.openxmlformats.org/drawingml/2006/main"/>
          <a:p xmlns:a="http://schemas.openxmlformats.org/drawingml/2006/main">
            <a:pPr algn="ctr"/>
            <a:r>
              <a:rPr lang="fa-IR" sz="1200" b="1">
                <a:cs typeface="B Nazanin" panose="00000400000000000000" pitchFamily="2" charset="-78"/>
              </a:rPr>
              <a:t>پیشرفت حفاری بنچ</a:t>
            </a:r>
            <a:endParaRPr lang="en-US" sz="1200" b="1">
              <a:cs typeface="B Nazanin" panose="00000400000000000000" pitchFamily="2" charset="-78"/>
            </a:endParaRPr>
          </a:p>
        </cdr:txBody>
      </cdr:sp>
      <cdr:sp macro="" textlink="حفاری!$K$8">
        <cdr:nvSpPr>
          <cdr:cNvPr id="4" name="TextBox 3"/>
          <cdr:cNvSpPr txBox="1"/>
        </cdr:nvSpPr>
        <cdr:spPr>
          <a:xfrm xmlns:a="http://schemas.openxmlformats.org/drawingml/2006/main">
            <a:off x="1053353" y="1030942"/>
            <a:ext cx="1277471" cy="54908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 anchor="ctr"/>
          <a:lstStyle xmlns:a="http://schemas.openxmlformats.org/drawingml/2006/main"/>
          <a:p xmlns:a="http://schemas.openxmlformats.org/drawingml/2006/main">
            <a:pPr algn="ctr"/>
            <a:fld id="{649DFAF5-F516-4B8B-9BCD-E1BD128F5A0E}" type="TxLink">
              <a:rPr lang="en-US" sz="1600" b="1" i="0" u="none" strike="noStrike">
                <a:solidFill>
                  <a:srgbClr val="000000"/>
                </a:solidFill>
                <a:latin typeface="Segoe Print" panose="02000600000000000000" pitchFamily="2" charset="0"/>
                <a:cs typeface="B Nazanin"/>
              </a:rPr>
              <a:pPr algn="ctr"/>
              <a:t>12%</a:t>
            </a:fld>
            <a:endParaRPr lang="en-US" sz="1600">
              <a:latin typeface="Segoe Print" panose="02000600000000000000" pitchFamily="2" charset="0"/>
            </a:endParaRPr>
          </a:p>
        </cdr:txBody>
      </cdr:sp>
    </cdr:grp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114300</xdr:rowOff>
    </xdr:from>
    <xdr:to>
      <xdr:col>12</xdr:col>
      <xdr:colOff>371475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395288</xdr:colOff>
      <xdr:row>8</xdr:row>
      <xdr:rowOff>142875</xdr:rowOff>
    </xdr:from>
    <xdr:to>
      <xdr:col>5</xdr:col>
      <xdr:colOff>90488</xdr:colOff>
      <xdr:row>23</xdr:row>
      <xdr:rowOff>28575</xdr:rowOff>
    </xdr:to>
    <xdr:grpSp>
      <xdr:nvGrpSpPr>
        <xdr:cNvPr id="3" name="Group 2"/>
        <xdr:cNvGrpSpPr/>
      </xdr:nvGrpSpPr>
      <xdr:grpSpPr>
        <a:xfrm>
          <a:off x="9984547912" y="2009775"/>
          <a:ext cx="4572000" cy="2743200"/>
          <a:chOff x="9984319312" y="1971675"/>
          <a:chExt cx="4572000" cy="2743200"/>
        </a:xfrm>
      </xdr:grpSpPr>
      <xdr:graphicFrame macro="">
        <xdr:nvGraphicFramePr>
          <xdr:cNvPr id="5" name="Chart 4"/>
          <xdr:cNvGraphicFramePr/>
        </xdr:nvGraphicFramePr>
        <xdr:xfrm>
          <a:off x="9984319312" y="19716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Oval 5"/>
          <xdr:cNvSpPr/>
        </xdr:nvSpPr>
        <xdr:spPr>
          <a:xfrm>
            <a:off x="9985457549" y="2381249"/>
            <a:ext cx="2286000" cy="2286000"/>
          </a:xfrm>
          <a:prstGeom prst="ellipse">
            <a:avLst/>
          </a:prstGeom>
          <a:noFill/>
          <a:ln w="57150">
            <a:solidFill>
              <a:srgbClr val="FF0066">
                <a:alpha val="63000"/>
              </a:srgb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0.33854</cdr:x>
      <cdr:y>0.29514</cdr:y>
    </cdr:from>
    <cdr:to>
      <cdr:x>0.65854</cdr:x>
      <cdr:y>0.82847</cdr:y>
    </cdr:to>
    <cdr:sp macro="" textlink="">
      <cdr:nvSpPr>
        <cdr:cNvPr id="2" name="Oval 1"/>
        <cdr:cNvSpPr/>
      </cdr:nvSpPr>
      <cdr:spPr>
        <a:xfrm xmlns:a="http://schemas.openxmlformats.org/drawingml/2006/main">
          <a:off x="1136673" y="607219"/>
          <a:ext cx="1074420" cy="109728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3300">
            <a:alpha val="6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0.37604</cdr:x>
      <cdr:y>0.44792</cdr:y>
    </cdr:from>
    <cdr:to>
      <cdr:x>0.60938</cdr:x>
      <cdr:y>0.65625</cdr:y>
    </cdr:to>
    <cdr:sp macro="" textlink="لاینینگ!$E$8">
      <cdr:nvSpPr>
        <cdr:cNvPr id="6" name="TextBox 5"/>
        <cdr:cNvSpPr txBox="1"/>
      </cdr:nvSpPr>
      <cdr:spPr>
        <a:xfrm xmlns:a="http://schemas.openxmlformats.org/drawingml/2006/main">
          <a:off x="1719263" y="1228725"/>
          <a:ext cx="10668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B99E18-D5B5-4A9D-8612-E0B5279BF630}" type="TxLink">
            <a:rPr lang="en-US" sz="1800" b="1" i="0" u="sng" strike="noStrike">
              <a:solidFill>
                <a:srgbClr val="000000"/>
              </a:solidFill>
              <a:latin typeface="Segoe Print" panose="02000600000000000000" pitchFamily="2" charset="0"/>
              <a:cs typeface="B Nazanin"/>
            </a:rPr>
            <a:pPr algn="ctr"/>
            <a:t>2%</a:t>
          </a:fld>
          <a:endParaRPr lang="en-US" sz="1800" u="sng">
            <a:latin typeface="Segoe Print" panose="02000600000000000000" pitchFamily="2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111125</xdr:colOff>
      <xdr:row>11</xdr:row>
      <xdr:rowOff>31750</xdr:rowOff>
    </xdr:from>
    <xdr:to>
      <xdr:col>4</xdr:col>
      <xdr:colOff>476250</xdr:colOff>
      <xdr:row>22</xdr:row>
      <xdr:rowOff>126999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7678</xdr:col>
      <xdr:colOff>485775</xdr:colOff>
      <xdr:row>8</xdr:row>
      <xdr:rowOff>0</xdr:rowOff>
    </xdr:from>
    <xdr:to>
      <xdr:col>7679</xdr:col>
      <xdr:colOff>295275</xdr:colOff>
      <xdr:row>18</xdr:row>
      <xdr:rowOff>19050</xdr:rowOff>
    </xdr:to>
    <xdr:sp macro="" textlink="">
      <xdr:nvSpPr>
        <xdr:cNvPr id="6" name="Rounded Rectangle 5"/>
        <xdr:cNvSpPr/>
      </xdr:nvSpPr>
      <xdr:spPr>
        <a:xfrm>
          <a:off x="5306272725" y="2047875"/>
          <a:ext cx="419100" cy="1924050"/>
        </a:xfrm>
        <a:prstGeom prst="roundRect">
          <a:avLst>
            <a:gd name="adj" fmla="val 39394"/>
          </a:avLst>
        </a:prstGeom>
        <a:solidFill>
          <a:srgbClr val="33CCCC"/>
        </a:solidFill>
        <a:ln>
          <a:solidFill>
            <a:srgbClr val="33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7678</xdr:col>
      <xdr:colOff>0</xdr:colOff>
      <xdr:row>8</xdr:row>
      <xdr:rowOff>47625</xdr:rowOff>
    </xdr:from>
    <xdr:to>
      <xdr:col>7678</xdr:col>
      <xdr:colOff>419100</xdr:colOff>
      <xdr:row>18</xdr:row>
      <xdr:rowOff>66675</xdr:rowOff>
    </xdr:to>
    <xdr:sp macro="" textlink="">
      <xdr:nvSpPr>
        <xdr:cNvPr id="7" name="Rounded Rectangle 6"/>
        <xdr:cNvSpPr/>
      </xdr:nvSpPr>
      <xdr:spPr>
        <a:xfrm>
          <a:off x="5306758500" y="2095500"/>
          <a:ext cx="419100" cy="1924050"/>
        </a:xfrm>
        <a:prstGeom prst="roundRect">
          <a:avLst>
            <a:gd name="adj" fmla="val 39394"/>
          </a:avLst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387818</xdr:colOff>
      <xdr:row>3</xdr:row>
      <xdr:rowOff>101413</xdr:rowOff>
    </xdr:from>
    <xdr:to>
      <xdr:col>15</xdr:col>
      <xdr:colOff>108044</xdr:colOff>
      <xdr:row>15</xdr:row>
      <xdr:rowOff>33804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0.30938</cdr:x>
      <cdr:y>0.18056</cdr:y>
    </cdr:from>
    <cdr:to>
      <cdr:x>0.68938</cdr:x>
      <cdr:y>0.81389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1414463" y="495300"/>
          <a:ext cx="1737360" cy="1737360"/>
        </a:xfrm>
        <a:prstGeom xmlns:a="http://schemas.openxmlformats.org/drawingml/2006/main" prst="ellipse">
          <a:avLst/>
        </a:prstGeom>
        <a:solidFill xmlns:a="http://schemas.openxmlformats.org/drawingml/2006/main">
          <a:srgbClr val="33CCCC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 rtl="1"/>
          <a:r>
            <a:rPr lang="fa-IR" sz="1400" baseline="0">
              <a:solidFill>
                <a:schemeClr val="tx1"/>
              </a:solidFill>
              <a:latin typeface="Segoe Print" panose="02000600000000000000" pitchFamily="2" charset="0"/>
              <a:cs typeface="B Nazanin" panose="00000400000000000000" pitchFamily="2" charset="-78"/>
            </a:rPr>
            <a:t>پیشرفت فیزیکی </a:t>
          </a:r>
        </a:p>
        <a:p xmlns:a="http://schemas.openxmlformats.org/drawingml/2006/main">
          <a:pPr algn="ctr" rtl="1"/>
          <a:r>
            <a:rPr lang="fa-IR" sz="1400" baseline="0">
              <a:solidFill>
                <a:schemeClr val="tx1"/>
              </a:solidFill>
              <a:latin typeface="Segoe Print" panose="02000600000000000000" pitchFamily="2" charset="0"/>
              <a:cs typeface="B Nazanin" panose="00000400000000000000" pitchFamily="2" charset="-78"/>
            </a:rPr>
            <a:t>عملیات خاکبرداری </a:t>
          </a:r>
        </a:p>
        <a:p xmlns:a="http://schemas.openxmlformats.org/drawingml/2006/main">
          <a:pPr algn="ctr" rtl="1"/>
          <a:r>
            <a:rPr lang="fa-IR" sz="1400" baseline="0">
              <a:solidFill>
                <a:schemeClr val="tx1"/>
              </a:solidFill>
              <a:latin typeface="Segoe Print" panose="02000600000000000000" pitchFamily="2" charset="0"/>
              <a:cs typeface="B Nazanin" panose="00000400000000000000" pitchFamily="2" charset="-78"/>
            </a:rPr>
            <a:t>کل منطقه 2</a:t>
          </a:r>
          <a:endParaRPr lang="en-US" sz="1400" baseline="0">
            <a:solidFill>
              <a:schemeClr val="tx1"/>
            </a:solidFill>
            <a:latin typeface="Segoe Print" panose="02000600000000000000" pitchFamily="2" charset="0"/>
            <a:cs typeface="B Nazanin" panose="00000400000000000000" pitchFamily="2" charset="-78"/>
          </a:endParaRPr>
        </a:p>
      </cdr:txBody>
    </cdr:sp>
  </cdr:relSizeAnchor>
  <cdr:relSizeAnchor xmlns:cdr="http://schemas.openxmlformats.org/drawingml/2006/chartDrawing">
    <cdr:from>
      <cdr:x>0.21771</cdr:x>
      <cdr:y>0.03472</cdr:y>
    </cdr:from>
    <cdr:to>
      <cdr:x>0.78013</cdr:x>
      <cdr:y>0.96528</cdr:y>
    </cdr:to>
    <cdr:sp macro="" textlink="">
      <cdr:nvSpPr>
        <cdr:cNvPr id="3" name="Oval 2"/>
        <cdr:cNvSpPr/>
      </cdr:nvSpPr>
      <cdr:spPr>
        <a:xfrm xmlns:a="http://schemas.openxmlformats.org/drawingml/2006/main">
          <a:off x="995363" y="95244"/>
          <a:ext cx="2571391" cy="255270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>
          <a:solidFill>
            <a:srgbClr val="33CCC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0.41146</cdr:x>
      <cdr:y>0.60417</cdr:y>
    </cdr:from>
    <cdr:to>
      <cdr:x>0.59479</cdr:x>
      <cdr:y>0.74653</cdr:y>
    </cdr:to>
    <cdr:sp macro="" textlink="خاکبرداری!$F$8">
      <cdr:nvSpPr>
        <cdr:cNvPr id="5" name="TextBox 4"/>
        <cdr:cNvSpPr txBox="1"/>
      </cdr:nvSpPr>
      <cdr:spPr>
        <a:xfrm xmlns:a="http://schemas.openxmlformats.org/drawingml/2006/main">
          <a:off x="1881188" y="1657350"/>
          <a:ext cx="8382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953861D-3016-43F1-8961-5AE854D401C7}" type="TxLink">
            <a:rPr lang="en-US" sz="1400" b="1" i="0" u="none" strike="noStrike">
              <a:solidFill>
                <a:srgbClr val="000000"/>
              </a:solidFill>
              <a:latin typeface="Segoe Print" panose="02000600000000000000" pitchFamily="2" charset="0"/>
              <a:cs typeface="B Nazanin"/>
            </a:rPr>
            <a:pPr algn="ctr"/>
            <a:t>26%</a:t>
          </a:fld>
          <a:endParaRPr lang="en-US" sz="1400">
            <a:latin typeface="Segoe Print" panose="02000600000000000000" pitchFamily="2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28575</xdr:rowOff>
    </xdr:from>
    <xdr:to>
      <xdr:col>13</xdr:col>
      <xdr:colOff>295275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38</xdr:row>
      <xdr:rowOff>180975</xdr:rowOff>
    </xdr:from>
    <xdr:to>
      <xdr:col>5</xdr:col>
      <xdr:colOff>419100</xdr:colOff>
      <xdr:row>49</xdr:row>
      <xdr:rowOff>0</xdr:rowOff>
    </xdr:to>
    <xdr:sp macro="" textlink="">
      <xdr:nvSpPr>
        <xdr:cNvPr id="3" name="Rounded Rectangle 2"/>
        <xdr:cNvSpPr/>
      </xdr:nvSpPr>
      <xdr:spPr>
        <a:xfrm>
          <a:off x="9985238475" y="7762875"/>
          <a:ext cx="342900" cy="1914525"/>
        </a:xfrm>
        <a:prstGeom prst="roundRect">
          <a:avLst>
            <a:gd name="adj" fmla="val 50000"/>
          </a:avLst>
        </a:prstGeom>
        <a:solidFill>
          <a:srgbClr val="00B0F0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419100</xdr:colOff>
      <xdr:row>38</xdr:row>
      <xdr:rowOff>180975</xdr:rowOff>
    </xdr:from>
    <xdr:to>
      <xdr:col>5</xdr:col>
      <xdr:colOff>762000</xdr:colOff>
      <xdr:row>49</xdr:row>
      <xdr:rowOff>0</xdr:rowOff>
    </xdr:to>
    <xdr:sp macro="" textlink="">
      <xdr:nvSpPr>
        <xdr:cNvPr id="4" name="Rounded Rectangle 3"/>
        <xdr:cNvSpPr/>
      </xdr:nvSpPr>
      <xdr:spPr>
        <a:xfrm>
          <a:off x="9984895575" y="7762875"/>
          <a:ext cx="342900" cy="1914525"/>
        </a:xfrm>
        <a:prstGeom prst="roundRect">
          <a:avLst>
            <a:gd name="adj" fmla="val 50000"/>
          </a:avLst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25</xdr:row>
      <xdr:rowOff>171450</xdr:rowOff>
    </xdr:from>
    <xdr:to>
      <xdr:col>4</xdr:col>
      <xdr:colOff>1419225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421820</xdr:colOff>
      <xdr:row>4</xdr:row>
      <xdr:rowOff>136071</xdr:rowOff>
    </xdr:from>
    <xdr:to>
      <xdr:col>18</xdr:col>
      <xdr:colOff>350884</xdr:colOff>
      <xdr:row>25</xdr:row>
      <xdr:rowOff>13607</xdr:rowOff>
    </xdr:to>
    <xdr:grpSp>
      <xdr:nvGrpSpPr>
        <xdr:cNvPr id="14" name="Group 13"/>
        <xdr:cNvGrpSpPr/>
      </xdr:nvGrpSpPr>
      <xdr:grpSpPr>
        <a:xfrm>
          <a:off x="10020901616" y="911678"/>
          <a:ext cx="8841742" cy="5578929"/>
          <a:chOff x="10020942438" y="1061357"/>
          <a:chExt cx="8841742" cy="5578929"/>
        </a:xfrm>
      </xdr:grpSpPr>
      <xdr:grpSp>
        <xdr:nvGrpSpPr>
          <xdr:cNvPr id="51" name="Group 50"/>
          <xdr:cNvGrpSpPr/>
        </xdr:nvGrpSpPr>
        <xdr:grpSpPr>
          <a:xfrm>
            <a:off x="10020942438" y="1061357"/>
            <a:ext cx="8841742" cy="5578929"/>
            <a:chOff x="10021636402" y="762000"/>
            <a:chExt cx="8841742" cy="5578929"/>
          </a:xfrm>
        </xdr:grpSpPr>
        <xdr:grpSp>
          <xdr:nvGrpSpPr>
            <xdr:cNvPr id="33" name="Group 32"/>
            <xdr:cNvGrpSpPr/>
          </xdr:nvGrpSpPr>
          <xdr:grpSpPr>
            <a:xfrm>
              <a:off x="10022710692" y="762000"/>
              <a:ext cx="5495551" cy="2725033"/>
              <a:chOff x="9898538248" y="504265"/>
              <a:chExt cx="5803980" cy="2928492"/>
            </a:xfrm>
          </xdr:grpSpPr>
          <xdr:grpSp>
            <xdr:nvGrpSpPr>
              <xdr:cNvPr id="44" name="Group 43"/>
              <xdr:cNvGrpSpPr/>
            </xdr:nvGrpSpPr>
            <xdr:grpSpPr>
              <a:xfrm>
                <a:off x="9898538248" y="711969"/>
                <a:ext cx="5803980" cy="2720788"/>
                <a:chOff x="9898605483" y="4432322"/>
                <a:chExt cx="5803980" cy="2720788"/>
              </a:xfrm>
            </xdr:grpSpPr>
            <xdr:sp macro="" textlink="">
              <xdr:nvSpPr>
                <xdr:cNvPr id="43" name="Rounded Rectangle 42"/>
                <xdr:cNvSpPr/>
              </xdr:nvSpPr>
              <xdr:spPr>
                <a:xfrm>
                  <a:off x="9899747814" y="4437529"/>
                  <a:ext cx="4661649" cy="2588559"/>
                </a:xfrm>
                <a:prstGeom prst="roundRect">
                  <a:avLst>
                    <a:gd name="adj" fmla="val 41002"/>
                  </a:avLst>
                </a:prstGeom>
                <a:noFill/>
                <a:ln>
                  <a:solidFill>
                    <a:srgbClr val="00808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r" rtl="1"/>
                  <a:endParaRPr lang="en-US" sz="1100"/>
                </a:p>
              </xdr:txBody>
            </xdr:sp>
            <xdr:grpSp>
              <xdr:nvGrpSpPr>
                <xdr:cNvPr id="42" name="Group 41"/>
                <xdr:cNvGrpSpPr/>
              </xdr:nvGrpSpPr>
              <xdr:grpSpPr>
                <a:xfrm>
                  <a:off x="9898605483" y="4432322"/>
                  <a:ext cx="5398358" cy="2720788"/>
                  <a:chOff x="9902673218" y="4577998"/>
                  <a:chExt cx="5398358" cy="2720788"/>
                </a:xfrm>
              </xdr:grpSpPr>
              <xdr:graphicFrame macro="">
                <xdr:nvGraphicFramePr>
                  <xdr:cNvPr id="4" name="Chart 3"/>
                  <xdr:cNvGraphicFramePr/>
                </xdr:nvGraphicFramePr>
                <xdr:xfrm>
                  <a:off x="9902673218" y="4577998"/>
                  <a:ext cx="4536141" cy="2720788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  <xdr:grpSp>
                <xdr:nvGrpSpPr>
                  <xdr:cNvPr id="31" name="Group 30"/>
                  <xdr:cNvGrpSpPr/>
                </xdr:nvGrpSpPr>
                <xdr:grpSpPr>
                  <a:xfrm>
                    <a:off x="9906333375" y="5197849"/>
                    <a:ext cx="1738201" cy="437029"/>
                    <a:chOff x="9979713975" y="5229225"/>
                    <a:chExt cx="1751648" cy="438150"/>
                  </a:xfrm>
                </xdr:grpSpPr>
                <xdr:sp macro="" textlink="">
                  <xdr:nvSpPr>
                    <xdr:cNvPr id="29" name="Donut 28"/>
                    <xdr:cNvSpPr/>
                  </xdr:nvSpPr>
                  <xdr:spPr>
                    <a:xfrm>
                      <a:off x="9981099863" y="5229225"/>
                      <a:ext cx="365760" cy="365760"/>
                    </a:xfrm>
                    <a:prstGeom prst="donut">
                      <a:avLst/>
                    </a:prstGeom>
                    <a:solidFill>
                      <a:srgbClr val="00B0F0"/>
                    </a:solidFill>
                    <a:ln w="285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  <xdr:sp macro="" textlink="">
                  <xdr:nvSpPr>
                    <xdr:cNvPr id="30" name="TextBox 29"/>
                    <xdr:cNvSpPr txBox="1"/>
                  </xdr:nvSpPr>
                  <xdr:spPr>
                    <a:xfrm>
                      <a:off x="9979713975" y="5248275"/>
                      <a:ext cx="1362075" cy="4191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میزان مطالبات نقد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  <xdr:grpSp>
                <xdr:nvGrpSpPr>
                  <xdr:cNvPr id="35" name="Group 34"/>
                  <xdr:cNvGrpSpPr/>
                </xdr:nvGrpSpPr>
                <xdr:grpSpPr>
                  <a:xfrm>
                    <a:off x="9906333375" y="5625353"/>
                    <a:ext cx="1738201" cy="429185"/>
                    <a:chOff x="9979713975" y="5229225"/>
                    <a:chExt cx="1751648" cy="438150"/>
                  </a:xfrm>
                </xdr:grpSpPr>
                <xdr:sp macro="" textlink="">
                  <xdr:nvSpPr>
                    <xdr:cNvPr id="36" name="Donut 35"/>
                    <xdr:cNvSpPr/>
                  </xdr:nvSpPr>
                  <xdr:spPr>
                    <a:xfrm>
                      <a:off x="9981099863" y="5229225"/>
                      <a:ext cx="365760" cy="365760"/>
                    </a:xfrm>
                    <a:prstGeom prst="donut">
                      <a:avLst/>
                    </a:prstGeom>
                    <a:solidFill>
                      <a:srgbClr val="FF7C80"/>
                    </a:solidFill>
                    <a:ln w="28575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  <xdr:sp macro="" textlink="">
                  <xdr:nvSpPr>
                    <xdr:cNvPr id="37" name="TextBox 36"/>
                    <xdr:cNvSpPr txBox="1"/>
                  </xdr:nvSpPr>
                  <xdr:spPr>
                    <a:xfrm>
                      <a:off x="9979713975" y="5248275"/>
                      <a:ext cx="1362075" cy="4191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میزان مطالبات اوراق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  <xdr:grpSp>
                <xdr:nvGrpSpPr>
                  <xdr:cNvPr id="38" name="Group 37"/>
                  <xdr:cNvGrpSpPr/>
                </xdr:nvGrpSpPr>
                <xdr:grpSpPr>
                  <a:xfrm>
                    <a:off x="9906333375" y="6045013"/>
                    <a:ext cx="1738201" cy="430866"/>
                    <a:chOff x="9979713975" y="5229225"/>
                    <a:chExt cx="1751648" cy="438150"/>
                  </a:xfrm>
                </xdr:grpSpPr>
                <xdr:sp macro="" textlink="">
                  <xdr:nvSpPr>
                    <xdr:cNvPr id="39" name="Donut 38"/>
                    <xdr:cNvSpPr/>
                  </xdr:nvSpPr>
                  <xdr:spPr>
                    <a:xfrm>
                      <a:off x="9981099863" y="5229225"/>
                      <a:ext cx="365760" cy="365760"/>
                    </a:xfrm>
                    <a:prstGeom prst="donut">
                      <a:avLst/>
                    </a:prstGeom>
                    <a:solidFill>
                      <a:srgbClr val="00CC99"/>
                    </a:solidFill>
                    <a:ln w="28575">
                      <a:solidFill>
                        <a:srgbClr val="00808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endParaRPr lang="en-US"/>
                    </a:p>
                  </xdr:txBody>
                </xdr:sp>
                <xdr:sp macro="" textlink="">
                  <xdr:nvSpPr>
                    <xdr:cNvPr id="40" name="TextBox 39"/>
                    <xdr:cNvSpPr txBox="1"/>
                  </xdr:nvSpPr>
                  <xdr:spPr>
                    <a:xfrm>
                      <a:off x="9979713975" y="5248275"/>
                      <a:ext cx="1362075" cy="41910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میزان مطالبات املاک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</xdr:grpSp>
          </xdr:grpSp>
          <xdr:sp macro="" textlink="">
            <xdr:nvSpPr>
              <xdr:cNvPr id="32" name="Rounded Rectangle 31"/>
              <xdr:cNvSpPr/>
            </xdr:nvSpPr>
            <xdr:spPr>
              <a:xfrm>
                <a:off x="9900665999" y="504265"/>
                <a:ext cx="2700618" cy="481852"/>
              </a:xfrm>
              <a:prstGeom prst="roundRect">
                <a:avLst>
                  <a:gd name="adj" fmla="val 44574"/>
                </a:avLst>
              </a:prstGeom>
              <a:solidFill>
                <a:schemeClr val="bg1">
                  <a:lumMod val="95000"/>
                </a:schemeClr>
              </a:solidFill>
              <a:ln>
                <a:solidFill>
                  <a:srgbClr val="00808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rtl="1"/>
                <a:r>
                  <a:rPr lang="fa-IR" sz="1800" b="1">
                    <a:solidFill>
                      <a:schemeClr val="tx1"/>
                    </a:solidFill>
                    <a:cs typeface="B Nazanin" panose="00000400000000000000" pitchFamily="2" charset="-78"/>
                  </a:rPr>
                  <a:t>مانده مطالبات پیمانکاران</a:t>
                </a:r>
                <a:endParaRPr lang="en-US" sz="1800" b="1">
                  <a:solidFill>
                    <a:schemeClr val="tx1"/>
                  </a:solidFill>
                  <a:cs typeface="B Nazanin" panose="00000400000000000000" pitchFamily="2" charset="-78"/>
                </a:endParaRPr>
              </a:p>
            </xdr:txBody>
          </xdr:sp>
        </xdr:grpSp>
        <xdr:grpSp>
          <xdr:nvGrpSpPr>
            <xdr:cNvPr id="50" name="Group 49"/>
            <xdr:cNvGrpSpPr/>
          </xdr:nvGrpSpPr>
          <xdr:grpSpPr>
            <a:xfrm>
              <a:off x="10021636402" y="3673929"/>
              <a:ext cx="8841742" cy="2667000"/>
              <a:chOff x="10017908045" y="5116286"/>
              <a:chExt cx="8841741" cy="2667000"/>
            </a:xfrm>
          </xdr:grpSpPr>
          <xdr:grpSp>
            <xdr:nvGrpSpPr>
              <xdr:cNvPr id="45" name="Group 44"/>
              <xdr:cNvGrpSpPr/>
            </xdr:nvGrpSpPr>
            <xdr:grpSpPr>
              <a:xfrm>
                <a:off x="10017908045" y="5319368"/>
                <a:ext cx="7481095" cy="2368363"/>
                <a:chOff x="10016384046" y="4121938"/>
                <a:chExt cx="7481095" cy="2368363"/>
              </a:xfrm>
            </xdr:grpSpPr>
            <xdr:grpSp>
              <xdr:nvGrpSpPr>
                <xdr:cNvPr id="6" name="Group 5"/>
                <xdr:cNvGrpSpPr/>
              </xdr:nvGrpSpPr>
              <xdr:grpSpPr>
                <a:xfrm>
                  <a:off x="10016384046" y="4121938"/>
                  <a:ext cx="2881880" cy="2368363"/>
                  <a:chOff x="9980961750" y="3143250"/>
                  <a:chExt cx="2867025" cy="2333624"/>
                </a:xfrm>
              </xdr:grpSpPr>
              <xdr:graphicFrame macro="">
                <xdr:nvGraphicFramePr>
                  <xdr:cNvPr id="2" name="Chart 1"/>
                  <xdr:cNvGraphicFramePr/>
                </xdr:nvGraphicFramePr>
                <xdr:xfrm>
                  <a:off x="9980961750" y="3371850"/>
                  <a:ext cx="2867025" cy="210502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  <xdr:sp macro="" textlink="$C$21">
                <xdr:nvSpPr>
                  <xdr:cNvPr id="5" name="Rounded Rectangle 4"/>
                  <xdr:cNvSpPr/>
                </xdr:nvSpPr>
                <xdr:spPr>
                  <a:xfrm>
                    <a:off x="9981504675" y="3143250"/>
                    <a:ext cx="1828800" cy="304800"/>
                  </a:xfrm>
                  <a:prstGeom prst="round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 rtl="1"/>
                    <a:fld id="{7D4DFC8F-1608-4505-BE67-94CAA50DE7FB}" type="TxLink">
                      <a:rPr lang="en-US" sz="1100" b="1" i="0" u="none" strike="noStrike">
                        <a:solidFill>
                          <a:srgbClr val="000000"/>
                        </a:solidFill>
                        <a:cs typeface="B Nazanin" panose="00000400000000000000" pitchFamily="2" charset="-78"/>
                      </a:rPr>
                      <a:pPr algn="ctr" rtl="1"/>
                      <a:t>مطالبات نقد</a:t>
                    </a:fld>
                    <a:endParaRPr lang="en-US" sz="1100" b="1">
                      <a:cs typeface="B Nazanin" panose="00000400000000000000" pitchFamily="2" charset="-78"/>
                    </a:endParaRPr>
                  </a:p>
                </xdr:txBody>
              </xdr:sp>
            </xdr:grpSp>
            <xdr:grpSp>
              <xdr:nvGrpSpPr>
                <xdr:cNvPr id="9" name="Group 8"/>
                <xdr:cNvGrpSpPr/>
              </xdr:nvGrpSpPr>
              <xdr:grpSpPr>
                <a:xfrm>
                  <a:off x="10018663548" y="4133396"/>
                  <a:ext cx="2886093" cy="2356905"/>
                  <a:chOff x="9980614087" y="2981325"/>
                  <a:chExt cx="2871216" cy="2522220"/>
                </a:xfrm>
              </xdr:grpSpPr>
              <xdr:graphicFrame macro="">
                <xdr:nvGraphicFramePr>
                  <xdr:cNvPr id="7" name="Chart 6"/>
                  <xdr:cNvGraphicFramePr/>
                </xdr:nvGraphicFramePr>
                <xdr:xfrm>
                  <a:off x="9980614087" y="3171825"/>
                  <a:ext cx="2871216" cy="233172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4"/>
                  </a:graphicData>
                </a:graphic>
              </xdr:graphicFrame>
              <xdr:sp macro="" textlink="$D$21">
                <xdr:nvSpPr>
                  <xdr:cNvPr id="8" name="Rounded Rectangle 7"/>
                  <xdr:cNvSpPr/>
                </xdr:nvSpPr>
                <xdr:spPr>
                  <a:xfrm>
                    <a:off x="9981199875" y="2981325"/>
                    <a:ext cx="1685925" cy="276225"/>
                  </a:xfrm>
                  <a:prstGeom prst="round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 rtl="1"/>
                    <a:fld id="{D0452EC5-DD9C-47E9-B374-08CA3631C0E7}" type="TxLink">
                      <a:rPr lang="fa-IR" sz="1100" b="1" i="0" u="none" strike="noStrike">
                        <a:solidFill>
                          <a:srgbClr val="000000"/>
                        </a:solidFill>
                        <a:cs typeface="B Nazanin"/>
                      </a:rPr>
                      <a:pPr algn="ctr" rtl="1"/>
                      <a:t>مطالبات اوراق</a:t>
                    </a:fld>
                    <a:endParaRPr lang="en-US" sz="1100"/>
                  </a:p>
                </xdr:txBody>
              </xdr:sp>
            </xdr:grpSp>
            <xdr:grpSp>
              <xdr:nvGrpSpPr>
                <xdr:cNvPr id="12" name="Group 11"/>
                <xdr:cNvGrpSpPr/>
              </xdr:nvGrpSpPr>
              <xdr:grpSpPr>
                <a:xfrm>
                  <a:off x="10020979048" y="4123871"/>
                  <a:ext cx="2886093" cy="2366430"/>
                  <a:chOff x="9981157012" y="4886325"/>
                  <a:chExt cx="2871216" cy="2455545"/>
                </a:xfrm>
              </xdr:grpSpPr>
              <xdr:graphicFrame macro="">
                <xdr:nvGraphicFramePr>
                  <xdr:cNvPr id="10" name="Chart 9"/>
                  <xdr:cNvGraphicFramePr/>
                </xdr:nvGraphicFramePr>
                <xdr:xfrm>
                  <a:off x="9981157012" y="5010150"/>
                  <a:ext cx="2871216" cy="233172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  <xdr:sp macro="" textlink="$E$21">
                <xdr:nvSpPr>
                  <xdr:cNvPr id="11" name="Rounded Rectangle 10"/>
                  <xdr:cNvSpPr/>
                </xdr:nvSpPr>
                <xdr:spPr>
                  <a:xfrm>
                    <a:off x="9982047600" y="4886325"/>
                    <a:ext cx="1209675" cy="266700"/>
                  </a:xfrm>
                  <a:prstGeom prst="round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 rtl="1"/>
                    <a:fld id="{A67A6C51-6F5A-4AE6-9C11-DA1DBDFF3A9D}" type="TxLink">
                      <a:rPr lang="fa-IR" sz="1100" b="1" i="0" u="none" strike="noStrike">
                        <a:solidFill>
                          <a:srgbClr val="000000"/>
                        </a:solidFill>
                        <a:cs typeface="B Nazanin"/>
                      </a:rPr>
                      <a:pPr algn="ctr" rtl="1"/>
                      <a:t>مطالبات املاک</a:t>
                    </a:fld>
                    <a:endParaRPr lang="en-US" sz="1100"/>
                  </a:p>
                </xdr:txBody>
              </xdr:sp>
            </xdr:grpSp>
          </xdr:grpSp>
          <xdr:grpSp>
            <xdr:nvGrpSpPr>
              <xdr:cNvPr id="49" name="Group 48"/>
              <xdr:cNvGrpSpPr/>
            </xdr:nvGrpSpPr>
            <xdr:grpSpPr>
              <a:xfrm>
                <a:off x="10018202900" y="5116286"/>
                <a:ext cx="8546886" cy="2667000"/>
                <a:chOff x="10018298150" y="5075465"/>
                <a:chExt cx="8546886" cy="2667000"/>
              </a:xfrm>
            </xdr:grpSpPr>
            <xdr:grpSp>
              <xdr:nvGrpSpPr>
                <xdr:cNvPr id="46" name="Group 45"/>
                <xdr:cNvGrpSpPr/>
              </xdr:nvGrpSpPr>
              <xdr:grpSpPr>
                <a:xfrm>
                  <a:off x="10024936618" y="5766668"/>
                  <a:ext cx="1731043" cy="1324350"/>
                  <a:chOff x="10026283725" y="1113026"/>
                  <a:chExt cx="1731043" cy="1324350"/>
                </a:xfrm>
              </xdr:grpSpPr>
              <xdr:grpSp>
                <xdr:nvGrpSpPr>
                  <xdr:cNvPr id="17" name="Group 16"/>
                  <xdr:cNvGrpSpPr/>
                </xdr:nvGrpSpPr>
                <xdr:grpSpPr>
                  <a:xfrm>
                    <a:off x="10026456063" y="1113026"/>
                    <a:ext cx="1558705" cy="328671"/>
                    <a:chOff x="9981409425" y="314325"/>
                    <a:chExt cx="1550670" cy="323850"/>
                  </a:xfrm>
                </xdr:grpSpPr>
                <xdr:sp macro="" textlink="">
                  <xdr:nvSpPr>
                    <xdr:cNvPr id="15" name="Donut 14"/>
                    <xdr:cNvSpPr/>
                  </xdr:nvSpPr>
                  <xdr:spPr>
                    <a:xfrm>
                      <a:off x="9982685775" y="333375"/>
                      <a:ext cx="274320" cy="274320"/>
                    </a:xfrm>
                    <a:prstGeom prst="donut">
                      <a:avLst/>
                    </a:prstGeom>
                    <a:solidFill>
                      <a:schemeClr val="bg2">
                        <a:lumMod val="25000"/>
                      </a:schemeClr>
                    </a:solidFill>
                    <a:ln w="285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r" rtl="1"/>
                      <a:endParaRPr lang="en-US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9981409425" y="314325"/>
                      <a:ext cx="1200150" cy="32385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شرکت بلند طبقه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  <xdr:grpSp>
                <xdr:nvGrpSpPr>
                  <xdr:cNvPr id="18" name="Group 17"/>
                  <xdr:cNvGrpSpPr/>
                </xdr:nvGrpSpPr>
                <xdr:grpSpPr>
                  <a:xfrm>
                    <a:off x="10026456063" y="1451364"/>
                    <a:ext cx="1558705" cy="328671"/>
                    <a:chOff x="9981409425" y="314325"/>
                    <a:chExt cx="1550670" cy="323850"/>
                  </a:xfrm>
                </xdr:grpSpPr>
                <xdr:sp macro="" textlink="">
                  <xdr:nvSpPr>
                    <xdr:cNvPr id="19" name="Donut 18"/>
                    <xdr:cNvSpPr/>
                  </xdr:nvSpPr>
                  <xdr:spPr>
                    <a:xfrm>
                      <a:off x="9982685775" y="333375"/>
                      <a:ext cx="274320" cy="274320"/>
                    </a:xfrm>
                    <a:prstGeom prst="donut">
                      <a:avLst/>
                    </a:prstGeom>
                    <a:solidFill>
                      <a:srgbClr val="0099FF"/>
                    </a:solidFill>
                    <a:ln w="28575">
                      <a:solidFill>
                        <a:srgbClr val="3366CC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r" rtl="1"/>
                      <a:endParaRPr lang="en-US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sp macro="" textlink="">
                  <xdr:nvSpPr>
                    <xdr:cNvPr id="20" name="TextBox 19"/>
                    <xdr:cNvSpPr txBox="1"/>
                  </xdr:nvSpPr>
                  <xdr:spPr>
                    <a:xfrm>
                      <a:off x="9981409425" y="314325"/>
                      <a:ext cx="1200150" cy="32385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شرکت مشارکت</a:t>
                      </a:r>
                      <a:r>
                        <a:rPr lang="fa-IR" sz="1200" baseline="0">
                          <a:cs typeface="B Nazanin" panose="00000400000000000000" pitchFamily="2" charset="-78"/>
                        </a:rPr>
                        <a:t> انصار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  <xdr:grpSp>
                <xdr:nvGrpSpPr>
                  <xdr:cNvPr id="21" name="Group 20"/>
                  <xdr:cNvGrpSpPr/>
                </xdr:nvGrpSpPr>
                <xdr:grpSpPr>
                  <a:xfrm>
                    <a:off x="10026283725" y="1780034"/>
                    <a:ext cx="1731043" cy="328671"/>
                    <a:chOff x="9981237975" y="314325"/>
                    <a:chExt cx="1722120" cy="323850"/>
                  </a:xfrm>
                </xdr:grpSpPr>
                <xdr:sp macro="" textlink="">
                  <xdr:nvSpPr>
                    <xdr:cNvPr id="22" name="Donut 21"/>
                    <xdr:cNvSpPr/>
                  </xdr:nvSpPr>
                  <xdr:spPr>
                    <a:xfrm>
                      <a:off x="9982685775" y="333375"/>
                      <a:ext cx="274320" cy="274320"/>
                    </a:xfrm>
                    <a:prstGeom prst="donut">
                      <a:avLst/>
                    </a:prstGeom>
                    <a:solidFill>
                      <a:srgbClr val="FF7C80"/>
                    </a:solidFill>
                    <a:ln w="28575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r" rtl="1"/>
                      <a:endParaRPr lang="en-US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sp macro="" textlink="">
                  <xdr:nvSpPr>
                    <xdr:cNvPr id="23" name="TextBox 22"/>
                    <xdr:cNvSpPr txBox="1"/>
                  </xdr:nvSpPr>
                  <xdr:spPr>
                    <a:xfrm>
                      <a:off x="9981237975" y="314325"/>
                      <a:ext cx="1371600" cy="32385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شرکت آبادراهان پارس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  <xdr:grpSp>
                <xdr:nvGrpSpPr>
                  <xdr:cNvPr id="24" name="Group 23"/>
                  <xdr:cNvGrpSpPr/>
                </xdr:nvGrpSpPr>
                <xdr:grpSpPr>
                  <a:xfrm>
                    <a:off x="10026456063" y="2108705"/>
                    <a:ext cx="1558705" cy="328671"/>
                    <a:chOff x="9981409425" y="314325"/>
                    <a:chExt cx="1550670" cy="323850"/>
                  </a:xfrm>
                </xdr:grpSpPr>
                <xdr:sp macro="" textlink="">
                  <xdr:nvSpPr>
                    <xdr:cNvPr id="25" name="Donut 24"/>
                    <xdr:cNvSpPr/>
                  </xdr:nvSpPr>
                  <xdr:spPr>
                    <a:xfrm>
                      <a:off x="9982685775" y="333375"/>
                      <a:ext cx="274320" cy="274320"/>
                    </a:xfrm>
                    <a:prstGeom prst="donut">
                      <a:avLst/>
                    </a:prstGeom>
                    <a:solidFill>
                      <a:srgbClr val="FFFF99"/>
                    </a:solidFill>
                    <a:ln w="28575">
                      <a:solidFill>
                        <a:srgbClr val="FFCC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r" rtl="1"/>
                      <a:endParaRPr lang="en-US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sp macro="" textlink="">
                  <xdr:nvSpPr>
                    <xdr:cNvPr id="26" name="TextBox 25"/>
                    <xdr:cNvSpPr txBox="1"/>
                  </xdr:nvSpPr>
                  <xdr:spPr>
                    <a:xfrm>
                      <a:off x="9981409425" y="314325"/>
                      <a:ext cx="1200150" cy="32385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r" rtl="1"/>
                      <a:r>
                        <a:rPr lang="fa-IR" sz="1200">
                          <a:cs typeface="B Nazanin" panose="00000400000000000000" pitchFamily="2" charset="-78"/>
                        </a:rPr>
                        <a:t>شرکت جنرال مکانیک</a:t>
                      </a:r>
                      <a:endParaRPr lang="en-US" sz="1200">
                        <a:cs typeface="B Nazanin" panose="00000400000000000000" pitchFamily="2" charset="-78"/>
                      </a:endParaRPr>
                    </a:p>
                  </xdr:txBody>
                </xdr:sp>
              </xdr:grpSp>
            </xdr:grpSp>
            <xdr:sp macro="" textlink="">
              <xdr:nvSpPr>
                <xdr:cNvPr id="34" name="Rounded Rectangle 33"/>
                <xdr:cNvSpPr/>
              </xdr:nvSpPr>
              <xdr:spPr>
                <a:xfrm>
                  <a:off x="10018298150" y="5075465"/>
                  <a:ext cx="8546886" cy="2667000"/>
                </a:xfrm>
                <a:prstGeom prst="roundRect">
                  <a:avLst/>
                </a:prstGeom>
                <a:noFill/>
                <a:ln w="38100">
                  <a:solidFill>
                    <a:srgbClr val="00808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r" rtl="1"/>
                  <a:endParaRPr lang="en-US" sz="1100"/>
                </a:p>
              </xdr:txBody>
            </xdr:sp>
          </xdr:grpSp>
        </xdr:grpSp>
      </xdr:grpSp>
      <xdr:sp macro="" textlink="">
        <xdr:nvSpPr>
          <xdr:cNvPr id="13" name="TextBox 12"/>
          <xdr:cNvSpPr txBox="1"/>
        </xdr:nvSpPr>
        <xdr:spPr>
          <a:xfrm rot="20172531">
            <a:off x="10020972001" y="1528483"/>
            <a:ext cx="2638238" cy="5222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 rtl="1"/>
            <a:r>
              <a:rPr lang="fa-IR" sz="1400" b="1">
                <a:solidFill>
                  <a:srgbClr val="0070C0"/>
                </a:solidFill>
                <a:cs typeface="B Nazanin" panose="00000400000000000000" pitchFamily="2" charset="-78"/>
              </a:rPr>
              <a:t>مبالغ بر اساس میلیون ریال می باشد.</a:t>
            </a:r>
            <a:endParaRPr lang="en-US" sz="1400" b="1">
              <a:solidFill>
                <a:srgbClr val="0070C0"/>
              </a:solidFill>
              <a:cs typeface="B Nazanin" panose="00000400000000000000" pitchFamily="2" charset="-7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17</xdr:row>
      <xdr:rowOff>159846</xdr:rowOff>
    </xdr:from>
    <xdr:to>
      <xdr:col>20</xdr:col>
      <xdr:colOff>1008608</xdr:colOff>
      <xdr:row>26</xdr:row>
      <xdr:rowOff>46586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301718</xdr:colOff>
      <xdr:row>13</xdr:row>
      <xdr:rowOff>20170</xdr:rowOff>
    </xdr:from>
    <xdr:to>
      <xdr:col>29</xdr:col>
      <xdr:colOff>260817</xdr:colOff>
      <xdr:row>20</xdr:row>
      <xdr:rowOff>255494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17</xdr:row>
      <xdr:rowOff>159846</xdr:rowOff>
    </xdr:from>
    <xdr:to>
      <xdr:col>20</xdr:col>
      <xdr:colOff>1008608</xdr:colOff>
      <xdr:row>26</xdr:row>
      <xdr:rowOff>46586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301718</xdr:colOff>
      <xdr:row>13</xdr:row>
      <xdr:rowOff>20170</xdr:rowOff>
    </xdr:from>
    <xdr:to>
      <xdr:col>29</xdr:col>
      <xdr:colOff>260817</xdr:colOff>
      <xdr:row>20</xdr:row>
      <xdr:rowOff>255494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53</xdr:row>
      <xdr:rowOff>0</xdr:rowOff>
    </xdr:from>
    <xdr:to>
      <xdr:col>24</xdr:col>
      <xdr:colOff>481853</xdr:colOff>
      <xdr:row>62</xdr:row>
      <xdr:rowOff>201706</xdr:rowOff>
    </xdr:to>
    <xdr:sp macro="" textlink="">
      <xdr:nvSpPr>
        <xdr:cNvPr id="9" name="Rounded Rectangle 8"/>
        <xdr:cNvSpPr/>
      </xdr:nvSpPr>
      <xdr:spPr>
        <a:xfrm>
          <a:off x="9900453088" y="14702118"/>
          <a:ext cx="481853" cy="2823882"/>
        </a:xfrm>
        <a:prstGeom prst="roundRect">
          <a:avLst>
            <a:gd name="adj" fmla="val 32946"/>
          </a:avLst>
        </a:prstGeom>
        <a:solidFill>
          <a:srgbClr val="009999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24</xdr:col>
      <xdr:colOff>481853</xdr:colOff>
      <xdr:row>53</xdr:row>
      <xdr:rowOff>0</xdr:rowOff>
    </xdr:from>
    <xdr:to>
      <xdr:col>25</xdr:col>
      <xdr:colOff>358588</xdr:colOff>
      <xdr:row>62</xdr:row>
      <xdr:rowOff>201706</xdr:rowOff>
    </xdr:to>
    <xdr:sp macro="" textlink="">
      <xdr:nvSpPr>
        <xdr:cNvPr id="10" name="Rounded Rectangle 9"/>
        <xdr:cNvSpPr/>
      </xdr:nvSpPr>
      <xdr:spPr>
        <a:xfrm>
          <a:off x="9899971235" y="14702118"/>
          <a:ext cx="481853" cy="2823882"/>
        </a:xfrm>
        <a:prstGeom prst="roundRect">
          <a:avLst>
            <a:gd name="adj" fmla="val 32946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26</xdr:col>
      <xdr:colOff>32902</xdr:colOff>
      <xdr:row>53</xdr:row>
      <xdr:rowOff>280147</xdr:rowOff>
    </xdr:from>
    <xdr:to>
      <xdr:col>26</xdr:col>
      <xdr:colOff>526678</xdr:colOff>
      <xdr:row>55</xdr:row>
      <xdr:rowOff>191217</xdr:rowOff>
    </xdr:to>
    <xdr:sp macro="" textlink="">
      <xdr:nvSpPr>
        <xdr:cNvPr id="11" name="Oval 10"/>
        <xdr:cNvSpPr/>
      </xdr:nvSpPr>
      <xdr:spPr>
        <a:xfrm>
          <a:off x="9899198028" y="14982265"/>
          <a:ext cx="493776" cy="493776"/>
        </a:xfrm>
        <a:prstGeom prst="ellipse">
          <a:avLst/>
        </a:prstGeom>
        <a:gradFill flip="none" rotWithShape="1">
          <a:gsLst>
            <a:gs pos="0">
              <a:srgbClr val="FFFF00"/>
            </a:gs>
            <a:gs pos="54000">
              <a:srgbClr val="FFCC00"/>
            </a:gs>
            <a:gs pos="100000">
              <a:srgbClr val="FFC000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scene3d>
          <a:camera prst="orthographicFront"/>
          <a:lightRig rig="threePt" dir="t"/>
        </a:scene3d>
        <a:sp3d>
          <a:bevelT w="165100" prst="coolSlant"/>
          <a:bevelB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251952</xdr:colOff>
      <xdr:row>0</xdr:row>
      <xdr:rowOff>233288</xdr:rowOff>
    </xdr:from>
    <xdr:to>
      <xdr:col>22</xdr:col>
      <xdr:colOff>78441</xdr:colOff>
      <xdr:row>21</xdr:row>
      <xdr:rowOff>152810</xdr:rowOff>
    </xdr:to>
    <xdr:grpSp>
      <xdr:nvGrpSpPr>
        <xdr:cNvPr id="16" name="Group 15"/>
        <xdr:cNvGrpSpPr/>
      </xdr:nvGrpSpPr>
      <xdr:grpSpPr>
        <a:xfrm>
          <a:off x="9900856500" y="233288"/>
          <a:ext cx="7087901" cy="5791404"/>
          <a:chOff x="10019338697" y="3458006"/>
          <a:chExt cx="8324370" cy="7003778"/>
        </a:xfrm>
      </xdr:grpSpPr>
      <xdr:graphicFrame macro="">
        <xdr:nvGraphicFramePr>
          <xdr:cNvPr id="3" name="Chart 2"/>
          <xdr:cNvGraphicFramePr/>
        </xdr:nvGraphicFramePr>
        <xdr:xfrm>
          <a:off x="10019348302" y="3458006"/>
          <a:ext cx="8314765" cy="35949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Chart 14"/>
          <xdr:cNvGraphicFramePr/>
        </xdr:nvGraphicFramePr>
        <xdr:xfrm>
          <a:off x="10019338697" y="7036012"/>
          <a:ext cx="8320367" cy="34257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19</xdr:col>
      <xdr:colOff>0</xdr:colOff>
      <xdr:row>55</xdr:row>
      <xdr:rowOff>14262</xdr:rowOff>
    </xdr:from>
    <xdr:to>
      <xdr:col>19</xdr:col>
      <xdr:colOff>482872</xdr:colOff>
      <xdr:row>64</xdr:row>
      <xdr:rowOff>215968</xdr:rowOff>
    </xdr:to>
    <xdr:sp macro="" textlink="">
      <xdr:nvSpPr>
        <xdr:cNvPr id="17" name="Rounded Rectangle 16"/>
        <xdr:cNvSpPr/>
      </xdr:nvSpPr>
      <xdr:spPr>
        <a:xfrm>
          <a:off x="9920150992" y="15392807"/>
          <a:ext cx="482872" cy="2851388"/>
        </a:xfrm>
        <a:prstGeom prst="roundRect">
          <a:avLst>
            <a:gd name="adj" fmla="val 32946"/>
          </a:avLst>
        </a:prstGeom>
        <a:solidFill>
          <a:srgbClr val="00CCFF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11205</xdr:colOff>
      <xdr:row>55</xdr:row>
      <xdr:rowOff>14262</xdr:rowOff>
    </xdr:from>
    <xdr:to>
      <xdr:col>20</xdr:col>
      <xdr:colOff>494077</xdr:colOff>
      <xdr:row>64</xdr:row>
      <xdr:rowOff>215968</xdr:rowOff>
    </xdr:to>
    <xdr:sp macro="" textlink="">
      <xdr:nvSpPr>
        <xdr:cNvPr id="18" name="Rounded Rectangle 17"/>
        <xdr:cNvSpPr/>
      </xdr:nvSpPr>
      <xdr:spPr>
        <a:xfrm>
          <a:off x="9919533650" y="15392807"/>
          <a:ext cx="482872" cy="2851388"/>
        </a:xfrm>
        <a:prstGeom prst="roundRect">
          <a:avLst>
            <a:gd name="adj" fmla="val 32946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21</xdr:col>
      <xdr:colOff>403714</xdr:colOff>
      <xdr:row>55</xdr:row>
      <xdr:rowOff>0</xdr:rowOff>
    </xdr:from>
    <xdr:to>
      <xdr:col>22</xdr:col>
      <xdr:colOff>292372</xdr:colOff>
      <xdr:row>56</xdr:row>
      <xdr:rowOff>205478</xdr:rowOff>
    </xdr:to>
    <xdr:sp macro="" textlink="">
      <xdr:nvSpPr>
        <xdr:cNvPr id="19" name="Oval 18"/>
        <xdr:cNvSpPr/>
      </xdr:nvSpPr>
      <xdr:spPr>
        <a:xfrm>
          <a:off x="9918523082" y="15378545"/>
          <a:ext cx="494795" cy="499888"/>
        </a:xfrm>
        <a:prstGeom prst="ellipse">
          <a:avLst/>
        </a:prstGeom>
        <a:gradFill flip="none" rotWithShape="1">
          <a:gsLst>
            <a:gs pos="0">
              <a:srgbClr val="FF9966"/>
            </a:gs>
            <a:gs pos="54000">
              <a:srgbClr val="FF3300"/>
            </a:gs>
            <a:gs pos="100000">
              <a:srgbClr val="FF0000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scene3d>
          <a:camera prst="orthographicFront"/>
          <a:lightRig rig="threePt" dir="t"/>
        </a:scene3d>
        <a:sp3d>
          <a:bevelT w="165100" prst="coolSlant"/>
          <a:bevelB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23</xdr:col>
      <xdr:colOff>82443</xdr:colOff>
      <xdr:row>0</xdr:row>
      <xdr:rowOff>215316</xdr:rowOff>
    </xdr:from>
    <xdr:to>
      <xdr:col>37</xdr:col>
      <xdr:colOff>252333</xdr:colOff>
      <xdr:row>24</xdr:row>
      <xdr:rowOff>2004</xdr:rowOff>
    </xdr:to>
    <xdr:grpSp>
      <xdr:nvGrpSpPr>
        <xdr:cNvPr id="21" name="Group 20"/>
        <xdr:cNvGrpSpPr/>
      </xdr:nvGrpSpPr>
      <xdr:grpSpPr>
        <a:xfrm>
          <a:off x="9891605843" y="215316"/>
          <a:ext cx="8641537" cy="6532629"/>
          <a:chOff x="10023435086" y="428625"/>
          <a:chExt cx="4596166" cy="5458428"/>
        </a:xfrm>
      </xdr:grpSpPr>
      <xdr:graphicFrame macro="">
        <xdr:nvGraphicFramePr>
          <xdr:cNvPr id="22" name="Chart 21"/>
          <xdr:cNvGraphicFramePr/>
        </xdr:nvGraphicFramePr>
        <xdr:xfrm>
          <a:off x="10023435086" y="428625"/>
          <a:ext cx="4593771" cy="26914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3" name="Chart 22"/>
          <xdr:cNvGraphicFramePr>
            <a:graphicFrameLocks/>
          </xdr:cNvGraphicFramePr>
        </xdr:nvGraphicFramePr>
        <xdr:xfrm>
          <a:off x="10023437481" y="3139771"/>
          <a:ext cx="4593771" cy="27472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148458</xdr:colOff>
      <xdr:row>2</xdr:row>
      <xdr:rowOff>144859</xdr:rowOff>
    </xdr:from>
    <xdr:to>
      <xdr:col>58</xdr:col>
      <xdr:colOff>108992</xdr:colOff>
      <xdr:row>23</xdr:row>
      <xdr:rowOff>62200</xdr:rowOff>
    </xdr:to>
    <xdr:grpSp>
      <xdr:nvGrpSpPr>
        <xdr:cNvPr id="3" name="Group 2"/>
        <xdr:cNvGrpSpPr/>
      </xdr:nvGrpSpPr>
      <xdr:grpSpPr>
        <a:xfrm>
          <a:off x="5775796580" y="974895"/>
          <a:ext cx="9158962" cy="5060841"/>
          <a:chOff x="5663960918" y="14116"/>
          <a:chExt cx="8909028" cy="8112040"/>
        </a:xfrm>
        <a:solidFill>
          <a:schemeClr val="bg1">
            <a:lumMod val="95000"/>
          </a:schemeClr>
        </a:solidFill>
      </xdr:grpSpPr>
      <xdr:graphicFrame macro="">
        <xdr:nvGraphicFramePr>
          <xdr:cNvPr id="2" name="Chart 1"/>
          <xdr:cNvGraphicFramePr/>
        </xdr:nvGraphicFramePr>
        <xdr:xfrm>
          <a:off x="5663963090" y="14116"/>
          <a:ext cx="8906856" cy="403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5663960918" y="4049254"/>
          <a:ext cx="8895358" cy="40769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27</xdr:col>
      <xdr:colOff>27215</xdr:colOff>
      <xdr:row>25</xdr:row>
      <xdr:rowOff>0</xdr:rowOff>
    </xdr:from>
    <xdr:to>
      <xdr:col>28</xdr:col>
      <xdr:colOff>155282</xdr:colOff>
      <xdr:row>36</xdr:row>
      <xdr:rowOff>79242</xdr:rowOff>
    </xdr:to>
    <xdr:sp macro="" textlink="">
      <xdr:nvSpPr>
        <xdr:cNvPr id="5" name="Rounded Rectangle 4"/>
        <xdr:cNvSpPr/>
      </xdr:nvSpPr>
      <xdr:spPr>
        <a:xfrm>
          <a:off x="5786363861" y="6490607"/>
          <a:ext cx="481853" cy="2773456"/>
        </a:xfrm>
        <a:prstGeom prst="roundRect">
          <a:avLst>
            <a:gd name="adj" fmla="val 32946"/>
          </a:avLst>
        </a:prstGeom>
        <a:solidFill>
          <a:srgbClr val="009999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32</xdr:col>
      <xdr:colOff>78038</xdr:colOff>
      <xdr:row>30</xdr:row>
      <xdr:rowOff>170052</xdr:rowOff>
    </xdr:from>
    <xdr:to>
      <xdr:col>33</xdr:col>
      <xdr:colOff>90012</xdr:colOff>
      <xdr:row>32</xdr:row>
      <xdr:rowOff>48430</xdr:rowOff>
    </xdr:to>
    <xdr:sp macro="" textlink="">
      <xdr:nvSpPr>
        <xdr:cNvPr id="6" name="Oval 5"/>
        <xdr:cNvSpPr/>
      </xdr:nvSpPr>
      <xdr:spPr>
        <a:xfrm>
          <a:off x="5663301806" y="7807370"/>
          <a:ext cx="358338" cy="363287"/>
        </a:xfrm>
        <a:prstGeom prst="ellipse">
          <a:avLst/>
        </a:prstGeom>
        <a:gradFill flip="none" rotWithShape="1">
          <a:gsLst>
            <a:gs pos="0">
              <a:srgbClr val="FFFF00"/>
            </a:gs>
            <a:gs pos="54000">
              <a:srgbClr val="FFCC00"/>
            </a:gs>
            <a:gs pos="100000">
              <a:srgbClr val="FFC000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scene3d>
          <a:camera prst="orthographicFront"/>
          <a:lightRig rig="threePt" dir="t"/>
        </a:scene3d>
        <a:sp3d>
          <a:bevelT w="165100" prst="coolSlant"/>
          <a:bevelB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19</xdr:col>
      <xdr:colOff>0</xdr:colOff>
      <xdr:row>27</xdr:row>
      <xdr:rowOff>95905</xdr:rowOff>
    </xdr:from>
    <xdr:to>
      <xdr:col>20</xdr:col>
      <xdr:colOff>129087</xdr:colOff>
      <xdr:row>38</xdr:row>
      <xdr:rowOff>175146</xdr:rowOff>
    </xdr:to>
    <xdr:sp macro="" textlink="">
      <xdr:nvSpPr>
        <xdr:cNvPr id="7" name="Rounded Rectangle 6"/>
        <xdr:cNvSpPr/>
      </xdr:nvSpPr>
      <xdr:spPr>
        <a:xfrm>
          <a:off x="5789424449" y="7076369"/>
          <a:ext cx="482872" cy="2773456"/>
        </a:xfrm>
        <a:prstGeom prst="roundRect">
          <a:avLst>
            <a:gd name="adj" fmla="val 32946"/>
          </a:avLst>
        </a:prstGeom>
        <a:solidFill>
          <a:srgbClr val="00CCFF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269742</xdr:colOff>
      <xdr:row>27</xdr:row>
      <xdr:rowOff>95905</xdr:rowOff>
    </xdr:from>
    <xdr:to>
      <xdr:col>21</xdr:col>
      <xdr:colOff>303578</xdr:colOff>
      <xdr:row>38</xdr:row>
      <xdr:rowOff>175146</xdr:rowOff>
    </xdr:to>
    <xdr:sp macro="" textlink="">
      <xdr:nvSpPr>
        <xdr:cNvPr id="8" name="Rounded Rectangle 7"/>
        <xdr:cNvSpPr/>
      </xdr:nvSpPr>
      <xdr:spPr>
        <a:xfrm>
          <a:off x="5788800922" y="7076369"/>
          <a:ext cx="482872" cy="2773456"/>
        </a:xfrm>
        <a:prstGeom prst="roundRect">
          <a:avLst>
            <a:gd name="adj" fmla="val 32946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272271</xdr:colOff>
      <xdr:row>0</xdr:row>
      <xdr:rowOff>0</xdr:rowOff>
    </xdr:from>
    <xdr:to>
      <xdr:col>36</xdr:col>
      <xdr:colOff>299357</xdr:colOff>
      <xdr:row>31</xdr:row>
      <xdr:rowOff>83382</xdr:rowOff>
    </xdr:to>
    <xdr:grpSp>
      <xdr:nvGrpSpPr>
        <xdr:cNvPr id="15" name="Group 14"/>
        <xdr:cNvGrpSpPr/>
      </xdr:nvGrpSpPr>
      <xdr:grpSpPr>
        <a:xfrm>
          <a:off x="5783389500" y="0"/>
          <a:ext cx="11144122" cy="8043561"/>
          <a:chOff x="5786625930" y="1864179"/>
          <a:chExt cx="8833162" cy="8043561"/>
        </a:xfrm>
      </xdr:grpSpPr>
      <xdr:grpSp>
        <xdr:nvGrpSpPr>
          <xdr:cNvPr id="11" name="Group 10"/>
          <xdr:cNvGrpSpPr/>
        </xdr:nvGrpSpPr>
        <xdr:grpSpPr>
          <a:xfrm>
            <a:off x="5786628056" y="1864179"/>
            <a:ext cx="8831036" cy="3875316"/>
            <a:chOff x="5785308162" y="4218214"/>
            <a:chExt cx="8831036" cy="3875316"/>
          </a:xfrm>
          <a:solidFill>
            <a:schemeClr val="bg2"/>
          </a:solidFill>
        </xdr:grpSpPr>
        <xdr:graphicFrame macro="">
          <xdr:nvGraphicFramePr>
            <xdr:cNvPr id="9" name="Chart 8"/>
            <xdr:cNvGraphicFramePr/>
          </xdr:nvGraphicFramePr>
          <xdr:xfrm>
            <a:off x="5785308162" y="4422321"/>
            <a:ext cx="8831036" cy="36712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0" name="Rounded Rectangle 9"/>
            <xdr:cNvSpPr/>
          </xdr:nvSpPr>
          <xdr:spPr>
            <a:xfrm>
              <a:off x="5788496262" y="4218214"/>
              <a:ext cx="2803071" cy="530679"/>
            </a:xfrm>
            <a:prstGeom prst="roundRect">
              <a:avLst/>
            </a:prstGeom>
            <a:grp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rtl="1"/>
              <a:r>
                <a:rPr lang="fa-IR" sz="2000" b="1">
                  <a:solidFill>
                    <a:schemeClr val="tx1"/>
                  </a:solidFill>
                  <a:cs typeface="B Nazanin" panose="00000400000000000000" pitchFamily="2" charset="-78"/>
                </a:rPr>
                <a:t>حفاری</a:t>
              </a:r>
              <a:r>
                <a:rPr lang="fa-IR" sz="2000" b="1" baseline="0">
                  <a:solidFill>
                    <a:schemeClr val="tx1"/>
                  </a:solidFill>
                  <a:cs typeface="B Nazanin" panose="00000400000000000000" pitchFamily="2" charset="-78"/>
                </a:rPr>
                <a:t> تاپ قطعه </a:t>
              </a:r>
              <a:r>
                <a:rPr lang="en-US" sz="18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B2</a:t>
              </a:r>
              <a:endPara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14" name="Group 13"/>
          <xdr:cNvGrpSpPr/>
        </xdr:nvGrpSpPr>
        <xdr:grpSpPr>
          <a:xfrm>
            <a:off x="5786625930" y="5810251"/>
            <a:ext cx="8833104" cy="4097489"/>
            <a:chOff x="5787417215" y="5551714"/>
            <a:chExt cx="8833104" cy="4097489"/>
          </a:xfrm>
        </xdr:grpSpPr>
        <xdr:graphicFrame macro="">
          <xdr:nvGraphicFramePr>
            <xdr:cNvPr id="12" name="Chart 11"/>
            <xdr:cNvGraphicFramePr/>
          </xdr:nvGraphicFramePr>
          <xdr:xfrm>
            <a:off x="5787417215" y="5772147"/>
            <a:ext cx="8833104" cy="387705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Rounded Rectangle 12"/>
            <xdr:cNvSpPr/>
          </xdr:nvSpPr>
          <xdr:spPr>
            <a:xfrm>
              <a:off x="5790321691" y="5551714"/>
              <a:ext cx="3088821" cy="557893"/>
            </a:xfrm>
            <a:prstGeom prst="roundRect">
              <a:avLst/>
            </a:prstGeom>
            <a:solidFill>
              <a:schemeClr val="bg2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rtl="1"/>
              <a:r>
                <a:rPr lang="fa-IR" sz="2000" b="1">
                  <a:solidFill>
                    <a:schemeClr val="tx1"/>
                  </a:solidFill>
                  <a:cs typeface="B Nazanin" panose="00000400000000000000" pitchFamily="2" charset="-78"/>
                </a:rPr>
                <a:t>حفاری بنچ قطعه </a:t>
              </a:r>
              <a:r>
                <a:rPr 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B2</a:t>
              </a:r>
              <a:endPara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324972</xdr:colOff>
      <xdr:row>0</xdr:row>
      <xdr:rowOff>44823</xdr:rowOff>
    </xdr:from>
    <xdr:to>
      <xdr:col>26</xdr:col>
      <xdr:colOff>593913</xdr:colOff>
      <xdr:row>25</xdr:row>
      <xdr:rowOff>147918</xdr:rowOff>
    </xdr:to>
    <xdr:grpSp>
      <xdr:nvGrpSpPr>
        <xdr:cNvPr id="4" name="Group 3"/>
        <xdr:cNvGrpSpPr/>
      </xdr:nvGrpSpPr>
      <xdr:grpSpPr>
        <a:xfrm>
          <a:off x="14113954499" y="44823"/>
          <a:ext cx="4583205" cy="5907742"/>
          <a:chOff x="14126000824" y="197224"/>
          <a:chExt cx="4583205" cy="5493124"/>
        </a:xfrm>
        <a:solidFill>
          <a:schemeClr val="bg1"/>
        </a:solidFill>
      </xdr:grpSpPr>
      <xdr:graphicFrame macro="">
        <xdr:nvGraphicFramePr>
          <xdr:cNvPr id="2" name="Chart 1"/>
          <xdr:cNvGraphicFramePr/>
        </xdr:nvGraphicFramePr>
        <xdr:xfrm>
          <a:off x="14126012029" y="19722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14126000824" y="294714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18</xdr:col>
      <xdr:colOff>463879</xdr:colOff>
      <xdr:row>28</xdr:row>
      <xdr:rowOff>0</xdr:rowOff>
    </xdr:from>
    <xdr:to>
      <xdr:col>19</xdr:col>
      <xdr:colOff>79823</xdr:colOff>
      <xdr:row>40</xdr:row>
      <xdr:rowOff>71819</xdr:rowOff>
    </xdr:to>
    <xdr:sp macro="" textlink="">
      <xdr:nvSpPr>
        <xdr:cNvPr id="5" name="Rounded Rectangle 4"/>
        <xdr:cNvSpPr/>
      </xdr:nvSpPr>
      <xdr:spPr>
        <a:xfrm>
          <a:off x="14170522449" y="6494318"/>
          <a:ext cx="481853" cy="2773456"/>
        </a:xfrm>
        <a:prstGeom prst="roundRect">
          <a:avLst>
            <a:gd name="adj" fmla="val 32946"/>
          </a:avLst>
        </a:prstGeom>
        <a:solidFill>
          <a:srgbClr val="009999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551813</xdr:colOff>
      <xdr:row>34</xdr:row>
      <xdr:rowOff>43877</xdr:rowOff>
    </xdr:from>
    <xdr:to>
      <xdr:col>21</xdr:col>
      <xdr:colOff>51664</xdr:colOff>
      <xdr:row>35</xdr:row>
      <xdr:rowOff>186975</xdr:rowOff>
    </xdr:to>
    <xdr:sp macro="" textlink="">
      <xdr:nvSpPr>
        <xdr:cNvPr id="6" name="Oval 5"/>
        <xdr:cNvSpPr/>
      </xdr:nvSpPr>
      <xdr:spPr>
        <a:xfrm>
          <a:off x="14168818790" y="7889013"/>
          <a:ext cx="365760" cy="368235"/>
        </a:xfrm>
        <a:prstGeom prst="ellipse">
          <a:avLst/>
        </a:prstGeom>
        <a:gradFill flip="none" rotWithShape="1">
          <a:gsLst>
            <a:gs pos="0">
              <a:srgbClr val="FFFF00"/>
            </a:gs>
            <a:gs pos="54000">
              <a:srgbClr val="FFCC00"/>
            </a:gs>
            <a:gs pos="100000">
              <a:srgbClr val="FFC000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scene3d>
          <a:camera prst="orthographicFront"/>
          <a:lightRig rig="threePt" dir="t"/>
        </a:scene3d>
        <a:sp3d>
          <a:bevelT w="165100" prst="coolSlant"/>
          <a:bevelB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0</xdr:colOff>
      <xdr:row>30</xdr:row>
      <xdr:rowOff>135489</xdr:rowOff>
    </xdr:from>
    <xdr:to>
      <xdr:col>15</xdr:col>
      <xdr:colOff>482872</xdr:colOff>
      <xdr:row>42</xdr:row>
      <xdr:rowOff>207309</xdr:rowOff>
    </xdr:to>
    <xdr:sp macro="" textlink="">
      <xdr:nvSpPr>
        <xdr:cNvPr id="7" name="Rounded Rectangle 6"/>
        <xdr:cNvSpPr/>
      </xdr:nvSpPr>
      <xdr:spPr>
        <a:xfrm>
          <a:off x="14173583037" y="7080080"/>
          <a:ext cx="482872" cy="2773456"/>
        </a:xfrm>
        <a:prstGeom prst="roundRect">
          <a:avLst>
            <a:gd name="adj" fmla="val 32946"/>
          </a:avLst>
        </a:prstGeom>
        <a:solidFill>
          <a:srgbClr val="00CCFF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623527</xdr:colOff>
      <xdr:row>30</xdr:row>
      <xdr:rowOff>135489</xdr:rowOff>
    </xdr:from>
    <xdr:to>
      <xdr:col>16</xdr:col>
      <xdr:colOff>240490</xdr:colOff>
      <xdr:row>42</xdr:row>
      <xdr:rowOff>207309</xdr:rowOff>
    </xdr:to>
    <xdr:sp macro="" textlink="">
      <xdr:nvSpPr>
        <xdr:cNvPr id="8" name="Rounded Rectangle 7"/>
        <xdr:cNvSpPr/>
      </xdr:nvSpPr>
      <xdr:spPr>
        <a:xfrm>
          <a:off x="14172959510" y="7080080"/>
          <a:ext cx="482872" cy="2773456"/>
        </a:xfrm>
        <a:prstGeom prst="roundRect">
          <a:avLst>
            <a:gd name="adj" fmla="val 32946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696108</xdr:colOff>
      <xdr:row>0</xdr:row>
      <xdr:rowOff>44824</xdr:rowOff>
    </xdr:from>
    <xdr:to>
      <xdr:col>13</xdr:col>
      <xdr:colOff>596783</xdr:colOff>
      <xdr:row>24</xdr:row>
      <xdr:rowOff>176784</xdr:rowOff>
    </xdr:to>
    <xdr:grpSp>
      <xdr:nvGrpSpPr>
        <xdr:cNvPr id="16" name="Group 15"/>
        <xdr:cNvGrpSpPr/>
      </xdr:nvGrpSpPr>
      <xdr:grpSpPr>
        <a:xfrm>
          <a:off x="14125168717" y="44824"/>
          <a:ext cx="5077792" cy="5712489"/>
          <a:chOff x="14130188952" y="705971"/>
          <a:chExt cx="5077792" cy="5712489"/>
        </a:xfrm>
      </xdr:grpSpPr>
      <xdr:grpSp>
        <xdr:nvGrpSpPr>
          <xdr:cNvPr id="13" name="Group 12"/>
          <xdr:cNvGrpSpPr/>
        </xdr:nvGrpSpPr>
        <xdr:grpSpPr>
          <a:xfrm>
            <a:off x="14130188952" y="705971"/>
            <a:ext cx="5077792" cy="2843645"/>
            <a:chOff x="14130179088" y="705971"/>
            <a:chExt cx="5077792" cy="2843645"/>
          </a:xfrm>
        </xdr:grpSpPr>
        <xdr:graphicFrame macro="">
          <xdr:nvGraphicFramePr>
            <xdr:cNvPr id="9" name="Chart 8"/>
            <xdr:cNvGraphicFramePr/>
          </xdr:nvGraphicFramePr>
          <xdr:xfrm>
            <a:off x="14130179088" y="885265"/>
            <a:ext cx="5077792" cy="26643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2" name="Rounded Rectangle 11"/>
            <xdr:cNvSpPr/>
          </xdr:nvSpPr>
          <xdr:spPr>
            <a:xfrm>
              <a:off x="14131502912" y="705971"/>
              <a:ext cx="2263588" cy="459441"/>
            </a:xfrm>
            <a:prstGeom prst="roundRect">
              <a:avLst/>
            </a:prstGeom>
            <a:solidFill>
              <a:schemeClr val="bg2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rtl="1"/>
              <a:r>
                <a:rPr lang="fa-IR" sz="1600" b="1">
                  <a:solidFill>
                    <a:schemeClr val="tx1"/>
                  </a:solidFill>
                  <a:cs typeface="B Nazanin" panose="00000400000000000000" pitchFamily="2" charset="-78"/>
                </a:rPr>
                <a:t>حفاری</a:t>
              </a:r>
              <a:r>
                <a:rPr lang="fa-IR" sz="1600" b="1" baseline="0">
                  <a:solidFill>
                    <a:schemeClr val="tx1"/>
                  </a:solidFill>
                  <a:cs typeface="B Nazanin" panose="00000400000000000000" pitchFamily="2" charset="-78"/>
                </a:rPr>
                <a:t> تاپ قطعه </a:t>
              </a:r>
              <a:r>
                <a:rPr lang="en-US" sz="14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C2</a:t>
              </a:r>
              <a:endPara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15" name="Group 14"/>
          <xdr:cNvGrpSpPr/>
        </xdr:nvGrpSpPr>
        <xdr:grpSpPr>
          <a:xfrm>
            <a:off x="14130191824" y="3574676"/>
            <a:ext cx="5074920" cy="2843784"/>
            <a:chOff x="14130147000" y="3832412"/>
            <a:chExt cx="5104279" cy="2873188"/>
          </a:xfrm>
        </xdr:grpSpPr>
        <xdr:graphicFrame macro="">
          <xdr:nvGraphicFramePr>
            <xdr:cNvPr id="11" name="Chart 10"/>
            <xdr:cNvGraphicFramePr/>
          </xdr:nvGraphicFramePr>
          <xdr:xfrm>
            <a:off x="14130147000" y="3962400"/>
            <a:ext cx="510427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4" name="Rounded Rectangle 13"/>
            <xdr:cNvSpPr/>
          </xdr:nvSpPr>
          <xdr:spPr>
            <a:xfrm>
              <a:off x="14131637382" y="3832412"/>
              <a:ext cx="2185147" cy="403412"/>
            </a:xfrm>
            <a:prstGeom prst="roundRect">
              <a:avLst/>
            </a:prstGeom>
            <a:solidFill>
              <a:schemeClr val="bg2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rtl="1"/>
              <a:r>
                <a:rPr lang="fa-IR" sz="1400" b="1">
                  <a:solidFill>
                    <a:schemeClr val="tx1"/>
                  </a:solidFill>
                  <a:cs typeface="B Nazanin" panose="00000400000000000000" pitchFamily="2" charset="-78"/>
                </a:rPr>
                <a:t>حفاری</a:t>
              </a:r>
              <a:r>
                <a:rPr lang="fa-IR" sz="1400" b="1" baseline="0">
                  <a:solidFill>
                    <a:schemeClr val="tx1"/>
                  </a:solidFill>
                  <a:cs typeface="B Nazanin" panose="00000400000000000000" pitchFamily="2" charset="-78"/>
                </a:rPr>
                <a:t> بنچ قطعه </a:t>
              </a:r>
              <a:r>
                <a:rPr lang="en-US" sz="14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C2</a:t>
              </a:r>
              <a:endPara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14849</xdr:colOff>
      <xdr:row>0</xdr:row>
      <xdr:rowOff>44825</xdr:rowOff>
    </xdr:from>
    <xdr:to>
      <xdr:col>16</xdr:col>
      <xdr:colOff>351584</xdr:colOff>
      <xdr:row>29</xdr:row>
      <xdr:rowOff>50988</xdr:rowOff>
    </xdr:to>
    <xdr:grpSp>
      <xdr:nvGrpSpPr>
        <xdr:cNvPr id="4" name="Group 3"/>
        <xdr:cNvGrpSpPr/>
      </xdr:nvGrpSpPr>
      <xdr:grpSpPr>
        <a:xfrm>
          <a:off x="9904214063" y="44825"/>
          <a:ext cx="5177676" cy="6057339"/>
          <a:chOff x="9905704445" y="58405"/>
          <a:chExt cx="4785471" cy="5487946"/>
        </a:xfrm>
        <a:solidFill>
          <a:schemeClr val="bg1">
            <a:lumMod val="95000"/>
          </a:schemeClr>
        </a:solidFill>
      </xdr:grpSpPr>
      <xdr:graphicFrame macro="">
        <xdr:nvGraphicFramePr>
          <xdr:cNvPr id="2" name="Chart 1"/>
          <xdr:cNvGraphicFramePr/>
        </xdr:nvGraphicFramePr>
        <xdr:xfrm>
          <a:off x="9905720413" y="58405"/>
          <a:ext cx="4769503" cy="27420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9905704445" y="2801471"/>
          <a:ext cx="4769503" cy="2744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36018</xdr:colOff>
      <xdr:row>42</xdr:row>
      <xdr:rowOff>0</xdr:rowOff>
    </xdr:from>
    <xdr:to>
      <xdr:col>12</xdr:col>
      <xdr:colOff>517871</xdr:colOff>
      <xdr:row>56</xdr:row>
      <xdr:rowOff>106456</xdr:rowOff>
    </xdr:to>
    <xdr:sp macro="" textlink="">
      <xdr:nvSpPr>
        <xdr:cNvPr id="5" name="Rounded Rectangle 4"/>
        <xdr:cNvSpPr/>
      </xdr:nvSpPr>
      <xdr:spPr>
        <a:xfrm>
          <a:off x="9906468246" y="8527676"/>
          <a:ext cx="481853" cy="2773456"/>
        </a:xfrm>
        <a:prstGeom prst="roundRect">
          <a:avLst>
            <a:gd name="adj" fmla="val 32946"/>
          </a:avLst>
        </a:prstGeom>
        <a:solidFill>
          <a:srgbClr val="009999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15</xdr:col>
      <xdr:colOff>40417</xdr:colOff>
      <xdr:row>49</xdr:row>
      <xdr:rowOff>61195</xdr:rowOff>
    </xdr:from>
    <xdr:to>
      <xdr:col>15</xdr:col>
      <xdr:colOff>406177</xdr:colOff>
      <xdr:row>51</xdr:row>
      <xdr:rowOff>48430</xdr:rowOff>
    </xdr:to>
    <xdr:sp macro="" textlink="">
      <xdr:nvSpPr>
        <xdr:cNvPr id="6" name="Oval 5"/>
        <xdr:cNvSpPr/>
      </xdr:nvSpPr>
      <xdr:spPr>
        <a:xfrm>
          <a:off x="9904764587" y="9922371"/>
          <a:ext cx="365760" cy="368235"/>
        </a:xfrm>
        <a:prstGeom prst="ellipse">
          <a:avLst/>
        </a:prstGeom>
        <a:gradFill flip="none" rotWithShape="1">
          <a:gsLst>
            <a:gs pos="0">
              <a:srgbClr val="FFFF00"/>
            </a:gs>
            <a:gs pos="54000">
              <a:srgbClr val="FFCC00"/>
            </a:gs>
            <a:gs pos="100000">
              <a:srgbClr val="FFC000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scene3d>
          <a:camera prst="orthographicFront"/>
          <a:lightRig rig="threePt" dir="t"/>
        </a:scene3d>
        <a:sp3d>
          <a:bevelT w="165100" prst="coolSlant"/>
          <a:bevelB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0</xdr:colOff>
      <xdr:row>45</xdr:row>
      <xdr:rowOff>14262</xdr:rowOff>
    </xdr:from>
    <xdr:to>
      <xdr:col>7</xdr:col>
      <xdr:colOff>482872</xdr:colOff>
      <xdr:row>59</xdr:row>
      <xdr:rowOff>120718</xdr:rowOff>
    </xdr:to>
    <xdr:sp macro="" textlink="">
      <xdr:nvSpPr>
        <xdr:cNvPr id="7" name="Rounded Rectangle 6"/>
        <xdr:cNvSpPr/>
      </xdr:nvSpPr>
      <xdr:spPr>
        <a:xfrm>
          <a:off x="9909528834" y="9113438"/>
          <a:ext cx="482872" cy="2773456"/>
        </a:xfrm>
        <a:prstGeom prst="roundRect">
          <a:avLst>
            <a:gd name="adj" fmla="val 32946"/>
          </a:avLst>
        </a:prstGeom>
        <a:solidFill>
          <a:srgbClr val="00CCFF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18409</xdr:colOff>
      <xdr:row>45</xdr:row>
      <xdr:rowOff>14262</xdr:rowOff>
    </xdr:from>
    <xdr:to>
      <xdr:col>8</xdr:col>
      <xdr:colOff>501281</xdr:colOff>
      <xdr:row>59</xdr:row>
      <xdr:rowOff>120718</xdr:rowOff>
    </xdr:to>
    <xdr:sp macro="" textlink="">
      <xdr:nvSpPr>
        <xdr:cNvPr id="8" name="Rounded Rectangle 7"/>
        <xdr:cNvSpPr/>
      </xdr:nvSpPr>
      <xdr:spPr>
        <a:xfrm>
          <a:off x="9908905307" y="9113438"/>
          <a:ext cx="482872" cy="2773456"/>
        </a:xfrm>
        <a:prstGeom prst="roundRect">
          <a:avLst>
            <a:gd name="adj" fmla="val 32946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526675</xdr:colOff>
      <xdr:row>0</xdr:row>
      <xdr:rowOff>120462</xdr:rowOff>
    </xdr:from>
    <xdr:to>
      <xdr:col>17</xdr:col>
      <xdr:colOff>515469</xdr:colOff>
      <xdr:row>14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107060</xdr:colOff>
      <xdr:row>1</xdr:row>
      <xdr:rowOff>95250</xdr:rowOff>
    </xdr:from>
    <xdr:to>
      <xdr:col>14</xdr:col>
      <xdr:colOff>238124</xdr:colOff>
      <xdr:row>16</xdr:row>
      <xdr:rowOff>38862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</xdr:colOff>
      <xdr:row>2</xdr:row>
      <xdr:rowOff>161925</xdr:rowOff>
    </xdr:from>
    <xdr:to>
      <xdr:col>20</xdr:col>
      <xdr:colOff>419100</xdr:colOff>
      <xdr:row>12</xdr:row>
      <xdr:rowOff>161925</xdr:rowOff>
    </xdr:to>
    <xdr:sp macro="" textlink="">
      <xdr:nvSpPr>
        <xdr:cNvPr id="3" name="Rounded Rectangle 2"/>
        <xdr:cNvSpPr/>
      </xdr:nvSpPr>
      <xdr:spPr>
        <a:xfrm>
          <a:off x="9973856100" y="542925"/>
          <a:ext cx="361950" cy="2171700"/>
        </a:xfrm>
        <a:prstGeom prst="roundRect">
          <a:avLst>
            <a:gd name="adj" fmla="val 50000"/>
          </a:avLst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419100</xdr:colOff>
      <xdr:row>2</xdr:row>
      <xdr:rowOff>161925</xdr:rowOff>
    </xdr:from>
    <xdr:to>
      <xdr:col>21</xdr:col>
      <xdr:colOff>171450</xdr:colOff>
      <xdr:row>12</xdr:row>
      <xdr:rowOff>161925</xdr:rowOff>
    </xdr:to>
    <xdr:sp macro="" textlink="">
      <xdr:nvSpPr>
        <xdr:cNvPr id="4" name="Rounded Rectangle 3"/>
        <xdr:cNvSpPr/>
      </xdr:nvSpPr>
      <xdr:spPr>
        <a:xfrm>
          <a:off x="9973494150" y="542925"/>
          <a:ext cx="361950" cy="2171700"/>
        </a:xfrm>
        <a:prstGeom prst="roundRect">
          <a:avLst>
            <a:gd name="adj" fmla="val 50000"/>
          </a:avLst>
        </a:prstGeom>
        <a:solidFill>
          <a:srgbClr val="00B050"/>
        </a:solidFill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b/B2%20&#1588;&#1585;&#1602;&#174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c/C2%20&#1588;&#1585;&#1602;&#174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D/&#1711;&#1586;&#1575;&#1585;&#1588;%20&#1605;&#1575;&#1607;&#1575;&#1606;&#1607;%20&#1602;&#1591;&#1593;&#1607;%20D%20&#1576;&#1575;&#1606;&#1583;%20&#1588;&#1585;&#1602;&#174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b/B2%20&#1594;&#1585;&#1576;&#174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c/C2%20&#1594;&#1585;&#1576;&#174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0-%20RRM003/Monthly/&#1601;&#1575;&#1740;&#1604;%20&#1607;&#1575;&#1740;%20&#1606;&#1607;&#1575;&#1740;&#1740;/&#1711;&#1586;&#1575;&#1585;&#1588;&#1575;&#1578;%20&#1605;&#1575;&#1607;&#1575;&#1606;&#1607;/D/&#1711;&#1586;&#1575;&#1585;&#1588;%20&#1605;&#1575;&#1607;&#1575;&#1606;&#1607;%20&#1602;&#1591;&#1593;&#1607;%20D%20&#1576;&#1575;&#1606;&#1583;%20&#1594;&#1585;&#1576;&#174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Report_Lots%20A&amp;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Report_Lots%20B&amp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نطقه دو"/>
      <sheetName val="خلاصه عملکرد قطعه B2"/>
      <sheetName val="خلاصه وضعیت تملک"/>
      <sheetName val="قبل از تونل 24"/>
      <sheetName val="بین تونلهای 24 و 25"/>
      <sheetName val="تملک بین تونل های 25 و 26"/>
      <sheetName val="تملک بین تونل های 26 و 27"/>
      <sheetName val="تملک بین تونلهای 27 و 30"/>
      <sheetName val="تملک بین تونلهای 30 و 31"/>
      <sheetName val="تملک بین بین تونلهای 31 و 32"/>
      <sheetName val="تملک بین تونلهای 32 و 33"/>
      <sheetName val="تملک بین تونلهای 33 و 33-1"/>
      <sheetName val="خلاصه وضعیت مطالعات"/>
      <sheetName val="مطالعات تونل"/>
      <sheetName val="مطالعات پل"/>
      <sheetName val="مطالعات گالری"/>
      <sheetName val="مطالعات دیوار"/>
      <sheetName val="مطالعات آبرو"/>
      <sheetName val="مطالعات عملیات خاکی"/>
      <sheetName val="اجرای زیرسازی"/>
      <sheetName val="تجهیز و برچیدن"/>
      <sheetName val="خلاصه وضعیت تونل ها"/>
      <sheetName val="خلاصه وضعیت تونل ها (2)"/>
      <sheetName val="تونل 24 راست"/>
      <sheetName val="تونل 25 راست"/>
      <sheetName val="تونل 26 راست"/>
      <sheetName val="تونل 27  راست"/>
      <sheetName val="تونل 27  تا 30 راست "/>
      <sheetName val="تونل 31 راست"/>
      <sheetName val="تونل 1-31 راست"/>
      <sheetName val="تونل 2-31 راست"/>
      <sheetName val="تونل 32 راست"/>
      <sheetName val="تونل 33 راست"/>
      <sheetName val="تونل 1-33 راست"/>
      <sheetName val="خلاصه گالری ها"/>
      <sheetName val="خلاصه وضعیت گالری ها"/>
      <sheetName val="گالری بین 1-23 و 24 راست  "/>
      <sheetName val="گالری ورودی تونل 24 راست  "/>
      <sheetName val="گالری خروجی تونل 24 راست"/>
      <sheetName val="گالری ورودی تونل 25 راست"/>
      <sheetName val="گالری  خروجی  تونل 25 راست"/>
      <sheetName val="گالری ورودی 26 راست"/>
      <sheetName val="گالری خروجی 26 راست"/>
      <sheetName val="گالری ورودی 27 راست "/>
      <sheetName val="گالری خروجی 27 راست "/>
      <sheetName val="گالری ورودی تونل 30 راست"/>
      <sheetName val="گالری خروجی تونل 30 راست"/>
      <sheetName val="گالری ورودی تونل 31  راست"/>
      <sheetName val="گالری خروجی تونل 31 راست"/>
      <sheetName val="گالری ورودی تونل 1-31 راست "/>
      <sheetName val="گالری خروجی تونل 1-31 راست"/>
      <sheetName val="گالری بین تونل 2-31 و 1-31"/>
      <sheetName val="گالری ورودی تونل 2-31  راست"/>
      <sheetName val="گالری خروجی تونل 2-31  راست"/>
      <sheetName val="گالری ورودی تونل 32  راست"/>
      <sheetName val="گالری خروجی تونل 32 راست"/>
      <sheetName val="گالری ورودی تونل 33 راست"/>
      <sheetName val="گالری خروجی تونل 33 راست"/>
      <sheetName val="گالری خروجی تونل 1-33 راست"/>
      <sheetName val="پل 27"/>
      <sheetName val="گالری ورودی تونل 1-33 راست"/>
      <sheetName val="خلاصه وضعیت پل ها"/>
      <sheetName val="پل بعد از تونل 1-23 شرقی"/>
      <sheetName val="پل قبل از تونل 24 راست"/>
      <sheetName val="پل بین تونل 24 و 25 راست"/>
      <sheetName val="بین تونل 26 و 27 راست (پل 23)"/>
      <sheetName val="پل واریانت"/>
      <sheetName val="بین تونل 30 و 31 راست(پل 24)"/>
      <sheetName val="خلاصه وضعیت دیوارها"/>
      <sheetName val="بین پل 23 و تونل 27 شرقی"/>
      <sheetName val="بین تونل 31-1 و 31-2 شرقی"/>
      <sheetName val="بین تونل 31-2 و 32 شرقی"/>
      <sheetName val="بین تونل 1-33 و 33 شرقی"/>
      <sheetName val="بین تونل 33-1 و 33شرقی "/>
      <sheetName val="خلاصه وضعیت آبرو"/>
      <sheetName val="خلاصه وضعیت عملیات خاکی"/>
      <sheetName val=" مسیر بین تونل 25 و 26 راست"/>
      <sheetName val="مسیر بین تونل 26 و پل 23 راست "/>
      <sheetName val="مسیر بین پل 23 و تونل 27 "/>
      <sheetName val=" مسیربین تونل 1-31 و 31 شرقی"/>
      <sheetName val=" تونل 1-31 و گالری 27متری"/>
      <sheetName val=" گالری 27متری و تونل 2-31"/>
      <sheetName val=" مسیربین تونل 2-31 و 32 راست"/>
      <sheetName val="مسیر بین تونل 33 و32 راست"/>
      <sheetName val="مسیر بین تونل 33 و 1-33 راس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25">
          <cell r="G25">
            <v>314500</v>
          </cell>
          <cell r="H25"/>
        </row>
        <row r="26">
          <cell r="G26">
            <v>84031</v>
          </cell>
          <cell r="H26"/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نطقه دو"/>
      <sheetName val="خلاصه عملکرد قطعه C2"/>
      <sheetName val="خلاصه وضعیت تملک"/>
      <sheetName val="تملک بین تونل 1-33و 34"/>
      <sheetName val="تملک بین تونل 34 و 35"/>
      <sheetName val="تملک بین تونل 35 و 36"/>
      <sheetName val="خلاصه وضعیت مطالعات"/>
      <sheetName val="مطالعات تونل"/>
      <sheetName val="مطالعات پل"/>
      <sheetName val="مطالعات گالری"/>
      <sheetName val="مطالعات عملیات خاکی"/>
      <sheetName val="اجرای زیرسازی"/>
      <sheetName val="تجهیز و برچیدن"/>
      <sheetName val="خلاصه وضعیت تونل ها"/>
      <sheetName val="خلاصه وضعیت تونل ها (2)"/>
      <sheetName val="34R"/>
      <sheetName val="35R"/>
      <sheetName val="36R"/>
      <sheetName val="خلاصه وضعیت گالری ها"/>
      <sheetName val="خلاصه گالری ها"/>
      <sheetName val="گالری ورودی  تونل 34 راست"/>
      <sheetName val="گالری خروجی34 تا ورودی35 راست"/>
      <sheetName val="گالری خروجی تونل 35 راست"/>
      <sheetName val="گالری ورودی  تونل   36 راست"/>
      <sheetName val="گالری خروجی  تونل  36 راست"/>
      <sheetName val="خلاصه وضعیت پل ها"/>
      <sheetName val="پل 27 راست"/>
      <sheetName val="پل بین تونل های 36 و 37 راست"/>
      <sheetName val="خلاصه وضعیت عملیات خاکی"/>
      <sheetName val="بین تونل 35 شرقی و پل 27 شرقی"/>
      <sheetName val="بین پل 27 شرقی و  تونل 36 شرقی"/>
      <sheetName val="بین پل 50 متری و انتهای قطع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9">
          <cell r="G19">
            <v>46338</v>
          </cell>
        </row>
      </sheetData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لد"/>
      <sheetName val="سر برگ"/>
      <sheetName val="خلاصه اطلاعات پروژه"/>
      <sheetName val="خلاصه عملکرد قطعه D2 کلی"/>
      <sheetName val="خلاصه عملکرد قطعه D2"/>
      <sheetName val="خلاصه عملکرد قطعه D2 شرقی"/>
      <sheetName val="خلاصه وضعیت تملک"/>
      <sheetName val="تملک قبل از تونل 37"/>
      <sheetName val="تملک بین تونل 37 و 38"/>
      <sheetName val="تملک بین تونل 39 و A-39"/>
      <sheetName val="خلاصه وضعیت مطالعات"/>
      <sheetName val="مطالعات تونل"/>
      <sheetName val="مطالعات گالری"/>
      <sheetName val="مطالعات پل"/>
      <sheetName val="مطالعات دیوار"/>
      <sheetName val="مطالعات آبرو"/>
      <sheetName val="مطالعات عملیات خاکی"/>
      <sheetName val="اجرای زیرسازی"/>
      <sheetName val="تجهیز و برچیدن"/>
      <sheetName val="خلاصه وضعیت تونل ها"/>
      <sheetName val="خلاصه  تونل ها"/>
      <sheetName val="E37"/>
      <sheetName val="E38"/>
      <sheetName val="E38-1"/>
      <sheetName val="E39"/>
      <sheetName val="E39-A"/>
      <sheetName val="E39-1"/>
      <sheetName val="خلاصه وضعیت گالری ها"/>
      <sheetName val="خلاصه گالری ها"/>
      <sheetName val="گالری تونل 37 شرقی جنوبی"/>
      <sheetName val="گالری تونل 37 شرقی شمالی"/>
      <sheetName val="گالری تونل 38 شرقی جنوبی"/>
      <sheetName val="گالری تونل 38 شرقی شمالی"/>
      <sheetName val="گالری تونل 1-38 شرقی جنوبی"/>
      <sheetName val="گالری تونل 1-38 شرقی شمالی"/>
      <sheetName val="گالری تونل 39 شرقی جنوبی"/>
      <sheetName val="گالری تونل 39 شرقی شمالی"/>
      <sheetName val="گالری تونل 39A شرقی جنوبی"/>
      <sheetName val="گالری تونل 39A شرقی شمالی"/>
      <sheetName val="گالری تونل 1-39 شرقی جنوبی"/>
      <sheetName val="گالری تونل 1-39 شرقی شمالی"/>
      <sheetName val="بهمن گیر بعد از تونل 1-39 شرقی"/>
      <sheetName val="خلاصه وضعیت پل ها"/>
      <sheetName val="پل 30 - شرقی"/>
      <sheetName val="پل  31 - شرقی "/>
      <sheetName val="پل32-شرقی"/>
      <sheetName val="پل33-شرقی"/>
      <sheetName val="پل34-شرقی"/>
      <sheetName val="پل 36-شرقی"/>
      <sheetName val="خلاصه وضعیت دیوارها"/>
      <sheetName val="خلاصه دیوارها"/>
      <sheetName val="دیوار قبل از تونل 37 -شرقی"/>
      <sheetName val="دیوار بین تونل 37 و 38-شرقی"/>
      <sheetName val="دیوار بین تونل 38 و 38-1-شرقی"/>
      <sheetName val="دیوار بین تونل 38-1 و 39-شرقی"/>
      <sheetName val="دیوار بعد از تونل 39-1-شرقی"/>
      <sheetName val="خلاصه وضعیت آبرو"/>
      <sheetName val="خلاصه وضعیت عملیات خاکی"/>
      <sheetName val="مسیر بین تونل 37 و 38-شرقی"/>
      <sheetName val="مسیر بین تونل 38 و 38-1-شرقی"/>
      <sheetName val="مسیر بین تونل 1-38 و 39-شرقی"/>
      <sheetName val="مسیر بین تونل 39 و 39A-شرقی"/>
      <sheetName val="مسیر بین تونل 39A و 1-39 شرقی"/>
      <sheetName val="مسیر بعد از تونل 1-39 شرقی"/>
      <sheetName val="نیروی انسانی"/>
      <sheetName val="ماشین آلات"/>
      <sheetName val="تصاویر پروژه"/>
      <sheetName val="مشکلات"/>
      <sheetName val="مصالح"/>
      <sheetName val="مکاتب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22">
          <cell r="G22">
            <v>48659.53</v>
          </cell>
          <cell r="H22"/>
        </row>
        <row r="23">
          <cell r="G23">
            <v>17698.16</v>
          </cell>
          <cell r="H23"/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نطقه دو"/>
      <sheetName val="خلاصه عملکرد قطعه B2"/>
      <sheetName val="خلاصه وضعیت تملک"/>
      <sheetName val="قبل از تونل 24"/>
      <sheetName val="بین تونلهای 24 و 25"/>
      <sheetName val="تملک بین تونل های 25 و 26"/>
      <sheetName val="تملک بین تونل های 26 و 27"/>
      <sheetName val="تملک بین تونلهای 27 و 30"/>
      <sheetName val="تملک بین تونلهای 30 و 31"/>
      <sheetName val="تملک بین بین تونلهای 31 و 32"/>
      <sheetName val="تملک بین تونلهای 32 و 33"/>
      <sheetName val="تملک بین تونلهای 33 و 33-1"/>
      <sheetName val="خلاصه وضعیت مطالعات"/>
      <sheetName val="مطالعات تونل"/>
      <sheetName val="مطالعات گالری"/>
      <sheetName val="مطالعات پل"/>
      <sheetName val="مطالعات آبرو"/>
      <sheetName val="مطالعات عملیات خاکی"/>
      <sheetName val="اجرای زیرسازی"/>
      <sheetName val="تجهیز و برچیدن"/>
      <sheetName val="خلاصه وضعیت تونل ها"/>
      <sheetName val="خلاصه وضعیت تونل ها (2)"/>
      <sheetName val="تونل 1-23 چپ"/>
      <sheetName val="تونل 24 چپ"/>
      <sheetName val="تونل 25 چپ"/>
      <sheetName val="تونل 26 چپ"/>
      <sheetName val="تونل 27 چپ"/>
      <sheetName val="تونل 28 چپ"/>
      <sheetName val="تونل 29 چپ"/>
      <sheetName val="تونل 30  چپ"/>
      <sheetName val="تونل 31 چپ"/>
      <sheetName val="تونل 1-31 چپ"/>
      <sheetName val="تونل 2-31 چپ"/>
      <sheetName val="تونل 32 چپ"/>
      <sheetName val="تونل 33 چپ"/>
      <sheetName val="خلاصه گالری ها"/>
      <sheetName val="خلاصه وضعیت گالری ها"/>
      <sheetName val="گالری ورودی 1-23 چپ"/>
      <sheetName val="گالری بین تونل23-1 و 24 غربی"/>
      <sheetName val="گالری بین تونل 24 و 25غربی"/>
      <sheetName val="گالری  خروجی  تونل 25 چپ"/>
      <sheetName val="گالری ورودی 26 چپ"/>
      <sheetName val="گالری خروجی 26 چپ"/>
      <sheetName val="گالری ورودی تونل 27 چپ"/>
      <sheetName val="گالری بین تونل 27 و 28 غربی"/>
      <sheetName val="گالری خروجی تونل 28 چپ"/>
      <sheetName val="گالری ورودی تونل 29 چپ"/>
      <sheetName val="گالری بین تونل 29 و 30 چپ"/>
      <sheetName val="گالری خروجی تونل 30  چپ"/>
      <sheetName val="گالری ورودی تونل 31  چپ"/>
      <sheetName val="گالری خروجی تونل 31 چپ"/>
      <sheetName val="گالری  شمالی تونل 1-31 چپ "/>
      <sheetName val="گالری  خروجی تونل 1-31 چپ"/>
      <sheetName val="گالری مستقل"/>
      <sheetName val="گالری بین تونل 1-31 و 2-31 چپ "/>
      <sheetName val="گالری ورودی تونل 2-31  چپ"/>
      <sheetName val="گالری بین تونل 32 و 31-2 غربی"/>
      <sheetName val="گالری خروجی تونل 32 چپ"/>
      <sheetName val="گالری ورودی تونل 33 چپ"/>
      <sheetName val="گالری خروجی تونل 33 چپ"/>
      <sheetName val="پل 27"/>
      <sheetName val="خلاصه وضعیت پل ها"/>
      <sheetName val="بین تونل 26 و 27 چپ (پل 23)"/>
      <sheetName val="بین تونل 30 و 31 چپ (پل 24)"/>
      <sheetName val="بین تونل 32 و 33 غربی (پل 25)"/>
      <sheetName val="خلاصه وضعیت آبرو"/>
      <sheetName val="خلاصه وضعیت عملیات خاکی"/>
      <sheetName val="مسیر بین تونل 25 و 26 چپ"/>
      <sheetName val="مسیر بین تونل 26 و پل 37 چپ"/>
      <sheetName val="بین پل 37 و تونل 27 غربی"/>
      <sheetName val="بین تونل 28 و 29 غربی"/>
      <sheetName val="بین تونل 31 و 1-31 غربی"/>
      <sheetName val="مسیر بین تونل 31-1و گالری مستقل"/>
      <sheetName val="بین گالری های مستقل غربی"/>
      <sheetName val="مسیر بین گالری مستقل و 31-2"/>
      <sheetName val="بین تونل32 و 33غربی"/>
      <sheetName val="مسیر بین تونل33 و انته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26">
          <cell r="G26">
            <v>375857</v>
          </cell>
          <cell r="H26"/>
        </row>
        <row r="27">
          <cell r="G27">
            <v>217058</v>
          </cell>
          <cell r="H27"/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نطقه دو"/>
      <sheetName val="خلاصه عملکرد قطعه C2"/>
      <sheetName val="خلاصه وضعیت تملک"/>
      <sheetName val="تملک بین تونل 34 و 35"/>
      <sheetName val="تملک بین تونل 35 و 36"/>
      <sheetName val="خلاصه وضعیت مطالعات"/>
      <sheetName val="مطالعات تونل"/>
      <sheetName val="مطالعات پل"/>
      <sheetName val="مطالعات گالری"/>
      <sheetName val="مطالعات عملیات خاکی"/>
      <sheetName val="اجرای زیرسازی"/>
      <sheetName val="تجهیز و برچیدن"/>
      <sheetName val="خلاصه وضعیت تونل ها"/>
      <sheetName val="خلاصه وضعیت تونل ها (2)"/>
      <sheetName val="33-1L"/>
      <sheetName val="34L"/>
      <sheetName val="35L"/>
      <sheetName val="36L"/>
      <sheetName val="خلاصه وضعیت گالری ها"/>
      <sheetName val="خلاصه گالری ها"/>
      <sheetName val="گالری ورودی  تونل 1-33چپ"/>
      <sheetName val="گالری خروجی 33-1 تا ورودی 34 چپ"/>
      <sheetName val="گالری خروجی34  تا ورودی 35 چپ"/>
      <sheetName val="گالری خروجی  تونل 35  چپ"/>
      <sheetName val="گالری ورودی  تونل 36 چپ"/>
      <sheetName val="گالری خروجی  تونل 36 چپ"/>
      <sheetName val="خلاصه وضعیت پل ها"/>
      <sheetName val="پل 27 چپ"/>
      <sheetName val="خلاصه وضعیت عملیات خاکی"/>
      <sheetName val="مسیر بین تونل 35و پل 27 غربی"/>
      <sheetName val="مسیر بین پل 27 و تونل 36 غربی"/>
      <sheetName val="مسیر بین تونل 36 انتهای قطع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9">
          <cell r="G19">
            <v>61590</v>
          </cell>
          <cell r="H19"/>
        </row>
        <row r="20">
          <cell r="G20">
            <v>6805</v>
          </cell>
          <cell r="H20"/>
        </row>
      </sheetData>
      <sheetData sheetId="29"/>
      <sheetData sheetId="30"/>
      <sheetData sheetId="3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لد"/>
      <sheetName val="سر برگ "/>
      <sheetName val="خلاصه اطلاعات پروژه"/>
      <sheetName val="خلاصه عملکرد قطعه D2 کلی"/>
      <sheetName val="خلاصه عملکرد قطعه D2"/>
      <sheetName val="خلاصه عملکرد قطعه D2 غربی"/>
      <sheetName val="خلاصه وضعیت تملک"/>
      <sheetName val="تملک قبل از تونل 37"/>
      <sheetName val="تملک بین تونل 37 و 38"/>
      <sheetName val="تملک بین تونل 39 و A-39"/>
      <sheetName val="خلاصه وضعیت مطالعات"/>
      <sheetName val="مطالعات تونل"/>
      <sheetName val="مطالعات گالری"/>
      <sheetName val="مطالعات پل"/>
      <sheetName val="مطالعات دیوار"/>
      <sheetName val="مطالعات آبرو"/>
      <sheetName val="مطالعات عملیات خاکی"/>
      <sheetName val="اجرای زیرسازی"/>
      <sheetName val="تجهیز و برچیدن"/>
      <sheetName val="خلاصه وضعیت تونل ها"/>
      <sheetName val="خلاصه  تونل ها"/>
      <sheetName val="W37"/>
      <sheetName val="W38"/>
      <sheetName val="W38-1"/>
      <sheetName val="W39"/>
      <sheetName val="W39-A"/>
      <sheetName val="W39-1"/>
      <sheetName val="خلاصه وضعیت گالری ها"/>
      <sheetName val="خلاصه گالری ها"/>
      <sheetName val="گالری تونل 37 غربی جنوبی"/>
      <sheetName val="گالری تونل 37 غربی شمالی"/>
      <sheetName val="گالری تونل 38 غربی جنوبی"/>
      <sheetName val="گالری تونل 38 غربی شمالی"/>
      <sheetName val="گالری تونل 1-38 غربی جنوبی"/>
      <sheetName val="گالری تونل 1-38 غربی شمالی"/>
      <sheetName val="گالری تونل 39 غربی جنوبی"/>
      <sheetName val="گالری تونل 39 غربی شمالی"/>
      <sheetName val="گالری تونل 39A غربی جنوبی"/>
      <sheetName val="گالری تونل 39A غربی شمالی"/>
      <sheetName val="گالری تونل 1-39 غربی جنوبی"/>
      <sheetName val="گالری تونل 1-39 غربی شمالی"/>
      <sheetName val="گالری بهمن گیر بعد از تونل 1-39"/>
      <sheetName val="خلاصه وضعیت پل ها"/>
      <sheetName val="پل 30 - غربی"/>
      <sheetName val="پل 31 - غربی"/>
      <sheetName val="پل 32-غربی"/>
      <sheetName val="پل33-غربی"/>
      <sheetName val="پل 34-غربی"/>
      <sheetName val="پل 36-غربی"/>
      <sheetName val="خلاصه وضعیت دیوارها"/>
      <sheetName val="خلاصه دیوارها"/>
      <sheetName val="دیوار بین تونل 37 و 38-غربی"/>
      <sheetName val="دیوار بین تونل 38 و 1-38غربی"/>
      <sheetName val="دیوار بین تونل 38-1 و 39-غربی"/>
      <sheetName val="دیوار بین تونل 39-1 و 39A-غربی"/>
      <sheetName val="دیوار بعد از تونل 39-1 -غربی"/>
      <sheetName val="خلاصه وضعیت آبرو"/>
      <sheetName val="خلاصه وضعیت عملیات خاکی"/>
      <sheetName val="مسیر بین تونل 37 و 38  غربی"/>
      <sheetName val="مسیر بین تونل 38 و 38-1-غربی"/>
      <sheetName val="مسیر بین تونل 1-38 و39-غربی"/>
      <sheetName val="مسیر بین تونل 39 و 39A-غربی"/>
      <sheetName val="مسیر بین تونل 39A و 1-39-غربی"/>
      <sheetName val="مسیر بعد از تونل 1-39 غربی"/>
      <sheetName val="نیروی انسانی"/>
      <sheetName val="ماشین آلات"/>
      <sheetName val="تصاویر پروژه"/>
      <sheetName val="مشکلات"/>
      <sheetName val="مصالح"/>
      <sheetName val="مکاتب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6">
          <cell r="E26">
            <v>283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9">
          <cell r="F19">
            <v>243.51999999999998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22">
          <cell r="G22">
            <v>54924.22</v>
          </cell>
          <cell r="H22"/>
        </row>
        <row r="23">
          <cell r="G23">
            <v>12411.689999999999</v>
          </cell>
          <cell r="H23"/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D2"/>
    </sheetNames>
    <sheetDataSet>
      <sheetData sheetId="0">
        <row r="4">
          <cell r="D4">
            <v>74</v>
          </cell>
          <cell r="G4">
            <v>74</v>
          </cell>
          <cell r="K4">
            <v>60</v>
          </cell>
          <cell r="O4">
            <v>47.3</v>
          </cell>
        </row>
        <row r="5">
          <cell r="D5">
            <v>47</v>
          </cell>
          <cell r="G5">
            <v>47</v>
          </cell>
          <cell r="K5">
            <v>42</v>
          </cell>
          <cell r="O5">
            <v>36</v>
          </cell>
        </row>
        <row r="6">
          <cell r="D6">
            <v>247</v>
          </cell>
          <cell r="G6">
            <v>247</v>
          </cell>
          <cell r="K6">
            <v>241</v>
          </cell>
          <cell r="O6">
            <v>0</v>
          </cell>
        </row>
        <row r="7">
          <cell r="D7">
            <v>250</v>
          </cell>
          <cell r="G7">
            <v>250</v>
          </cell>
          <cell r="K7">
            <v>236</v>
          </cell>
          <cell r="O7">
            <v>0</v>
          </cell>
        </row>
        <row r="8">
          <cell r="D8">
            <v>322</v>
          </cell>
          <cell r="G8">
            <v>32.799999999999997</v>
          </cell>
          <cell r="K8">
            <v>0</v>
          </cell>
          <cell r="O8">
            <v>0</v>
          </cell>
        </row>
        <row r="9">
          <cell r="D9">
            <v>315</v>
          </cell>
          <cell r="G9">
            <v>20.5</v>
          </cell>
          <cell r="K9">
            <v>0</v>
          </cell>
          <cell r="O9">
            <v>0</v>
          </cell>
        </row>
        <row r="10">
          <cell r="D10">
            <v>230</v>
          </cell>
          <cell r="G10">
            <v>0</v>
          </cell>
          <cell r="K10">
            <v>0</v>
          </cell>
          <cell r="O10">
            <v>0</v>
          </cell>
        </row>
        <row r="11">
          <cell r="D11">
            <v>231</v>
          </cell>
          <cell r="G11">
            <v>0</v>
          </cell>
          <cell r="K11">
            <v>0</v>
          </cell>
          <cell r="O11">
            <v>0</v>
          </cell>
        </row>
        <row r="12">
          <cell r="D12">
            <v>910</v>
          </cell>
          <cell r="G12">
            <v>494</v>
          </cell>
          <cell r="K12">
            <v>30</v>
          </cell>
          <cell r="O12">
            <v>0</v>
          </cell>
        </row>
        <row r="13">
          <cell r="D13">
            <v>895</v>
          </cell>
          <cell r="G13">
            <v>493.00000000000006</v>
          </cell>
          <cell r="K13">
            <v>0</v>
          </cell>
          <cell r="O13">
            <v>0</v>
          </cell>
        </row>
        <row r="14">
          <cell r="D14">
            <v>100</v>
          </cell>
          <cell r="G14">
            <v>103.9</v>
          </cell>
          <cell r="K14">
            <v>0</v>
          </cell>
          <cell r="O14">
            <v>0</v>
          </cell>
        </row>
        <row r="15">
          <cell r="D15">
            <v>90.4</v>
          </cell>
          <cell r="G15">
            <v>90.400000000000034</v>
          </cell>
          <cell r="K15">
            <v>40</v>
          </cell>
          <cell r="O15">
            <v>0</v>
          </cell>
        </row>
      </sheetData>
      <sheetData sheetId="1">
        <row r="4">
          <cell r="D4">
            <v>120</v>
          </cell>
          <cell r="G4">
            <v>0</v>
          </cell>
          <cell r="K4">
            <v>0</v>
          </cell>
          <cell r="O4">
            <v>0</v>
          </cell>
        </row>
        <row r="5">
          <cell r="D5">
            <v>40</v>
          </cell>
          <cell r="G5">
            <v>0</v>
          </cell>
          <cell r="K5">
            <v>0</v>
          </cell>
          <cell r="O5">
            <v>0</v>
          </cell>
        </row>
        <row r="6">
          <cell r="D6">
            <v>197</v>
          </cell>
          <cell r="G6">
            <v>0</v>
          </cell>
          <cell r="K6">
            <v>0</v>
          </cell>
          <cell r="O6">
            <v>0</v>
          </cell>
        </row>
        <row r="7">
          <cell r="D7">
            <v>180</v>
          </cell>
          <cell r="G7">
            <v>0</v>
          </cell>
          <cell r="K7">
            <v>0</v>
          </cell>
          <cell r="O7">
            <v>0</v>
          </cell>
        </row>
        <row r="8">
          <cell r="D8">
            <v>158.91999999999999</v>
          </cell>
          <cell r="G8">
            <v>54.000000000000007</v>
          </cell>
          <cell r="K8">
            <v>0</v>
          </cell>
          <cell r="O8">
            <v>0</v>
          </cell>
        </row>
        <row r="9">
          <cell r="D9">
            <v>130</v>
          </cell>
          <cell r="G9">
            <v>0</v>
          </cell>
          <cell r="K9">
            <v>0</v>
          </cell>
          <cell r="O9">
            <v>0</v>
          </cell>
        </row>
        <row r="10">
          <cell r="D10">
            <v>512</v>
          </cell>
          <cell r="G10">
            <v>512</v>
          </cell>
          <cell r="K10">
            <v>204</v>
          </cell>
          <cell r="O10">
            <v>0</v>
          </cell>
        </row>
        <row r="11">
          <cell r="D11">
            <v>506</v>
          </cell>
          <cell r="G11">
            <v>506</v>
          </cell>
          <cell r="K11">
            <v>0</v>
          </cell>
          <cell r="O11">
            <v>0</v>
          </cell>
        </row>
        <row r="12">
          <cell r="D12">
            <v>480</v>
          </cell>
          <cell r="G12">
            <v>0</v>
          </cell>
          <cell r="K12">
            <v>0</v>
          </cell>
          <cell r="O12">
            <v>0</v>
          </cell>
        </row>
        <row r="13">
          <cell r="D13">
            <v>465</v>
          </cell>
          <cell r="G13">
            <v>0</v>
          </cell>
          <cell r="K13">
            <v>0</v>
          </cell>
          <cell r="O13">
            <v>0</v>
          </cell>
        </row>
        <row r="14">
          <cell r="D14">
            <v>397.7</v>
          </cell>
          <cell r="G14">
            <v>160.5</v>
          </cell>
          <cell r="K14">
            <v>0</v>
          </cell>
          <cell r="O14">
            <v>0</v>
          </cell>
        </row>
        <row r="15">
          <cell r="D15">
            <v>394</v>
          </cell>
          <cell r="G15">
            <v>318.7</v>
          </cell>
          <cell r="K15">
            <v>50</v>
          </cell>
          <cell r="O15">
            <v>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"/>
      <sheetName val="C2"/>
    </sheetNames>
    <sheetDataSet>
      <sheetData sheetId="0">
        <row r="7">
          <cell r="G7">
            <v>40</v>
          </cell>
          <cell r="J7">
            <v>0</v>
          </cell>
          <cell r="M7">
            <v>0</v>
          </cell>
        </row>
        <row r="8">
          <cell r="G8">
            <v>11</v>
          </cell>
          <cell r="J8">
            <v>0</v>
          </cell>
          <cell r="M8">
            <v>0</v>
          </cell>
        </row>
        <row r="9">
          <cell r="G9">
            <v>262</v>
          </cell>
          <cell r="J9">
            <v>262</v>
          </cell>
          <cell r="M9">
            <v>0</v>
          </cell>
        </row>
        <row r="10">
          <cell r="G10">
            <v>195</v>
          </cell>
          <cell r="J10">
            <v>195</v>
          </cell>
          <cell r="M10">
            <v>0</v>
          </cell>
        </row>
        <row r="11">
          <cell r="G11">
            <v>378.9</v>
          </cell>
          <cell r="J11">
            <v>361.5</v>
          </cell>
          <cell r="M11">
            <v>0</v>
          </cell>
        </row>
        <row r="12">
          <cell r="G12">
            <v>388.3</v>
          </cell>
          <cell r="J12">
            <v>24</v>
          </cell>
          <cell r="M12">
            <v>0</v>
          </cell>
        </row>
        <row r="13">
          <cell r="G13">
            <v>466.3</v>
          </cell>
          <cell r="J13">
            <v>0</v>
          </cell>
          <cell r="M13">
            <v>0</v>
          </cell>
        </row>
        <row r="14">
          <cell r="G14">
            <v>149.5</v>
          </cell>
          <cell r="J14">
            <v>0</v>
          </cell>
          <cell r="M14">
            <v>0</v>
          </cell>
        </row>
        <row r="15">
          <cell r="G15">
            <v>69</v>
          </cell>
          <cell r="J15">
            <v>69</v>
          </cell>
          <cell r="M15">
            <v>0</v>
          </cell>
        </row>
        <row r="16">
          <cell r="G16">
            <v>121</v>
          </cell>
          <cell r="J16">
            <v>121</v>
          </cell>
          <cell r="M16">
            <v>0</v>
          </cell>
        </row>
        <row r="17">
          <cell r="G17">
            <v>304</v>
          </cell>
          <cell r="J17">
            <v>74</v>
          </cell>
          <cell r="M17">
            <v>0</v>
          </cell>
        </row>
        <row r="18">
          <cell r="G18">
            <v>167</v>
          </cell>
          <cell r="J18">
            <v>0</v>
          </cell>
          <cell r="M18">
            <v>0</v>
          </cell>
        </row>
        <row r="19">
          <cell r="G19">
            <v>157.5</v>
          </cell>
          <cell r="J19">
            <v>0</v>
          </cell>
          <cell r="M19">
            <v>0</v>
          </cell>
        </row>
        <row r="20">
          <cell r="G20">
            <v>0</v>
          </cell>
          <cell r="J20">
            <v>0</v>
          </cell>
          <cell r="M20">
            <v>0</v>
          </cell>
        </row>
        <row r="21">
          <cell r="G21">
            <v>0</v>
          </cell>
          <cell r="J21">
            <v>0</v>
          </cell>
          <cell r="M21">
            <v>0</v>
          </cell>
        </row>
        <row r="22">
          <cell r="G22">
            <v>0</v>
          </cell>
          <cell r="J22">
            <v>0</v>
          </cell>
          <cell r="M22">
            <v>0</v>
          </cell>
        </row>
        <row r="23">
          <cell r="G23">
            <v>0</v>
          </cell>
          <cell r="J23">
            <v>0</v>
          </cell>
          <cell r="M23">
            <v>0</v>
          </cell>
        </row>
        <row r="24">
          <cell r="G24">
            <v>0</v>
          </cell>
          <cell r="J24">
            <v>0</v>
          </cell>
          <cell r="M24">
            <v>0</v>
          </cell>
        </row>
        <row r="25">
          <cell r="G25">
            <v>0</v>
          </cell>
          <cell r="J25">
            <v>0</v>
          </cell>
          <cell r="M25">
            <v>0</v>
          </cell>
        </row>
        <row r="26">
          <cell r="G26">
            <v>0</v>
          </cell>
          <cell r="J26">
            <v>0</v>
          </cell>
          <cell r="M26">
            <v>0</v>
          </cell>
        </row>
        <row r="27">
          <cell r="G27">
            <v>0</v>
          </cell>
          <cell r="J27">
            <v>0</v>
          </cell>
          <cell r="M27">
            <v>0</v>
          </cell>
        </row>
        <row r="28">
          <cell r="G28">
            <v>0</v>
          </cell>
          <cell r="J28">
            <v>0</v>
          </cell>
          <cell r="M28">
            <v>0</v>
          </cell>
        </row>
        <row r="29">
          <cell r="G29">
            <v>76.2</v>
          </cell>
          <cell r="J29">
            <v>0</v>
          </cell>
          <cell r="M29">
            <v>0</v>
          </cell>
        </row>
      </sheetData>
      <sheetData sheetId="1">
        <row r="6">
          <cell r="G6">
            <v>207.4</v>
          </cell>
          <cell r="J6">
            <v>0</v>
          </cell>
          <cell r="M6">
            <v>0</v>
          </cell>
        </row>
        <row r="7">
          <cell r="G7">
            <v>201.55</v>
          </cell>
          <cell r="J7">
            <v>0</v>
          </cell>
          <cell r="M7">
            <v>0</v>
          </cell>
        </row>
        <row r="8">
          <cell r="G8">
            <v>210</v>
          </cell>
          <cell r="J8">
            <v>219</v>
          </cell>
          <cell r="M8">
            <v>210</v>
          </cell>
        </row>
        <row r="9">
          <cell r="G9">
            <v>296.60000000000002</v>
          </cell>
          <cell r="J9">
            <v>0</v>
          </cell>
          <cell r="M9">
            <v>0</v>
          </cell>
        </row>
        <row r="10">
          <cell r="G10">
            <v>364.41</v>
          </cell>
          <cell r="J10">
            <v>0</v>
          </cell>
          <cell r="M10">
            <v>0</v>
          </cell>
        </row>
        <row r="11">
          <cell r="G11">
            <v>379.8</v>
          </cell>
          <cell r="J11">
            <v>19.5</v>
          </cell>
          <cell r="M11">
            <v>0</v>
          </cell>
        </row>
        <row r="12">
          <cell r="G12">
            <v>419.4</v>
          </cell>
          <cell r="J12">
            <v>0</v>
          </cell>
          <cell r="M1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8" name="Table8" displayName="Table8" ref="D3:R10" totalsRowShown="0" headerRowDxfId="85" dataDxfId="83" headerRowBorderDxfId="84" tableBorderDxfId="82" totalsRowBorderDxfId="81">
  <tableColumns count="15">
    <tableColumn id="1" name="قطعه" dataDxfId="80"/>
    <tableColumn id="13" name="طول قطعه_x000a_(متر)" dataDxfId="79"/>
    <tableColumn id="2" name="طول قطعه رفت و برگشت (متر)" dataDxfId="78"/>
    <tableColumn id="3" name="تعداد_x000a_(رفت و برگشت)" dataDxfId="77"/>
    <tableColumn id="4" name="طول تونل_x000a_(رفت و برگشت)" dataDxfId="76"/>
    <tableColumn id="5" name="تعداد_x000a_(رفت و برگشت)2" dataDxfId="75"/>
    <tableColumn id="6" name="طول گالری_x000a_(رفت و برگشت)" dataDxfId="74"/>
    <tableColumn id="7" name="تعداد پل_x000a_(رفت و برگشت)" dataDxfId="73"/>
    <tableColumn id="8" name="طول پلها_x000a_(رفت و برگشت)" dataDxfId="72"/>
    <tableColumn id="9" name="تعداد دیوار_x000a_(رفت و برگشت)" dataDxfId="71"/>
    <tableColumn id="10" name="طول دیوار_x000a_(رفت و برگشت)" dataDxfId="70"/>
    <tableColumn id="11" name="تعداد آّرو_x000a_(رفت و برگشت)" dataDxfId="69"/>
    <tableColumn id="12" name="طول آّبرو_x000a_(رفت و برگشت)" dataDxfId="68"/>
    <tableColumn id="14" name="حجم خاکبرداری_x000a_(متر مکعب)" dataDxfId="67"/>
    <tableColumn id="15" name="طول (رفت و برگشت)" dataDxfId="6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3" totalsRowShown="0" headerRowDxfId="65" dataDxfId="64">
  <tableColumns count="8">
    <tableColumn id="1" name="ردیف" dataDxfId="63"/>
    <tableColumn id="2" name="نام تونل" dataDxfId="62"/>
    <tableColumn id="3" name="طول کل_x000a_(متر)" dataDxfId="61"/>
    <tableColumn id="4" name="تاپ_x000a_(متر)" dataDxfId="60"/>
    <tableColumn id="5" name="بنچ_x000a_(متر)" dataDxfId="59">
      <calculatedColumnFormula>[7]A2!K4</calculatedColumnFormula>
    </tableColumn>
    <tableColumn id="6" name="لاینینگ_x000a_(متر)" dataDxfId="58"/>
    <tableColumn id="7" name="کیلومتراژ شروع" dataDxfId="57"/>
    <tableColumn id="8" name="کیلومتراژ پایان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2:F27" totalsRowCount="1" headerRowDxfId="55" dataDxfId="54" totalsRowDxfId="53">
  <tableColumns count="6">
    <tableColumn id="6" name="ردیف" dataDxfId="52" totalsRowDxfId="51"/>
    <tableColumn id="1" name="نام تونل" totalsRowLabel="جمع کل" dataDxfId="50" totalsRowDxfId="49"/>
    <tableColumn id="2" name="طول کل_x000a_(متر)" totalsRowFunction="sum" dataDxfId="48" totalsRowDxfId="47"/>
    <tableColumn id="3" name="تاپ_x000a_(متر)" totalsRowFunction="sum" dataDxfId="46" totalsRowDxfId="45"/>
    <tableColumn id="4" name="بنچ_x000a_(متر)" totalsRowFunction="custom" dataDxfId="44" totalsRowDxfId="43">
      <totalsRowFormula>SUM(Table2[بنچ
(متر)])</totalsRowFormula>
    </tableColumn>
    <tableColumn id="5" name="لاینینگ_x000a_(متر)" totalsRowFunction="custom" dataDxfId="42" totalsRowDxfId="41">
      <calculatedColumnFormula>[8]B2!M6</calculatedColumnFormula>
      <totalsRowFormula>SUM(Table2[لاینینگ
(متر)])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8" totalsRowShown="0" headerRowDxfId="40" dataDxfId="39">
  <tableColumns count="6">
    <tableColumn id="1" name="ردیف" dataDxfId="38"/>
    <tableColumn id="2" name="نام تونل" dataDxfId="37"/>
    <tableColumn id="3" name="طول کل_x000a_(متر)" dataDxfId="36"/>
    <tableColumn id="4" name="تاپ_x000a_(متر)" dataDxfId="35"/>
    <tableColumn id="5" name="بنچ_x000a_(متر)" dataDxfId="34"/>
    <tableColumn id="6" name="لاینینگ_x000a_(متر)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H13" totalsRowShown="0" headerRowDxfId="32" dataDxfId="30" headerRowBorderDxfId="31" tableBorderDxfId="29">
  <tableColumns count="8">
    <tableColumn id="1" name="ردیف" dataDxfId="28"/>
    <tableColumn id="2" name="نام تونل" dataDxfId="27"/>
    <tableColumn id="3" name="طول کل_x000a_متر" dataDxfId="26"/>
    <tableColumn id="4" name="تاپ_x000a_متر" dataDxfId="25"/>
    <tableColumn id="5" name="بنچ_x000a_متر" dataDxfId="24"/>
    <tableColumn id="6" name="لاینینگ_x000a_متر" dataDxfId="23">
      <calculatedColumnFormula>[7]D2!O4</calculatedColumnFormula>
    </tableColumn>
    <tableColumn id="7" name="کیلومتراژ شروع" dataDxfId="22"/>
    <tableColumn id="8" name="کیلومتراژ پایان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3:E82" totalsRowShown="0" headerRowDxfId="20" headerRowBorderDxfId="19" tableBorderDxfId="18" totalsRowBorderDxfId="17">
  <autoFilter ref="B3:E82"/>
  <tableColumns count="4">
    <tableColumn id="1" name="کد wbs" dataDxfId="16"/>
    <tableColumn id="2" name="نام فعالیت"/>
    <tableColumn id="3" name="درصد پیشرفت" dataDxfId="15" dataCellStyle="Percent"/>
    <tableColumn id="4" name="وزن تدقیق شده فیزیکی" dataDxfId="14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2:G12" totalsRowShown="0" headerRowDxfId="12" dataDxfId="11">
  <tableColumns count="5">
    <tableColumn id="1" name="شرح عملیات" dataDxfId="10"/>
    <tableColumn id="2" name="حجم انجام شده A2" dataDxfId="9"/>
    <tableColumn id="3" name="حجم انجام شده B2" dataDxfId="8"/>
    <tableColumn id="4" name="حجم انجام شده C2" dataDxfId="7"/>
    <tableColumn id="5" name="حجم انجام شده D2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C2:F14" totalsRowShown="0" headerRowDxfId="5" dataDxfId="4">
  <tableColumns count="4">
    <tableColumn id="1" name="نام عملیات" dataDxfId="3"/>
    <tableColumn id="2" name="واحد" dataDxfId="2"/>
    <tableColumn id="3" name="حجم کل" dataDxfId="1"/>
    <tableColumn id="4" name="حجم انجام شده" dataDxfId="0" dataCellStyle="Normal 2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D2:T23"/>
  <sheetViews>
    <sheetView showGridLines="0" rightToLeft="1" topLeftCell="D1" zoomScaleNormal="100" zoomScaleSheetLayoutView="115" workbookViewId="0">
      <selection activeCell="L10" sqref="L10"/>
    </sheetView>
  </sheetViews>
  <sheetFormatPr defaultRowHeight="18"/>
  <cols>
    <col min="1" max="3" width="9.140625" style="420"/>
    <col min="4" max="4" width="17.85546875" style="420" customWidth="1"/>
    <col min="5" max="16" width="10.5703125" style="420" customWidth="1"/>
    <col min="17" max="18" width="9.140625" style="420"/>
    <col min="19" max="19" width="11.85546875" style="420" bestFit="1" customWidth="1"/>
    <col min="20" max="20" width="11.28515625" style="420" customWidth="1"/>
    <col min="21" max="21" width="9.140625" style="420"/>
    <col min="22" max="22" width="12.140625" style="420" customWidth="1"/>
    <col min="23" max="16384" width="9.140625" style="420"/>
  </cols>
  <sheetData>
    <row r="2" spans="4:20">
      <c r="E2" s="652"/>
      <c r="F2" s="653"/>
      <c r="G2" s="651" t="s">
        <v>458</v>
      </c>
      <c r="H2" s="651"/>
      <c r="I2" s="651" t="s">
        <v>459</v>
      </c>
      <c r="J2" s="651"/>
      <c r="K2" s="651" t="s">
        <v>462</v>
      </c>
      <c r="L2" s="651"/>
      <c r="M2" s="651" t="s">
        <v>466</v>
      </c>
      <c r="N2" s="651"/>
      <c r="O2" s="651" t="s">
        <v>468</v>
      </c>
      <c r="P2" s="651"/>
      <c r="Q2" s="651" t="s">
        <v>87</v>
      </c>
      <c r="R2" s="651"/>
      <c r="S2" s="651" t="s">
        <v>89</v>
      </c>
      <c r="T2" s="651"/>
    </row>
    <row r="3" spans="4:20" ht="47.25">
      <c r="D3" s="443" t="s">
        <v>196</v>
      </c>
      <c r="E3" s="443" t="s">
        <v>457</v>
      </c>
      <c r="F3" s="443" t="s">
        <v>456</v>
      </c>
      <c r="G3" s="443" t="s">
        <v>460</v>
      </c>
      <c r="H3" s="443" t="s">
        <v>463</v>
      </c>
      <c r="I3" s="443" t="s">
        <v>461</v>
      </c>
      <c r="J3" s="443" t="s">
        <v>465</v>
      </c>
      <c r="K3" s="443" t="s">
        <v>270</v>
      </c>
      <c r="L3" s="443" t="s">
        <v>464</v>
      </c>
      <c r="M3" s="443" t="s">
        <v>272</v>
      </c>
      <c r="N3" s="443" t="s">
        <v>467</v>
      </c>
      <c r="O3" s="443" t="s">
        <v>469</v>
      </c>
      <c r="P3" s="443" t="s">
        <v>470</v>
      </c>
      <c r="Q3" s="443" t="s">
        <v>471</v>
      </c>
      <c r="R3" s="443" t="s">
        <v>472</v>
      </c>
      <c r="S3" s="443" t="s">
        <v>471</v>
      </c>
      <c r="T3" s="443" t="s">
        <v>472</v>
      </c>
    </row>
    <row r="4" spans="4:20">
      <c r="D4" s="435" t="s">
        <v>69</v>
      </c>
      <c r="E4" s="578">
        <v>3339</v>
      </c>
      <c r="F4" s="435" t="s">
        <v>279</v>
      </c>
      <c r="G4" s="435">
        <v>12</v>
      </c>
      <c r="H4" s="436">
        <f>'A2'!C14</f>
        <v>3711.4</v>
      </c>
      <c r="I4" s="436">
        <v>24</v>
      </c>
      <c r="J4" s="436">
        <v>507</v>
      </c>
      <c r="K4" s="436">
        <v>4</v>
      </c>
      <c r="L4" s="436">
        <v>630</v>
      </c>
      <c r="M4" s="436">
        <v>5</v>
      </c>
      <c r="N4" s="436">
        <v>727</v>
      </c>
      <c r="O4" s="436">
        <v>9</v>
      </c>
      <c r="P4" s="436">
        <v>516</v>
      </c>
      <c r="Q4" s="436"/>
      <c r="R4" s="436"/>
      <c r="S4" s="436"/>
      <c r="T4" s="436"/>
    </row>
    <row r="5" spans="4:20">
      <c r="D5" s="437" t="s">
        <v>70</v>
      </c>
      <c r="E5" s="579">
        <v>5090</v>
      </c>
      <c r="F5" s="437" t="s">
        <v>288</v>
      </c>
      <c r="G5" s="437">
        <v>19</v>
      </c>
      <c r="H5" s="421">
        <f>Table2[[#Totals],[طول کل
(متر)]]</f>
        <v>5590.2</v>
      </c>
      <c r="I5" s="421">
        <v>36</v>
      </c>
      <c r="J5" s="421">
        <v>330</v>
      </c>
      <c r="K5" s="421">
        <v>2</v>
      </c>
      <c r="L5" s="421">
        <v>183</v>
      </c>
      <c r="M5" s="421">
        <v>10</v>
      </c>
      <c r="N5" s="421">
        <v>1117</v>
      </c>
      <c r="O5" s="421">
        <v>2</v>
      </c>
      <c r="P5" s="421">
        <v>100</v>
      </c>
      <c r="Q5" s="421"/>
      <c r="R5" s="421"/>
      <c r="S5" s="421"/>
      <c r="T5" s="421"/>
    </row>
    <row r="6" spans="4:20">
      <c r="D6" s="435" t="s">
        <v>71</v>
      </c>
      <c r="E6" s="578">
        <v>3441</v>
      </c>
      <c r="F6" s="435" t="s">
        <v>289</v>
      </c>
      <c r="G6" s="435">
        <v>7</v>
      </c>
      <c r="H6" s="436">
        <f>'C2'!C9</f>
        <v>5231.2700000000004</v>
      </c>
      <c r="I6" s="436">
        <v>14</v>
      </c>
      <c r="J6" s="436">
        <v>430</v>
      </c>
      <c r="K6" s="436">
        <v>4</v>
      </c>
      <c r="L6" s="436">
        <v>655</v>
      </c>
      <c r="M6" s="436">
        <v>0</v>
      </c>
      <c r="N6" s="436">
        <v>0</v>
      </c>
      <c r="O6" s="436">
        <v>2</v>
      </c>
      <c r="P6" s="436">
        <v>100</v>
      </c>
      <c r="Q6" s="436"/>
      <c r="R6" s="436"/>
      <c r="S6" s="436"/>
      <c r="T6" s="436"/>
    </row>
    <row r="7" spans="4:20">
      <c r="D7" s="437" t="s">
        <v>72</v>
      </c>
      <c r="E7" s="579">
        <v>3045</v>
      </c>
      <c r="F7" s="437" t="s">
        <v>280</v>
      </c>
      <c r="G7" s="437">
        <v>12</v>
      </c>
      <c r="H7" s="421">
        <f>'D2'!C14</f>
        <v>3580.62</v>
      </c>
      <c r="I7" s="421">
        <v>18</v>
      </c>
      <c r="J7" s="421">
        <v>451</v>
      </c>
      <c r="K7" s="421">
        <v>10</v>
      </c>
      <c r="L7" s="421">
        <v>621</v>
      </c>
      <c r="M7" s="421">
        <v>8</v>
      </c>
      <c r="N7" s="421">
        <v>840</v>
      </c>
      <c r="O7" s="421">
        <v>3</v>
      </c>
      <c r="P7" s="421">
        <v>32</v>
      </c>
      <c r="Q7" s="421"/>
      <c r="R7" s="421"/>
      <c r="S7" s="421"/>
      <c r="T7" s="421"/>
    </row>
    <row r="8" spans="4:20" ht="18" customHeight="1">
      <c r="D8" s="435" t="s">
        <v>303</v>
      </c>
      <c r="E8" s="578">
        <v>6350</v>
      </c>
      <c r="F8" s="435" t="s">
        <v>304</v>
      </c>
      <c r="G8" s="435">
        <v>3</v>
      </c>
      <c r="H8" s="436">
        <f>2*6350</f>
        <v>12700</v>
      </c>
      <c r="I8" s="436">
        <v>0</v>
      </c>
      <c r="J8" s="436">
        <v>0</v>
      </c>
      <c r="K8" s="436">
        <v>0</v>
      </c>
      <c r="L8" s="436">
        <v>0</v>
      </c>
      <c r="M8" s="436">
        <v>0</v>
      </c>
      <c r="N8" s="436">
        <v>0</v>
      </c>
      <c r="O8" s="436">
        <v>0</v>
      </c>
      <c r="P8" s="436">
        <v>0</v>
      </c>
      <c r="Q8" s="436"/>
      <c r="R8" s="436"/>
      <c r="S8" s="436"/>
      <c r="T8" s="436"/>
    </row>
    <row r="9" spans="4:20" ht="36" customHeight="1">
      <c r="D9" s="437" t="s">
        <v>455</v>
      </c>
      <c r="E9" s="579">
        <v>1500</v>
      </c>
      <c r="F9" s="437">
        <v>3000</v>
      </c>
      <c r="G9" s="421">
        <v>0</v>
      </c>
      <c r="H9" s="421">
        <v>0</v>
      </c>
      <c r="I9" s="421">
        <v>0</v>
      </c>
      <c r="J9" s="421">
        <v>0</v>
      </c>
      <c r="K9" s="421">
        <v>4</v>
      </c>
      <c r="L9" s="421">
        <v>807</v>
      </c>
      <c r="M9" s="421">
        <v>0</v>
      </c>
      <c r="N9" s="421">
        <v>0</v>
      </c>
      <c r="O9" s="421">
        <v>1</v>
      </c>
      <c r="P9" s="421">
        <v>30</v>
      </c>
      <c r="Q9" s="421"/>
      <c r="R9" s="421"/>
      <c r="S9" s="421"/>
      <c r="T9" s="421"/>
    </row>
    <row r="10" spans="4:20">
      <c r="D10" s="435" t="s">
        <v>278</v>
      </c>
      <c r="E10" s="578">
        <f>SUBTOTAL(109,E4:E9)</f>
        <v>22765</v>
      </c>
      <c r="F10" s="436">
        <f>2*3339+2*5090+2*3441+2*3045+2*6350+2*1500</f>
        <v>45530</v>
      </c>
      <c r="G10" s="436">
        <f>SUM(G4:G9)</f>
        <v>53</v>
      </c>
      <c r="H10" s="436">
        <f t="shared" ref="H10:P10" si="0">SUM(H4:H9)</f>
        <v>30813.49</v>
      </c>
      <c r="I10" s="436">
        <f t="shared" si="0"/>
        <v>92</v>
      </c>
      <c r="J10" s="436">
        <f t="shared" si="0"/>
        <v>1718</v>
      </c>
      <c r="K10" s="436">
        <f t="shared" si="0"/>
        <v>24</v>
      </c>
      <c r="L10" s="436">
        <f t="shared" si="0"/>
        <v>2896</v>
      </c>
      <c r="M10" s="436">
        <f t="shared" si="0"/>
        <v>23</v>
      </c>
      <c r="N10" s="436">
        <f t="shared" si="0"/>
        <v>2684</v>
      </c>
      <c r="O10" s="436">
        <f t="shared" si="0"/>
        <v>17</v>
      </c>
      <c r="P10" s="436">
        <f t="shared" si="0"/>
        <v>778</v>
      </c>
      <c r="Q10" s="436"/>
      <c r="R10" s="436"/>
      <c r="S10" s="436"/>
      <c r="T10" s="436"/>
    </row>
    <row r="11" spans="4:20" ht="18.75">
      <c r="D11" s="656" t="s">
        <v>285</v>
      </c>
      <c r="E11" s="656"/>
      <c r="F11" s="656"/>
      <c r="G11" s="654">
        <f>H10/F10</f>
        <v>0.67677333626180547</v>
      </c>
      <c r="H11" s="654"/>
      <c r="I11" s="654">
        <f>J10/F10</f>
        <v>3.7733362618054031E-2</v>
      </c>
      <c r="J11" s="654"/>
      <c r="K11" s="654">
        <f>L10/F10</f>
        <v>6.3606413353832644E-2</v>
      </c>
      <c r="L11" s="654"/>
      <c r="M11" s="654">
        <f>N10/F10</f>
        <v>5.89501427630134E-2</v>
      </c>
      <c r="N11" s="654"/>
      <c r="O11" s="655"/>
      <c r="P11" s="655"/>
    </row>
    <row r="12" spans="4:20" ht="18.75">
      <c r="D12" s="656"/>
      <c r="E12" s="656"/>
      <c r="F12" s="656"/>
      <c r="G12" s="654">
        <f>(H10+J10)/F10</f>
        <v>0.71450669887985951</v>
      </c>
      <c r="H12" s="654"/>
      <c r="I12" s="654"/>
      <c r="J12" s="654"/>
      <c r="K12" s="654">
        <f>(L10+N10)/F10</f>
        <v>0.12255655611684603</v>
      </c>
      <c r="L12" s="654"/>
      <c r="M12" s="654"/>
      <c r="N12" s="654"/>
      <c r="O12" s="655"/>
      <c r="P12" s="655"/>
    </row>
    <row r="15" spans="4:20" ht="41.25" customHeight="1">
      <c r="D15" s="420" t="s">
        <v>196</v>
      </c>
      <c r="F15" s="420" t="s">
        <v>266</v>
      </c>
      <c r="G15" s="420" t="s">
        <v>276</v>
      </c>
      <c r="H15" s="420" t="s">
        <v>267</v>
      </c>
      <c r="I15" s="420" t="s">
        <v>268</v>
      </c>
      <c r="J15" s="420" t="s">
        <v>269</v>
      </c>
      <c r="K15" s="420" t="s">
        <v>270</v>
      </c>
      <c r="L15" s="420" t="s">
        <v>271</v>
      </c>
      <c r="M15" s="420" t="s">
        <v>272</v>
      </c>
      <c r="N15" s="420" t="s">
        <v>273</v>
      </c>
      <c r="O15" s="420" t="s">
        <v>274</v>
      </c>
      <c r="P15" s="420" t="s">
        <v>275</v>
      </c>
      <c r="R15" s="438" t="s">
        <v>196</v>
      </c>
      <c r="S15" s="438" t="s">
        <v>286</v>
      </c>
      <c r="T15" s="438" t="s">
        <v>287</v>
      </c>
    </row>
    <row r="16" spans="4:20">
      <c r="D16" s="420" t="s">
        <v>69</v>
      </c>
      <c r="F16" s="420" t="s">
        <v>279</v>
      </c>
      <c r="G16" s="420">
        <v>12</v>
      </c>
      <c r="H16" s="420">
        <v>3726</v>
      </c>
      <c r="I16" s="420">
        <v>24</v>
      </c>
      <c r="J16" s="420">
        <v>474</v>
      </c>
      <c r="K16" s="420">
        <v>6</v>
      </c>
      <c r="L16" s="420">
        <v>680</v>
      </c>
      <c r="M16" s="420">
        <v>8</v>
      </c>
      <c r="N16" s="420">
        <v>1270</v>
      </c>
      <c r="O16" s="420">
        <v>8</v>
      </c>
      <c r="P16" s="420">
        <v>400</v>
      </c>
      <c r="R16" s="441" t="s">
        <v>69</v>
      </c>
      <c r="S16" s="439">
        <v>4</v>
      </c>
      <c r="T16" s="437">
        <v>8</v>
      </c>
    </row>
    <row r="17" spans="4:20">
      <c r="D17" s="420" t="s">
        <v>70</v>
      </c>
      <c r="F17" s="420" t="s">
        <v>288</v>
      </c>
      <c r="G17" s="420">
        <v>19</v>
      </c>
      <c r="H17" s="420">
        <v>5135.8999999999996</v>
      </c>
      <c r="I17" s="420">
        <v>44</v>
      </c>
      <c r="J17" s="420">
        <v>1121</v>
      </c>
      <c r="K17" s="420">
        <v>4</v>
      </c>
      <c r="L17" s="420">
        <v>343</v>
      </c>
      <c r="M17" s="420">
        <v>10</v>
      </c>
      <c r="N17" s="420">
        <v>1117</v>
      </c>
      <c r="O17" s="420">
        <v>24</v>
      </c>
      <c r="P17" s="420">
        <v>840</v>
      </c>
      <c r="R17" s="442" t="s">
        <v>70</v>
      </c>
      <c r="S17" s="440">
        <v>5</v>
      </c>
      <c r="T17" s="440">
        <v>14</v>
      </c>
    </row>
    <row r="18" spans="4:20">
      <c r="D18" s="420" t="s">
        <v>71</v>
      </c>
      <c r="F18" s="420" t="s">
        <v>289</v>
      </c>
      <c r="G18" s="420">
        <v>7</v>
      </c>
      <c r="H18" s="420">
        <v>5210</v>
      </c>
      <c r="I18" s="420">
        <v>12</v>
      </c>
      <c r="J18" s="420">
        <v>433</v>
      </c>
      <c r="K18" s="420">
        <v>5</v>
      </c>
      <c r="L18" s="420">
        <v>944</v>
      </c>
      <c r="M18" s="420">
        <v>0</v>
      </c>
      <c r="N18" s="420">
        <v>0</v>
      </c>
      <c r="O18" s="420">
        <v>1</v>
      </c>
      <c r="P18" s="420">
        <v>35</v>
      </c>
      <c r="R18" s="441" t="s">
        <v>71</v>
      </c>
      <c r="S18" s="439">
        <v>1</v>
      </c>
      <c r="T18" s="437">
        <v>6</v>
      </c>
    </row>
    <row r="19" spans="4:20">
      <c r="D19" s="420" t="s">
        <v>72</v>
      </c>
      <c r="F19" s="420" t="s">
        <v>280</v>
      </c>
      <c r="G19" s="420">
        <v>12</v>
      </c>
      <c r="H19" s="420">
        <v>2417.5</v>
      </c>
      <c r="I19" s="420">
        <v>22</v>
      </c>
      <c r="J19" s="420">
        <v>464</v>
      </c>
      <c r="K19" s="420">
        <v>16</v>
      </c>
      <c r="L19" s="420">
        <v>605</v>
      </c>
      <c r="M19" s="420">
        <v>6</v>
      </c>
      <c r="N19" s="420">
        <v>840</v>
      </c>
      <c r="O19" s="420">
        <v>0</v>
      </c>
      <c r="P19" s="420">
        <v>0</v>
      </c>
      <c r="R19" s="442" t="s">
        <v>72</v>
      </c>
      <c r="S19" s="440">
        <v>2</v>
      </c>
      <c r="T19" s="440">
        <v>8</v>
      </c>
    </row>
    <row r="20" spans="4:20">
      <c r="D20" s="420" t="s">
        <v>277</v>
      </c>
      <c r="F20" s="420" t="s">
        <v>281</v>
      </c>
      <c r="G20" s="420">
        <v>2</v>
      </c>
      <c r="H20" s="420">
        <v>12800</v>
      </c>
      <c r="I20" s="420">
        <v>0</v>
      </c>
      <c r="J20" s="420">
        <v>0</v>
      </c>
      <c r="K20" s="420">
        <v>0</v>
      </c>
      <c r="L20" s="420">
        <v>0</v>
      </c>
      <c r="M20" s="420">
        <v>0</v>
      </c>
      <c r="N20" s="420">
        <v>0</v>
      </c>
      <c r="O20" s="420">
        <v>0</v>
      </c>
      <c r="P20" s="420">
        <v>0</v>
      </c>
    </row>
    <row r="21" spans="4:20">
      <c r="D21" s="420" t="s">
        <v>278</v>
      </c>
      <c r="F21" s="420">
        <v>42631</v>
      </c>
      <c r="G21" s="420">
        <v>52</v>
      </c>
      <c r="H21" s="420">
        <v>29289.4</v>
      </c>
      <c r="I21" s="420">
        <v>102</v>
      </c>
      <c r="J21" s="420">
        <v>2492</v>
      </c>
      <c r="K21" s="420">
        <v>31</v>
      </c>
      <c r="L21" s="420">
        <v>2572</v>
      </c>
      <c r="M21" s="420">
        <v>24</v>
      </c>
      <c r="N21" s="420">
        <v>3227</v>
      </c>
      <c r="O21" s="420">
        <v>33</v>
      </c>
      <c r="P21" s="420">
        <v>1275</v>
      </c>
    </row>
    <row r="22" spans="4:20" ht="36">
      <c r="D22" s="420" t="s">
        <v>285</v>
      </c>
      <c r="G22" s="420">
        <v>0.68704463887781198</v>
      </c>
      <c r="I22" s="420">
        <v>5.845511482254697E-2</v>
      </c>
      <c r="K22" s="420">
        <v>6.033168351668973E-2</v>
      </c>
      <c r="M22" s="420">
        <v>7.5696089699983579E-2</v>
      </c>
    </row>
    <row r="23" spans="4:20">
      <c r="G23" s="420">
        <v>0.74549975370035892</v>
      </c>
      <c r="K23" s="420">
        <v>0.13602777321667331</v>
      </c>
    </row>
  </sheetData>
  <mergeCells count="16">
    <mergeCell ref="M11:N11"/>
    <mergeCell ref="G12:J12"/>
    <mergeCell ref="K12:N12"/>
    <mergeCell ref="O11:P12"/>
    <mergeCell ref="D11:F12"/>
    <mergeCell ref="G11:H11"/>
    <mergeCell ref="I11:J11"/>
    <mergeCell ref="K11:L11"/>
    <mergeCell ref="Q2:R2"/>
    <mergeCell ref="S2:T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  <pageSetup scale="84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3:G85"/>
  <sheetViews>
    <sheetView showGridLines="0" rightToLeft="1" topLeftCell="B1" zoomScaleNormal="100" workbookViewId="0">
      <selection activeCell="D4" sqref="D4"/>
    </sheetView>
  </sheetViews>
  <sheetFormatPr defaultRowHeight="19.5" outlineLevelRow="5"/>
  <cols>
    <col min="1" max="1" width="9.140625" style="91"/>
    <col min="2" max="2" width="9.5703125" style="92" customWidth="1"/>
    <col min="3" max="3" width="47.28515625" style="91" bestFit="1" customWidth="1"/>
    <col min="4" max="4" width="14.140625" style="121" customWidth="1"/>
    <col min="5" max="5" width="21" style="108" customWidth="1"/>
    <col min="8" max="16384" width="9.140625" style="91"/>
  </cols>
  <sheetData>
    <row r="3" spans="2:7">
      <c r="B3" s="157" t="s">
        <v>118</v>
      </c>
      <c r="C3" s="158" t="s">
        <v>117</v>
      </c>
      <c r="D3" s="159" t="s">
        <v>64</v>
      </c>
      <c r="E3" s="160" t="s">
        <v>145</v>
      </c>
    </row>
    <row r="4" spans="2:7" ht="24">
      <c r="B4" s="209">
        <v>0</v>
      </c>
      <c r="C4" s="130" t="s">
        <v>119</v>
      </c>
      <c r="D4" s="131">
        <f>D5+D11+D14</f>
        <v>0.29953269652835435</v>
      </c>
      <c r="E4" s="150">
        <f>E5+E11+E14</f>
        <v>0.99999999999999989</v>
      </c>
    </row>
    <row r="5" spans="2:7" ht="21" outlineLevel="1">
      <c r="B5" s="208">
        <v>1</v>
      </c>
      <c r="C5" s="96" t="s">
        <v>91</v>
      </c>
      <c r="D5" s="122">
        <f>SUMPRODUCT(D6:D10,E6:E10)</f>
        <v>1.345E-2</v>
      </c>
      <c r="E5" s="151">
        <f>SUM(E6:E10)</f>
        <v>2.0100000000000003E-2</v>
      </c>
    </row>
    <row r="6" spans="2:7" s="94" customFormat="1" outlineLevel="2">
      <c r="B6" s="149"/>
      <c r="C6" s="98" t="s">
        <v>92</v>
      </c>
      <c r="D6" s="120">
        <v>1</v>
      </c>
      <c r="E6" s="152">
        <v>0.01</v>
      </c>
      <c r="F6" s="93"/>
      <c r="G6" s="93"/>
    </row>
    <row r="7" spans="2:7" s="94" customFormat="1" outlineLevel="2">
      <c r="B7" s="149"/>
      <c r="C7" s="98" t="s">
        <v>93</v>
      </c>
      <c r="D7" s="120">
        <v>0.5</v>
      </c>
      <c r="E7" s="152">
        <v>5.3E-3</v>
      </c>
      <c r="F7" s="93"/>
      <c r="G7" s="93"/>
    </row>
    <row r="8" spans="2:7" s="94" customFormat="1" outlineLevel="2">
      <c r="B8" s="149"/>
      <c r="C8" s="98" t="s">
        <v>94</v>
      </c>
      <c r="D8" s="120">
        <v>0.8</v>
      </c>
      <c r="E8" s="152">
        <v>1E-3</v>
      </c>
      <c r="F8" s="93"/>
      <c r="G8" s="93"/>
    </row>
    <row r="9" spans="2:7" s="94" customFormat="1" outlineLevel="2">
      <c r="B9" s="149"/>
      <c r="C9" s="98" t="s">
        <v>95</v>
      </c>
      <c r="D9" s="120">
        <v>0</v>
      </c>
      <c r="E9" s="152">
        <v>2.8999999999999998E-3</v>
      </c>
      <c r="F9" s="93"/>
      <c r="G9" s="93"/>
    </row>
    <row r="10" spans="2:7" s="94" customFormat="1" outlineLevel="2">
      <c r="B10" s="149"/>
      <c r="C10" s="98" t="s">
        <v>96</v>
      </c>
      <c r="D10" s="120">
        <v>0</v>
      </c>
      <c r="E10" s="152">
        <v>8.9999999999999998E-4</v>
      </c>
      <c r="F10" s="93"/>
      <c r="G10" s="93"/>
    </row>
    <row r="11" spans="2:7" ht="21" outlineLevel="1">
      <c r="B11" s="208">
        <v>2</v>
      </c>
      <c r="C11" s="96" t="s">
        <v>97</v>
      </c>
      <c r="D11" s="122">
        <f>SUMPRODUCT(E12:E13,D12:D13)</f>
        <v>2.6160000000000003E-2</v>
      </c>
      <c r="E11" s="151">
        <f>SUM(E12:E13)</f>
        <v>3.0000000000000002E-2</v>
      </c>
    </row>
    <row r="12" spans="2:7" s="94" customFormat="1" outlineLevel="2">
      <c r="B12" s="149"/>
      <c r="C12" s="99" t="s">
        <v>98</v>
      </c>
      <c r="D12" s="120">
        <v>1</v>
      </c>
      <c r="E12" s="152">
        <v>4.4000000000000003E-3</v>
      </c>
      <c r="F12" s="93"/>
      <c r="G12" s="93"/>
    </row>
    <row r="13" spans="2:7" s="94" customFormat="1" ht="21.75" customHeight="1" outlineLevel="2">
      <c r="B13" s="149"/>
      <c r="C13" s="99" t="s">
        <v>99</v>
      </c>
      <c r="D13" s="120">
        <v>0.85</v>
      </c>
      <c r="E13" s="152">
        <v>2.5600000000000001E-2</v>
      </c>
      <c r="F13" s="93"/>
      <c r="G13" s="93"/>
    </row>
    <row r="14" spans="2:7" ht="21" outlineLevel="1">
      <c r="B14" s="208">
        <v>3</v>
      </c>
      <c r="C14" s="96" t="s">
        <v>100</v>
      </c>
      <c r="D14" s="122">
        <f>D15+D65+D80</f>
        <v>0.25992269652835431</v>
      </c>
      <c r="E14" s="151">
        <f>E15+E65+E80</f>
        <v>0.94989999999999986</v>
      </c>
    </row>
    <row r="15" spans="2:7" outlineLevel="2">
      <c r="B15" s="165">
        <v>3.1</v>
      </c>
      <c r="C15" s="100" t="s">
        <v>101</v>
      </c>
      <c r="D15" s="207">
        <f>D16+D27+D38+D49+D61+D63</f>
        <v>6.0122696528354259E-2</v>
      </c>
      <c r="E15" s="153">
        <f>E16+E27+E38+E49+E61+E63</f>
        <v>0.46449999999999997</v>
      </c>
    </row>
    <row r="16" spans="2:7" outlineLevel="3">
      <c r="B16" s="148">
        <v>3.11</v>
      </c>
      <c r="C16" s="101" t="s">
        <v>102</v>
      </c>
      <c r="D16" s="123">
        <f>SUMPRODUCT(E17:E26,D17:D26)</f>
        <v>1.5852197773818254E-2</v>
      </c>
      <c r="E16" s="154">
        <f>SUM(E17:E26)</f>
        <v>0.1003</v>
      </c>
    </row>
    <row r="17" spans="2:7" s="94" customFormat="1" outlineLevel="4">
      <c r="B17" s="149"/>
      <c r="C17" s="98" t="s">
        <v>103</v>
      </c>
      <c r="D17" s="120">
        <v>0.53</v>
      </c>
      <c r="E17" s="152">
        <v>1.1999999999999999E-3</v>
      </c>
      <c r="F17" s="93"/>
      <c r="G17" s="93"/>
    </row>
    <row r="18" spans="2:7" s="94" customFormat="1" outlineLevel="4">
      <c r="B18" s="149"/>
      <c r="C18" s="98" t="s">
        <v>104</v>
      </c>
      <c r="D18" s="120">
        <f>خاکبرداری!F4</f>
        <v>0.24944464944649447</v>
      </c>
      <c r="E18" s="152">
        <v>1.47E-2</v>
      </c>
      <c r="F18" s="93"/>
      <c r="G18" s="93"/>
    </row>
    <row r="19" spans="2:7" s="94" customFormat="1" outlineLevel="4">
      <c r="B19" s="149"/>
      <c r="C19" s="98" t="s">
        <v>105</v>
      </c>
      <c r="D19" s="120">
        <f>خاکریزی!G5</f>
        <v>0</v>
      </c>
      <c r="E19" s="152">
        <v>2.8999999999999998E-3</v>
      </c>
      <c r="F19" s="93"/>
      <c r="G19" s="93"/>
    </row>
    <row r="20" spans="2:7" s="94" customFormat="1" outlineLevel="4">
      <c r="B20" s="149"/>
      <c r="C20" s="98" t="s">
        <v>106</v>
      </c>
      <c r="D20" s="120">
        <f>حفاری!Q4</f>
        <v>0.39106536616910054</v>
      </c>
      <c r="E20" s="152">
        <v>2.8500000000000001E-2</v>
      </c>
      <c r="F20" s="93"/>
      <c r="G20" s="93"/>
    </row>
    <row r="21" spans="2:7" s="94" customFormat="1" outlineLevel="4">
      <c r="B21" s="149"/>
      <c r="C21" s="98" t="s">
        <v>107</v>
      </c>
      <c r="D21" s="120">
        <f>لاینینگ!E4</f>
        <v>2.2444360618634477E-2</v>
      </c>
      <c r="E21" s="152">
        <v>1.8000000000000002E-2</v>
      </c>
      <c r="F21" s="93"/>
      <c r="G21" s="93"/>
    </row>
    <row r="22" spans="2:7" s="94" customFormat="1" outlineLevel="4">
      <c r="B22" s="149"/>
      <c r="C22" s="98" t="s">
        <v>108</v>
      </c>
      <c r="D22" s="120">
        <v>0</v>
      </c>
      <c r="E22" s="152">
        <v>0.02</v>
      </c>
      <c r="F22" s="93"/>
      <c r="G22" s="93"/>
    </row>
    <row r="23" spans="2:7" s="94" customFormat="1" outlineLevel="4">
      <c r="B23" s="149"/>
      <c r="C23" s="98" t="s">
        <v>109</v>
      </c>
      <c r="D23" s="120">
        <v>0</v>
      </c>
      <c r="E23" s="152">
        <v>4.0000000000000002E-4</v>
      </c>
      <c r="F23" s="93"/>
      <c r="G23" s="93"/>
    </row>
    <row r="24" spans="2:7" s="94" customFormat="1" outlineLevel="4">
      <c r="B24" s="149"/>
      <c r="C24" s="98" t="s">
        <v>110</v>
      </c>
      <c r="D24" s="120">
        <v>0</v>
      </c>
      <c r="E24" s="152">
        <v>9.1999999999999998E-3</v>
      </c>
      <c r="F24" s="93"/>
      <c r="G24" s="93"/>
    </row>
    <row r="25" spans="2:7" s="94" customFormat="1" outlineLevel="4">
      <c r="B25" s="149"/>
      <c r="C25" s="98" t="s">
        <v>111</v>
      </c>
      <c r="D25" s="120">
        <v>0</v>
      </c>
      <c r="E25" s="152">
        <v>5.9999999999999995E-4</v>
      </c>
      <c r="F25" s="93"/>
      <c r="G25" s="93"/>
    </row>
    <row r="26" spans="2:7" s="94" customFormat="1" outlineLevel="4">
      <c r="B26" s="149"/>
      <c r="C26" s="98" t="s">
        <v>112</v>
      </c>
      <c r="D26" s="120">
        <v>0</v>
      </c>
      <c r="E26" s="152">
        <v>4.7999999999999996E-3</v>
      </c>
      <c r="F26" s="93"/>
      <c r="G26" s="93"/>
    </row>
    <row r="27" spans="2:7" outlineLevel="3">
      <c r="B27" s="148">
        <v>3.12</v>
      </c>
      <c r="C27" s="101" t="s">
        <v>113</v>
      </c>
      <c r="D27" s="379">
        <f>SUMPRODUCT(E28:E37,D28:D37)</f>
        <v>1.9140626326840035E-2</v>
      </c>
      <c r="E27" s="154">
        <f>SUM(E28:E37)</f>
        <v>0.11049999999999999</v>
      </c>
    </row>
    <row r="28" spans="2:7" s="94" customFormat="1" outlineLevel="4">
      <c r="B28" s="149"/>
      <c r="C28" s="98" t="s">
        <v>103</v>
      </c>
      <c r="D28" s="120">
        <v>0.53</v>
      </c>
      <c r="E28" s="152">
        <v>1.1999999999999999E-3</v>
      </c>
      <c r="F28" s="93"/>
      <c r="G28" s="93"/>
    </row>
    <row r="29" spans="2:7" s="94" customFormat="1" outlineLevel="4">
      <c r="B29" s="149"/>
      <c r="C29" s="98" t="s">
        <v>104</v>
      </c>
      <c r="D29" s="120">
        <f>خاکبرداری!F5</f>
        <v>0.22934738723156203</v>
      </c>
      <c r="E29" s="152">
        <v>9.4999999999999998E-3</v>
      </c>
      <c r="F29" s="93"/>
      <c r="G29" s="93"/>
    </row>
    <row r="30" spans="2:7" s="94" customFormat="1" outlineLevel="4">
      <c r="B30" s="149"/>
      <c r="C30" s="98" t="s">
        <v>105</v>
      </c>
      <c r="D30" s="120">
        <f>خاکریزی!G6</f>
        <v>0</v>
      </c>
      <c r="E30" s="152">
        <v>1.2999999999999999E-3</v>
      </c>
      <c r="F30" s="93"/>
      <c r="G30" s="93"/>
    </row>
    <row r="31" spans="2:7" s="94" customFormat="1" outlineLevel="4">
      <c r="B31" s="149"/>
      <c r="C31" s="98" t="s">
        <v>106</v>
      </c>
      <c r="D31" s="120">
        <f>حفاری!Q5</f>
        <v>0.39819088166195604</v>
      </c>
      <c r="E31" s="152">
        <v>4.0999999999999995E-2</v>
      </c>
      <c r="F31" s="93"/>
      <c r="G31" s="93"/>
    </row>
    <row r="32" spans="2:7" s="94" customFormat="1" outlineLevel="4">
      <c r="B32" s="149"/>
      <c r="C32" s="98" t="s">
        <v>107</v>
      </c>
      <c r="D32" s="120">
        <f>لاینینگ!E5</f>
        <v>0</v>
      </c>
      <c r="E32" s="152">
        <v>2.5899999999999999E-2</v>
      </c>
      <c r="F32" s="93"/>
      <c r="G32" s="93"/>
    </row>
    <row r="33" spans="2:7" s="94" customFormat="1" outlineLevel="4">
      <c r="B33" s="149"/>
      <c r="C33" s="98" t="s">
        <v>108</v>
      </c>
      <c r="D33" s="120">
        <v>0</v>
      </c>
      <c r="E33" s="152">
        <v>1.09E-2</v>
      </c>
      <c r="F33" s="93"/>
      <c r="G33" s="93"/>
    </row>
    <row r="34" spans="2:7" s="94" customFormat="1" outlineLevel="4">
      <c r="B34" s="149"/>
      <c r="C34" s="98" t="s">
        <v>109</v>
      </c>
      <c r="D34" s="120">
        <v>0</v>
      </c>
      <c r="E34" s="152">
        <v>2.0999999999999999E-3</v>
      </c>
      <c r="F34" s="93"/>
      <c r="G34" s="93"/>
    </row>
    <row r="35" spans="2:7" s="94" customFormat="1" outlineLevel="4">
      <c r="B35" s="149"/>
      <c r="C35" s="98" t="s">
        <v>110</v>
      </c>
      <c r="D35" s="120">
        <v>0</v>
      </c>
      <c r="E35" s="152">
        <v>1.29E-2</v>
      </c>
      <c r="F35" s="93"/>
      <c r="G35" s="93"/>
    </row>
    <row r="36" spans="2:7" s="94" customFormat="1" outlineLevel="4">
      <c r="B36" s="149"/>
      <c r="C36" s="98" t="s">
        <v>111</v>
      </c>
      <c r="D36" s="120">
        <v>0</v>
      </c>
      <c r="E36" s="152">
        <v>8.9999999999999998E-4</v>
      </c>
      <c r="F36" s="93"/>
      <c r="G36" s="93"/>
    </row>
    <row r="37" spans="2:7" s="94" customFormat="1" outlineLevel="4">
      <c r="B37" s="149"/>
      <c r="C37" s="98" t="s">
        <v>112</v>
      </c>
      <c r="D37" s="120">
        <v>0</v>
      </c>
      <c r="E37" s="152">
        <v>4.7999999999999996E-3</v>
      </c>
      <c r="F37" s="93"/>
      <c r="G37" s="93"/>
    </row>
    <row r="38" spans="2:7" outlineLevel="3">
      <c r="B38" s="148">
        <v>3.13</v>
      </c>
      <c r="C38" s="101" t="s">
        <v>114</v>
      </c>
      <c r="D38" s="123">
        <f>SUMPRODUCT(E39:E48,D39:D48)</f>
        <v>1.8620190234901527E-2</v>
      </c>
      <c r="E38" s="154">
        <f>SUM(E39:E48)</f>
        <v>0.11459999999999999</v>
      </c>
    </row>
    <row r="39" spans="2:7" s="94" customFormat="1" outlineLevel="4">
      <c r="B39" s="149"/>
      <c r="C39" s="98" t="s">
        <v>103</v>
      </c>
      <c r="D39" s="120">
        <v>0.53</v>
      </c>
      <c r="E39" s="152">
        <v>1.1999999999999999E-3</v>
      </c>
      <c r="F39" s="479">
        <f>Table5[[#This Row],[وزن تدقیق شده فیزیکی]]/$E$38</f>
        <v>1.0471204188481674E-2</v>
      </c>
      <c r="G39" s="93"/>
    </row>
    <row r="40" spans="2:7" s="94" customFormat="1" outlineLevel="4">
      <c r="B40" s="149"/>
      <c r="C40" s="98" t="s">
        <v>104</v>
      </c>
      <c r="D40" s="120">
        <f>خاکبرداری!F6</f>
        <v>0.72</v>
      </c>
      <c r="E40" s="152">
        <v>3.2000000000000002E-3</v>
      </c>
      <c r="F40" s="479">
        <f>Table5[[#This Row],[وزن تدقیق شده فیزیکی]]/$E$38</f>
        <v>2.7923211169284472E-2</v>
      </c>
      <c r="G40" s="93"/>
    </row>
    <row r="41" spans="2:7" s="94" customFormat="1" outlineLevel="4">
      <c r="B41" s="149"/>
      <c r="C41" s="98" t="s">
        <v>105</v>
      </c>
      <c r="D41" s="120">
        <f>خاکریزی!G7</f>
        <v>0</v>
      </c>
      <c r="E41" s="152">
        <v>8.0000000000000004E-4</v>
      </c>
      <c r="F41" s="479">
        <f>Table5[[#This Row],[وزن تدقیق شده فیزیکی]]/$E$38</f>
        <v>6.9808027923211179E-3</v>
      </c>
      <c r="G41" s="93"/>
    </row>
    <row r="42" spans="2:7" s="94" customFormat="1" outlineLevel="4">
      <c r="B42" s="149"/>
      <c r="C42" s="98" t="s">
        <v>106</v>
      </c>
      <c r="D42" s="120">
        <f>حفاری!Q6</f>
        <v>0.28016268834655189</v>
      </c>
      <c r="E42" s="152">
        <v>4.8799999999999996E-2</v>
      </c>
      <c r="F42" s="479">
        <f>Table5[[#This Row],[وزن تدقیق شده فیزیکی]]/$E$38</f>
        <v>0.42582897033158812</v>
      </c>
      <c r="G42" s="93"/>
    </row>
    <row r="43" spans="2:7" s="94" customFormat="1" outlineLevel="4">
      <c r="B43" s="149"/>
      <c r="C43" s="98" t="s">
        <v>107</v>
      </c>
      <c r="D43" s="120">
        <f>لاینینگ!E6</f>
        <v>4.0143215700967447E-2</v>
      </c>
      <c r="E43" s="152">
        <v>3.0800000000000001E-2</v>
      </c>
      <c r="F43" s="479">
        <f>Table5[[#This Row],[وزن تدقیق شده فیزیکی]]/$E$38</f>
        <v>0.26876090750436304</v>
      </c>
      <c r="G43" s="93"/>
    </row>
    <row r="44" spans="2:7" s="94" customFormat="1" outlineLevel="4">
      <c r="B44" s="149"/>
      <c r="C44" s="98" t="s">
        <v>108</v>
      </c>
      <c r="D44" s="120">
        <v>4.02E-2</v>
      </c>
      <c r="E44" s="152">
        <v>1.9199999999999998E-2</v>
      </c>
      <c r="F44" s="479">
        <f>Table5[[#This Row],[وزن تدقیق شده فیزیکی]]/$E$38</f>
        <v>0.16753926701570679</v>
      </c>
      <c r="G44" s="93"/>
    </row>
    <row r="45" spans="2:7" s="94" customFormat="1" outlineLevel="4">
      <c r="B45" s="149"/>
      <c r="C45" s="98" t="s">
        <v>109</v>
      </c>
      <c r="D45" s="120">
        <v>0</v>
      </c>
      <c r="E45" s="152">
        <v>5.0000000000000001E-4</v>
      </c>
      <c r="F45" s="479">
        <f>Table5[[#This Row],[وزن تدقیق شده فیزیکی]]/$E$38</f>
        <v>4.3630017452006981E-3</v>
      </c>
      <c r="G45" s="93"/>
    </row>
    <row r="46" spans="2:7" s="94" customFormat="1" outlineLevel="4">
      <c r="B46" s="149"/>
      <c r="C46" s="98" t="s">
        <v>110</v>
      </c>
      <c r="D46" s="120">
        <v>0</v>
      </c>
      <c r="E46" s="152">
        <v>4.3E-3</v>
      </c>
      <c r="F46" s="479">
        <f>Table5[[#This Row],[وزن تدقیق شده فیزیکی]]/$E$38</f>
        <v>3.7521815008726006E-2</v>
      </c>
      <c r="G46" s="93"/>
    </row>
    <row r="47" spans="2:7" s="94" customFormat="1" outlineLevel="4">
      <c r="B47" s="149"/>
      <c r="C47" s="98" t="s">
        <v>111</v>
      </c>
      <c r="D47" s="120">
        <v>0</v>
      </c>
      <c r="E47" s="152">
        <v>1E-3</v>
      </c>
      <c r="F47" s="479">
        <f>Table5[[#This Row],[وزن تدقیق شده فیزیکی]]/$E$38</f>
        <v>8.7260034904013961E-3</v>
      </c>
      <c r="G47" s="93"/>
    </row>
    <row r="48" spans="2:7" s="94" customFormat="1" outlineLevel="4">
      <c r="B48" s="149"/>
      <c r="C48" s="98" t="s">
        <v>112</v>
      </c>
      <c r="D48" s="120">
        <v>0</v>
      </c>
      <c r="E48" s="152">
        <v>4.7999999999999996E-3</v>
      </c>
      <c r="F48" s="479">
        <f>Table5[[#This Row],[وزن تدقیق شده فیزیکی]]/$E$38</f>
        <v>4.1884816753926697E-2</v>
      </c>
      <c r="G48" s="93"/>
    </row>
    <row r="49" spans="2:7" outlineLevel="3">
      <c r="B49" s="148">
        <v>3.14</v>
      </c>
      <c r="C49" s="101" t="s">
        <v>115</v>
      </c>
      <c r="D49" s="123">
        <f>SUMPRODUCT(E50:E60,D50:D60)</f>
        <v>6.5096821927944429E-3</v>
      </c>
      <c r="E49" s="154">
        <f>SUM(E50:E60)</f>
        <v>8.8099999999999998E-2</v>
      </c>
    </row>
    <row r="50" spans="2:7" s="94" customFormat="1" outlineLevel="4">
      <c r="B50" s="149"/>
      <c r="C50" s="98" t="s">
        <v>103</v>
      </c>
      <c r="D50" s="120">
        <v>0.52</v>
      </c>
      <c r="E50" s="152">
        <v>1.1999999999999999E-3</v>
      </c>
      <c r="F50" s="93"/>
      <c r="G50" s="93"/>
    </row>
    <row r="51" spans="2:7" s="94" customFormat="1" outlineLevel="4">
      <c r="B51" s="149"/>
      <c r="C51" s="98" t="s">
        <v>104</v>
      </c>
      <c r="D51" s="120">
        <f>خاکبرداری!F7</f>
        <v>0.15774545454545455</v>
      </c>
      <c r="E51" s="152">
        <v>5.1999999999999998E-3</v>
      </c>
      <c r="F51" s="93"/>
      <c r="G51" s="93"/>
    </row>
    <row r="52" spans="2:7" s="94" customFormat="1" outlineLevel="4">
      <c r="B52" s="149"/>
      <c r="C52" s="98" t="s">
        <v>105</v>
      </c>
      <c r="D52" s="120">
        <f>خاکریزی!G8</f>
        <v>0</v>
      </c>
      <c r="E52" s="152">
        <v>7.000000000000001E-4</v>
      </c>
      <c r="F52" s="93"/>
      <c r="G52" s="93"/>
    </row>
    <row r="53" spans="2:7" s="94" customFormat="1" outlineLevel="4">
      <c r="B53" s="149"/>
      <c r="C53" s="98" t="s">
        <v>106</v>
      </c>
      <c r="D53" s="120">
        <f>حفاری!Q7</f>
        <v>0.31245985332149179</v>
      </c>
      <c r="E53" s="152">
        <v>1.4800000000000001E-2</v>
      </c>
      <c r="F53" s="93"/>
      <c r="G53" s="93"/>
    </row>
    <row r="54" spans="2:7" s="94" customFormat="1" outlineLevel="4">
      <c r="B54" s="149"/>
      <c r="C54" s="98" t="s">
        <v>107</v>
      </c>
      <c r="D54" s="120">
        <v>0</v>
      </c>
      <c r="E54" s="152">
        <v>9.300000000000001E-3</v>
      </c>
      <c r="F54" s="93"/>
      <c r="G54" s="93"/>
    </row>
    <row r="55" spans="2:7" s="94" customFormat="1" outlineLevel="4">
      <c r="B55" s="149"/>
      <c r="C55" s="98" t="s">
        <v>108</v>
      </c>
      <c r="D55" s="120">
        <v>0</v>
      </c>
      <c r="E55" s="152">
        <v>1.55E-2</v>
      </c>
      <c r="F55" s="93"/>
      <c r="G55" s="93"/>
    </row>
    <row r="56" spans="2:7" s="94" customFormat="1" outlineLevel="4">
      <c r="B56" s="149"/>
      <c r="C56" s="98" t="s">
        <v>109</v>
      </c>
      <c r="D56" s="120">
        <v>0</v>
      </c>
      <c r="E56" s="152">
        <v>2.0000000000000001E-4</v>
      </c>
      <c r="F56" s="93"/>
      <c r="G56" s="93"/>
    </row>
    <row r="57" spans="2:7" s="94" customFormat="1" outlineLevel="4">
      <c r="B57" s="149"/>
      <c r="C57" s="98" t="s">
        <v>110</v>
      </c>
      <c r="D57" s="120">
        <v>0.03</v>
      </c>
      <c r="E57" s="152">
        <v>1.47E-2</v>
      </c>
      <c r="F57" s="93"/>
      <c r="G57" s="93"/>
    </row>
    <row r="58" spans="2:7" s="94" customFormat="1" outlineLevel="4">
      <c r="B58" s="149"/>
      <c r="C58" s="98" t="s">
        <v>111</v>
      </c>
      <c r="D58" s="120">
        <v>0</v>
      </c>
      <c r="E58" s="152">
        <v>2.9999999999999997E-4</v>
      </c>
      <c r="F58" s="93"/>
      <c r="G58" s="93"/>
    </row>
    <row r="59" spans="2:7" s="94" customFormat="1" outlineLevel="4">
      <c r="B59" s="149"/>
      <c r="C59" s="98" t="s">
        <v>116</v>
      </c>
      <c r="D59" s="120">
        <v>0</v>
      </c>
      <c r="E59" s="152">
        <v>1.67E-2</v>
      </c>
      <c r="F59" s="93"/>
      <c r="G59" s="93"/>
    </row>
    <row r="60" spans="2:7" s="94" customFormat="1" outlineLevel="4">
      <c r="B60" s="149"/>
      <c r="C60" s="98" t="s">
        <v>112</v>
      </c>
      <c r="D60" s="120">
        <v>0</v>
      </c>
      <c r="E60" s="152">
        <v>9.4999999999999998E-3</v>
      </c>
      <c r="F60" s="93"/>
      <c r="G60" s="93"/>
    </row>
    <row r="61" spans="2:7" outlineLevel="3">
      <c r="B61" s="148">
        <v>3.15</v>
      </c>
      <c r="C61" s="102" t="s">
        <v>120</v>
      </c>
      <c r="D61" s="123">
        <f>D62*E62</f>
        <v>0</v>
      </c>
      <c r="E61" s="154">
        <f>E62</f>
        <v>3.4300000000000004E-2</v>
      </c>
    </row>
    <row r="62" spans="2:7" s="94" customFormat="1" outlineLevel="4">
      <c r="B62" s="149"/>
      <c r="C62" s="98" t="s">
        <v>121</v>
      </c>
      <c r="D62" s="123">
        <v>0</v>
      </c>
      <c r="E62" s="154">
        <v>3.4300000000000004E-2</v>
      </c>
      <c r="F62" s="93"/>
      <c r="G62" s="93"/>
    </row>
    <row r="63" spans="2:7" outlineLevel="3">
      <c r="B63" s="148">
        <v>3.16</v>
      </c>
      <c r="C63" s="102" t="s">
        <v>122</v>
      </c>
      <c r="D63" s="123">
        <f>D64*E64</f>
        <v>0</v>
      </c>
      <c r="E63" s="154">
        <f>E64</f>
        <v>1.67E-2</v>
      </c>
    </row>
    <row r="64" spans="2:7" s="94" customFormat="1" ht="36" outlineLevel="3">
      <c r="B64" s="149"/>
      <c r="C64" s="98" t="s">
        <v>123</v>
      </c>
      <c r="D64" s="120">
        <v>0</v>
      </c>
      <c r="E64" s="152">
        <v>1.67E-2</v>
      </c>
      <c r="F64" s="93"/>
      <c r="G64" s="93"/>
    </row>
    <row r="65" spans="2:7" outlineLevel="2">
      <c r="B65" s="165">
        <v>3.2</v>
      </c>
      <c r="C65" s="100" t="s">
        <v>124</v>
      </c>
      <c r="D65" s="124">
        <f>(D66*E66)+D67</f>
        <v>0.19980000000000003</v>
      </c>
      <c r="E65" s="155">
        <f>SUM(E66:E67)</f>
        <v>0.46009999999999995</v>
      </c>
    </row>
    <row r="66" spans="2:7" outlineLevel="3">
      <c r="B66" s="148">
        <v>3.21</v>
      </c>
      <c r="C66" s="101" t="s">
        <v>126</v>
      </c>
      <c r="D66" s="123">
        <v>0.75</v>
      </c>
      <c r="E66" s="154">
        <v>0.26640000000000003</v>
      </c>
    </row>
    <row r="67" spans="2:7" outlineLevel="3">
      <c r="B67" s="148">
        <v>3.22</v>
      </c>
      <c r="C67" s="101" t="s">
        <v>125</v>
      </c>
      <c r="D67" s="123">
        <f>D68+D76+D78</f>
        <v>0</v>
      </c>
      <c r="E67" s="154">
        <f>E68+E76+E78</f>
        <v>0.19369999999999996</v>
      </c>
    </row>
    <row r="68" spans="2:7" outlineLevel="4">
      <c r="B68" s="128" t="s">
        <v>142</v>
      </c>
      <c r="C68" s="103" t="s">
        <v>127</v>
      </c>
      <c r="D68" s="128">
        <f>SUMPRODUCT(E69:E75,D69:D75)</f>
        <v>0</v>
      </c>
      <c r="E68" s="156">
        <f>SUM(E69:E75)</f>
        <v>0.16369999999999996</v>
      </c>
    </row>
    <row r="69" spans="2:7" s="94" customFormat="1" outlineLevel="5">
      <c r="B69" s="210"/>
      <c r="C69" s="211" t="s">
        <v>130</v>
      </c>
      <c r="D69" s="133">
        <v>0</v>
      </c>
      <c r="E69" s="212">
        <v>4.5999999999999999E-3</v>
      </c>
      <c r="F69" s="93"/>
      <c r="G69" s="93"/>
    </row>
    <row r="70" spans="2:7" s="94" customFormat="1" outlineLevel="5">
      <c r="B70" s="210"/>
      <c r="C70" s="211" t="s">
        <v>131</v>
      </c>
      <c r="D70" s="133">
        <v>0</v>
      </c>
      <c r="E70" s="212">
        <v>0.13159999999999999</v>
      </c>
      <c r="F70" s="93"/>
      <c r="G70" s="93"/>
    </row>
    <row r="71" spans="2:7" s="94" customFormat="1" outlineLevel="5">
      <c r="B71" s="210"/>
      <c r="C71" s="211" t="s">
        <v>132</v>
      </c>
      <c r="D71" s="133">
        <v>0</v>
      </c>
      <c r="E71" s="212">
        <v>3.4999999999999996E-3</v>
      </c>
      <c r="F71" s="93"/>
      <c r="G71" s="93"/>
    </row>
    <row r="72" spans="2:7" s="94" customFormat="1" outlineLevel="5">
      <c r="B72" s="210"/>
      <c r="C72" s="211" t="s">
        <v>133</v>
      </c>
      <c r="D72" s="133">
        <v>0</v>
      </c>
      <c r="E72" s="212">
        <v>8.199999999999999E-3</v>
      </c>
      <c r="F72" s="93"/>
      <c r="G72" s="93"/>
    </row>
    <row r="73" spans="2:7" s="94" customFormat="1" outlineLevel="5">
      <c r="B73" s="210"/>
      <c r="C73" s="211" t="s">
        <v>134</v>
      </c>
      <c r="D73" s="133">
        <v>0</v>
      </c>
      <c r="E73" s="212">
        <v>4.8999999999999998E-3</v>
      </c>
      <c r="F73" s="93"/>
      <c r="G73" s="93"/>
    </row>
    <row r="74" spans="2:7" s="94" customFormat="1" outlineLevel="5">
      <c r="B74" s="210"/>
      <c r="C74" s="211" t="s">
        <v>135</v>
      </c>
      <c r="D74" s="133">
        <v>0</v>
      </c>
      <c r="E74" s="212">
        <v>9.3999999999999986E-3</v>
      </c>
      <c r="F74" s="93"/>
      <c r="G74" s="93"/>
    </row>
    <row r="75" spans="2:7" s="94" customFormat="1" outlineLevel="5">
      <c r="B75" s="210"/>
      <c r="C75" s="211" t="s">
        <v>136</v>
      </c>
      <c r="D75" s="133">
        <v>0</v>
      </c>
      <c r="E75" s="212">
        <v>1.5E-3</v>
      </c>
      <c r="F75" s="93"/>
      <c r="G75" s="93"/>
    </row>
    <row r="76" spans="2:7" outlineLevel="4">
      <c r="B76" s="128" t="s">
        <v>143</v>
      </c>
      <c r="C76" s="103" t="s">
        <v>128</v>
      </c>
      <c r="D76" s="128">
        <f>D77*E77</f>
        <v>0</v>
      </c>
      <c r="E76" s="156">
        <f>E77</f>
        <v>2.52E-2</v>
      </c>
    </row>
    <row r="77" spans="2:7" s="94" customFormat="1" outlineLevel="5">
      <c r="B77" s="149"/>
      <c r="C77" s="104" t="s">
        <v>137</v>
      </c>
      <c r="D77" s="128">
        <v>0</v>
      </c>
      <c r="E77" s="156">
        <v>2.52E-2</v>
      </c>
      <c r="F77" s="93"/>
      <c r="G77" s="93"/>
    </row>
    <row r="78" spans="2:7" outlineLevel="4">
      <c r="B78" s="128" t="s">
        <v>144</v>
      </c>
      <c r="C78" s="103" t="s">
        <v>129</v>
      </c>
      <c r="D78" s="128">
        <f>D79*E79</f>
        <v>0</v>
      </c>
      <c r="E78" s="156">
        <f>E79</f>
        <v>4.7999999999999996E-3</v>
      </c>
    </row>
    <row r="79" spans="2:7" s="94" customFormat="1" outlineLevel="3">
      <c r="B79" s="149"/>
      <c r="C79" s="104" t="s">
        <v>138</v>
      </c>
      <c r="D79" s="120">
        <v>0</v>
      </c>
      <c r="E79" s="152">
        <v>4.7999999999999996E-3</v>
      </c>
      <c r="F79" s="93"/>
      <c r="G79" s="93"/>
    </row>
    <row r="80" spans="2:7" outlineLevel="2">
      <c r="B80" s="165">
        <v>3.3</v>
      </c>
      <c r="C80" s="100" t="s">
        <v>139</v>
      </c>
      <c r="D80" s="124">
        <f>SUMPRODUCT(E81:E82,D81:D82)</f>
        <v>0</v>
      </c>
      <c r="E80" s="155">
        <f>E81+E82</f>
        <v>2.53E-2</v>
      </c>
    </row>
    <row r="81" spans="2:7" s="94" customFormat="1" outlineLevel="3">
      <c r="B81" s="97"/>
      <c r="C81" s="98" t="s">
        <v>140</v>
      </c>
      <c r="D81" s="120">
        <v>0</v>
      </c>
      <c r="E81" s="105">
        <v>1.01E-2</v>
      </c>
      <c r="F81" s="93"/>
      <c r="G81" s="93"/>
    </row>
    <row r="82" spans="2:7" s="94" customFormat="1" outlineLevel="3">
      <c r="B82" s="97"/>
      <c r="C82" s="98" t="s">
        <v>141</v>
      </c>
      <c r="D82" s="120">
        <v>0</v>
      </c>
      <c r="E82" s="105">
        <v>1.52E-2</v>
      </c>
      <c r="F82" s="93"/>
      <c r="G82" s="93"/>
    </row>
    <row r="83" spans="2:7" outlineLevel="2">
      <c r="E83" s="107"/>
    </row>
    <row r="84" spans="2:7" outlineLevel="1">
      <c r="E84" s="107"/>
    </row>
    <row r="85" spans="2:7">
      <c r="E85" s="10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3:D13"/>
  <sheetViews>
    <sheetView showGridLines="0" rightToLeft="1" topLeftCell="D1" zoomScale="85" zoomScaleNormal="85" workbookViewId="0">
      <selection activeCell="D4" sqref="D4"/>
    </sheetView>
  </sheetViews>
  <sheetFormatPr defaultRowHeight="18"/>
  <cols>
    <col min="1" max="1" width="9.140625" style="91"/>
    <col min="2" max="2" width="19.140625" style="91" bestFit="1" customWidth="1"/>
    <col min="3" max="3" width="6.42578125" style="91" bestFit="1" customWidth="1"/>
    <col min="4" max="4" width="9.140625" style="114"/>
    <col min="5" max="16384" width="9.140625" style="91"/>
  </cols>
  <sheetData>
    <row r="3" spans="2:4">
      <c r="B3" s="112" t="s">
        <v>146</v>
      </c>
      <c r="C3" s="380">
        <f>'WBS-با البرز شرقی'!D11/'WBS-با البرز شرقی'!E11</f>
        <v>0.872</v>
      </c>
      <c r="D3" s="114">
        <v>1</v>
      </c>
    </row>
    <row r="4" spans="2:4">
      <c r="B4" s="112" t="s">
        <v>147</v>
      </c>
      <c r="C4" s="380">
        <f>'WBS-با البرز شرقی'!D5/'WBS-با البرز شرقی'!E5</f>
        <v>0.66915422885572129</v>
      </c>
      <c r="D4" s="114">
        <v>1</v>
      </c>
    </row>
    <row r="5" spans="2:4">
      <c r="B5" s="113" t="s">
        <v>69</v>
      </c>
      <c r="C5" s="380">
        <f>'WBS-با البرز شرقی'!D16/'WBS-با البرز شرقی'!E16</f>
        <v>0.15804783423547611</v>
      </c>
      <c r="D5" s="114">
        <v>1</v>
      </c>
    </row>
    <row r="6" spans="2:4">
      <c r="B6" s="113" t="s">
        <v>70</v>
      </c>
      <c r="C6" s="380">
        <f>'WBS-با البرز شرقی'!D27/'WBS-با البرز شرقی'!E27</f>
        <v>0.17321833779945736</v>
      </c>
      <c r="D6" s="114">
        <v>1</v>
      </c>
    </row>
    <row r="7" spans="2:4">
      <c r="B7" s="113" t="s">
        <v>71</v>
      </c>
      <c r="C7" s="380">
        <f>'WBS-با البرز شرقی'!D38/'WBS-با البرز شرقی'!E38</f>
        <v>0.16247984498168871</v>
      </c>
      <c r="D7" s="114">
        <v>1</v>
      </c>
    </row>
    <row r="8" spans="2:4">
      <c r="B8" s="113" t="s">
        <v>72</v>
      </c>
      <c r="C8" s="380">
        <f>'WBS-با البرز شرقی'!D49/'WBS-با البرز شرقی'!E49</f>
        <v>7.3889695718438633E-2</v>
      </c>
      <c r="D8" s="114">
        <v>1</v>
      </c>
    </row>
    <row r="9" spans="2:4">
      <c r="B9" s="112" t="s">
        <v>148</v>
      </c>
      <c r="C9" s="380">
        <f>'WBS-با البرز شرقی'!D66</f>
        <v>0.75</v>
      </c>
      <c r="D9" s="114">
        <v>1</v>
      </c>
    </row>
    <row r="10" spans="2:4">
      <c r="B10" s="112" t="s">
        <v>149</v>
      </c>
      <c r="C10" s="380">
        <f>'WBS-با البرز شرقی'!D67/'WBS-با البرز شرقی'!E67</f>
        <v>0</v>
      </c>
      <c r="D10" s="114">
        <v>1</v>
      </c>
    </row>
    <row r="11" spans="2:4">
      <c r="B11" s="112" t="s">
        <v>150</v>
      </c>
      <c r="C11" s="380">
        <f>'WBS-با البرز شرقی'!D61/'WBS-با البرز شرقی'!E61</f>
        <v>0</v>
      </c>
      <c r="D11" s="114">
        <v>1</v>
      </c>
    </row>
    <row r="12" spans="2:4">
      <c r="B12" s="112" t="s">
        <v>151</v>
      </c>
      <c r="C12" s="380">
        <f>'WBS-با البرز شرقی'!D63/'WBS-با البرز شرقی'!E63</f>
        <v>0</v>
      </c>
      <c r="D12" s="114">
        <v>1</v>
      </c>
    </row>
    <row r="13" spans="2:4">
      <c r="B13" s="112" t="s">
        <v>302</v>
      </c>
      <c r="C13" s="380">
        <f>'WBS-با البرز شرقی'!D80/'WBS-با البرز شرقی'!E80</f>
        <v>0</v>
      </c>
      <c r="D13" s="114">
        <v>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J82"/>
  <sheetViews>
    <sheetView showGridLines="0" rightToLeft="1" topLeftCell="B1" workbookViewId="0">
      <pane xSplit="2" ySplit="3" topLeftCell="D4" activePane="bottomRight" state="frozenSplit"/>
      <selection activeCell="D4" sqref="D4"/>
      <selection pane="topRight" activeCell="D4" sqref="D4"/>
      <selection pane="bottomLeft" activeCell="D4" sqref="D4"/>
      <selection pane="bottomRight" activeCell="D4" sqref="D4"/>
    </sheetView>
  </sheetViews>
  <sheetFormatPr defaultRowHeight="21" customHeight="1" outlineLevelRow="4"/>
  <cols>
    <col min="1" max="1" width="9.140625" style="91"/>
    <col min="2" max="2" width="9.140625" style="92"/>
    <col min="3" max="3" width="47.28515625" style="91" bestFit="1" customWidth="1"/>
    <col min="4" max="4" width="12.28515625" style="121" bestFit="1" customWidth="1"/>
    <col min="5" max="5" width="19.42578125" style="108" bestFit="1" customWidth="1"/>
    <col min="6" max="6" width="9.140625" style="91"/>
    <col min="7" max="7" width="39.42578125" style="91" hidden="1" customWidth="1"/>
    <col min="8" max="9" width="0" style="91" hidden="1" customWidth="1"/>
    <col min="10" max="10" width="22.7109375" style="91" hidden="1" customWidth="1"/>
    <col min="11" max="11" width="0" style="91" hidden="1" customWidth="1"/>
    <col min="12" max="16384" width="9.140625" style="91"/>
  </cols>
  <sheetData>
    <row r="2" spans="2:10" ht="21" customHeight="1" thickBot="1"/>
    <row r="3" spans="2:10" ht="21" customHeight="1">
      <c r="B3" s="138" t="s">
        <v>118</v>
      </c>
      <c r="C3" s="139" t="s">
        <v>117</v>
      </c>
      <c r="D3" s="140" t="s">
        <v>64</v>
      </c>
      <c r="E3" s="141" t="s">
        <v>145</v>
      </c>
    </row>
    <row r="4" spans="2:10" ht="21" customHeight="1" thickBot="1">
      <c r="B4" s="142">
        <v>0</v>
      </c>
      <c r="C4" s="143" t="s">
        <v>119</v>
      </c>
      <c r="D4" s="144">
        <f>D5+D10+D13</f>
        <v>0.13693106785931386</v>
      </c>
      <c r="E4" s="145">
        <f>E5+E10+E13</f>
        <v>1.0000000000000002</v>
      </c>
      <c r="G4" s="516" t="s">
        <v>119</v>
      </c>
      <c r="H4" s="131">
        <f>H5+H10+H13</f>
        <v>4.2554840000000003E-2</v>
      </c>
      <c r="I4" s="517">
        <f>I5+I10+I13</f>
        <v>0.72249999999999992</v>
      </c>
      <c r="J4" s="529">
        <f>J5+J10+J13</f>
        <v>1.0000000000000002</v>
      </c>
    </row>
    <row r="5" spans="2:10" ht="21" hidden="1" customHeight="1" outlineLevel="1">
      <c r="B5" s="134">
        <v>1</v>
      </c>
      <c r="C5" s="135" t="s">
        <v>91</v>
      </c>
      <c r="D5" s="136">
        <f>SUMPRODUCT(D6:D9,E6:E9)</f>
        <v>1.7508650519031145E-2</v>
      </c>
      <c r="E5" s="137">
        <f>SUM(E6:E9)</f>
        <v>2.6435986159169554E-2</v>
      </c>
      <c r="G5" s="96" t="s">
        <v>91</v>
      </c>
      <c r="H5" s="122">
        <f>SUMPRODUCT(H6:H9,I6:I9)</f>
        <v>1.265E-2</v>
      </c>
      <c r="I5" s="109">
        <f>SUM(I6:I9)</f>
        <v>1.9100000000000002E-2</v>
      </c>
      <c r="J5" s="520">
        <f>SUM(J6:J9)</f>
        <v>2.6435986159169554E-2</v>
      </c>
    </row>
    <row r="6" spans="2:10" s="94" customFormat="1" ht="21" hidden="1" customHeight="1" outlineLevel="2">
      <c r="B6" s="97"/>
      <c r="C6" s="98" t="s">
        <v>92</v>
      </c>
      <c r="D6" s="120">
        <v>1</v>
      </c>
      <c r="E6" s="105">
        <v>1.3840830449826992E-2</v>
      </c>
      <c r="G6" s="98" t="s">
        <v>92</v>
      </c>
      <c r="H6" s="120">
        <v>1</v>
      </c>
      <c r="I6" s="105">
        <v>0.01</v>
      </c>
      <c r="J6" s="107">
        <f>I6/$I$4</f>
        <v>1.3840830449826992E-2</v>
      </c>
    </row>
    <row r="7" spans="2:10" s="94" customFormat="1" ht="21" hidden="1" customHeight="1" outlineLevel="2">
      <c r="B7" s="97"/>
      <c r="C7" s="98" t="s">
        <v>93</v>
      </c>
      <c r="D7" s="120">
        <v>0.5</v>
      </c>
      <c r="E7" s="105">
        <v>7.3356401384083057E-3</v>
      </c>
      <c r="G7" s="98" t="s">
        <v>93</v>
      </c>
      <c r="H7" s="120">
        <v>0.5</v>
      </c>
      <c r="I7" s="105">
        <v>5.3E-3</v>
      </c>
      <c r="J7" s="526">
        <f>I7/$I$4</f>
        <v>7.3356401384083057E-3</v>
      </c>
    </row>
    <row r="8" spans="2:10" s="94" customFormat="1" ht="21" hidden="1" customHeight="1" outlineLevel="2">
      <c r="B8" s="97"/>
      <c r="C8" s="98" t="s">
        <v>95</v>
      </c>
      <c r="D8" s="120">
        <v>0</v>
      </c>
      <c r="E8" s="105">
        <v>4.0138408304498273E-3</v>
      </c>
      <c r="G8" s="98" t="s">
        <v>95</v>
      </c>
      <c r="H8" s="120">
        <v>0</v>
      </c>
      <c r="I8" s="105">
        <v>2.8999999999999998E-3</v>
      </c>
      <c r="J8" s="107">
        <f t="shared" ref="J8:J9" si="0">I8/$I$4</f>
        <v>4.0138408304498273E-3</v>
      </c>
    </row>
    <row r="9" spans="2:10" s="94" customFormat="1" ht="21" hidden="1" customHeight="1" outlineLevel="2">
      <c r="B9" s="97"/>
      <c r="C9" s="98" t="s">
        <v>96</v>
      </c>
      <c r="D9" s="120">
        <v>0</v>
      </c>
      <c r="E9" s="105">
        <v>1.2456747404844292E-3</v>
      </c>
      <c r="G9" s="98" t="s">
        <v>96</v>
      </c>
      <c r="H9" s="120">
        <v>0</v>
      </c>
      <c r="I9" s="105">
        <v>8.9999999999999998E-4</v>
      </c>
      <c r="J9" s="107">
        <f t="shared" si="0"/>
        <v>1.2456747404844292E-3</v>
      </c>
    </row>
    <row r="10" spans="2:10" ht="21" hidden="1" customHeight="1" outlineLevel="1">
      <c r="B10" s="110">
        <v>2</v>
      </c>
      <c r="C10" s="96" t="s">
        <v>97</v>
      </c>
      <c r="D10" s="122">
        <f>SUMPRODUCT(E11:E12,D11:D12)</f>
        <v>3.6207612456747404E-2</v>
      </c>
      <c r="E10" s="109">
        <f>SUM(E11:E12)</f>
        <v>4.1522491349480974E-2</v>
      </c>
      <c r="G10" s="96" t="s">
        <v>97</v>
      </c>
      <c r="H10" s="122">
        <f>SUMPRODUCT(I11:I12,H11:H12)</f>
        <v>2.6160000000000003E-2</v>
      </c>
      <c r="I10" s="109">
        <f>SUM(I11:I12)</f>
        <v>3.0000000000000002E-2</v>
      </c>
      <c r="J10" s="520">
        <f>SUM(J11:J12)</f>
        <v>4.1522491349480974E-2</v>
      </c>
    </row>
    <row r="11" spans="2:10" s="94" customFormat="1" ht="21" hidden="1" customHeight="1" outlineLevel="2">
      <c r="B11" s="97"/>
      <c r="C11" s="98" t="s">
        <v>98</v>
      </c>
      <c r="D11" s="146">
        <v>1</v>
      </c>
      <c r="E11" s="105">
        <v>6.0899653979238763E-3</v>
      </c>
      <c r="G11" s="99" t="s">
        <v>98</v>
      </c>
      <c r="H11" s="120">
        <v>1</v>
      </c>
      <c r="I11" s="105">
        <v>4.4000000000000003E-3</v>
      </c>
      <c r="J11" s="526">
        <f t="shared" ref="J11:J12" si="1">I11/$I$4</f>
        <v>6.0899653979238763E-3</v>
      </c>
    </row>
    <row r="12" spans="2:10" s="94" customFormat="1" ht="21" hidden="1" customHeight="1" outlineLevel="2">
      <c r="B12" s="97"/>
      <c r="C12" s="98" t="s">
        <v>99</v>
      </c>
      <c r="D12" s="146">
        <v>0.85</v>
      </c>
      <c r="E12" s="105">
        <v>3.5432525951557096E-2</v>
      </c>
      <c r="G12" s="518" t="s">
        <v>99</v>
      </c>
      <c r="H12" s="120">
        <v>0.85</v>
      </c>
      <c r="I12" s="105">
        <v>2.5600000000000001E-2</v>
      </c>
      <c r="J12" s="525">
        <f t="shared" si="1"/>
        <v>3.5432525951557096E-2</v>
      </c>
    </row>
    <row r="13" spans="2:10" ht="21" hidden="1" customHeight="1" outlineLevel="1">
      <c r="B13" s="110">
        <v>3</v>
      </c>
      <c r="C13" s="96" t="s">
        <v>100</v>
      </c>
      <c r="D13" s="122">
        <f>D14+D64+D78</f>
        <v>8.3214804883535318E-2</v>
      </c>
      <c r="E13" s="109">
        <f>E14+E64+E78</f>
        <v>0.93204152249134964</v>
      </c>
      <c r="G13" s="96" t="s">
        <v>100</v>
      </c>
      <c r="H13" s="122">
        <f>H14+H64+H78</f>
        <v>3.7448399999999997E-3</v>
      </c>
      <c r="I13" s="109">
        <f>I14+I64+I78</f>
        <v>0.67339999999999989</v>
      </c>
      <c r="J13" s="520">
        <f>J14+J64+J78</f>
        <v>0.93204152249134964</v>
      </c>
    </row>
    <row r="14" spans="2:10" ht="21" hidden="1" customHeight="1" outlineLevel="2">
      <c r="B14" s="95">
        <v>3.1</v>
      </c>
      <c r="C14" s="100" t="s">
        <v>101</v>
      </c>
      <c r="D14" s="124">
        <f>D15+D26+D37+D48+D60+D62</f>
        <v>8.3214804883535318E-2</v>
      </c>
      <c r="E14" s="125">
        <f>E15+E26+E37+E48+E60+E62</f>
        <v>0.64290657439446375</v>
      </c>
      <c r="G14" s="100" t="s">
        <v>101</v>
      </c>
      <c r="H14" s="207">
        <f>H15+H26+H37+H48+H60+H62</f>
        <v>3.7448399999999997E-3</v>
      </c>
      <c r="I14" s="125">
        <f>I15+I26+I37+I48+I60+I62</f>
        <v>0.46449999999999997</v>
      </c>
      <c r="J14" s="521">
        <f>J15+J26+J37+J48+J60+J62</f>
        <v>0.64290657439446375</v>
      </c>
    </row>
    <row r="15" spans="2:10" ht="21" hidden="1" customHeight="1" outlineLevel="3">
      <c r="B15" s="95">
        <v>3.11</v>
      </c>
      <c r="C15" s="101" t="s">
        <v>102</v>
      </c>
      <c r="D15" s="123">
        <f>SUMPRODUCT(E16:E25,D16:D25)</f>
        <v>2.1940758164454333E-2</v>
      </c>
      <c r="E15" s="127">
        <f>SUM(E16:E25)</f>
        <v>0.13882352941176473</v>
      </c>
      <c r="G15" s="101" t="s">
        <v>102</v>
      </c>
      <c r="H15" s="123">
        <f>SUMPRODUCT(I16:I25,H16:H25)</f>
        <v>6.3599999999999996E-4</v>
      </c>
      <c r="I15" s="127">
        <f>SUM(I16:I25)</f>
        <v>0.1003</v>
      </c>
      <c r="J15" s="522">
        <f>SUM(J16:J25)</f>
        <v>0.13882352941176473</v>
      </c>
    </row>
    <row r="16" spans="2:10" s="94" customFormat="1" ht="21" hidden="1" customHeight="1" outlineLevel="4">
      <c r="B16" s="97"/>
      <c r="C16" s="98" t="s">
        <v>103</v>
      </c>
      <c r="D16" s="133">
        <v>0.53</v>
      </c>
      <c r="E16" s="106">
        <v>1.6608996539792388E-3</v>
      </c>
      <c r="G16" s="98" t="s">
        <v>103</v>
      </c>
      <c r="H16" s="120">
        <v>0.53</v>
      </c>
      <c r="I16" s="105">
        <v>1.1999999999999999E-3</v>
      </c>
      <c r="J16" s="107">
        <f t="shared" ref="J16:J25" si="2">I16/$I$4</f>
        <v>1.6608996539792388E-3</v>
      </c>
    </row>
    <row r="17" spans="2:10" s="94" customFormat="1" ht="21" hidden="1" customHeight="1" outlineLevel="4">
      <c r="B17" s="97"/>
      <c r="C17" s="98" t="s">
        <v>104</v>
      </c>
      <c r="D17" s="133">
        <f>خاکبرداری!F4</f>
        <v>0.24944464944649447</v>
      </c>
      <c r="E17" s="106">
        <v>2.0346020761245677E-2</v>
      </c>
      <c r="G17" s="98" t="s">
        <v>104</v>
      </c>
      <c r="H17" s="120">
        <f>خاکبرداری!J4</f>
        <v>0</v>
      </c>
      <c r="I17" s="105">
        <v>1.47E-2</v>
      </c>
      <c r="J17" s="525">
        <f t="shared" si="2"/>
        <v>2.0346020761245677E-2</v>
      </c>
    </row>
    <row r="18" spans="2:10" s="94" customFormat="1" ht="21" hidden="1" customHeight="1" outlineLevel="4">
      <c r="B18" s="97"/>
      <c r="C18" s="98" t="s">
        <v>105</v>
      </c>
      <c r="D18" s="133">
        <f>خاکریزی!G5</f>
        <v>0</v>
      </c>
      <c r="E18" s="106">
        <v>4.0138408304498273E-3</v>
      </c>
      <c r="G18" s="98" t="s">
        <v>105</v>
      </c>
      <c r="H18" s="120">
        <f>خاکریزی!K5</f>
        <v>0</v>
      </c>
      <c r="I18" s="105">
        <v>2.8999999999999998E-3</v>
      </c>
      <c r="J18" s="107">
        <f t="shared" si="2"/>
        <v>4.0138408304498273E-3</v>
      </c>
    </row>
    <row r="19" spans="2:10" s="94" customFormat="1" ht="21" hidden="1" customHeight="1" outlineLevel="4">
      <c r="B19" s="97"/>
      <c r="C19" s="98" t="s">
        <v>106</v>
      </c>
      <c r="D19" s="133">
        <f>حفاری!Q4</f>
        <v>0.39106536616910054</v>
      </c>
      <c r="E19" s="106">
        <v>3.9446366782006928E-2</v>
      </c>
      <c r="G19" s="98" t="s">
        <v>106</v>
      </c>
      <c r="H19" s="120">
        <f>حفاری!U4</f>
        <v>0</v>
      </c>
      <c r="I19" s="105">
        <v>2.8500000000000001E-2</v>
      </c>
      <c r="J19" s="107">
        <f t="shared" si="2"/>
        <v>3.9446366782006928E-2</v>
      </c>
    </row>
    <row r="20" spans="2:10" s="94" customFormat="1" ht="21" hidden="1" customHeight="1" outlineLevel="4">
      <c r="B20" s="97"/>
      <c r="C20" s="98" t="s">
        <v>107</v>
      </c>
      <c r="D20" s="133">
        <f>لاینینگ!E4</f>
        <v>2.2444360618634477E-2</v>
      </c>
      <c r="E20" s="106">
        <v>2.4913494809688588E-2</v>
      </c>
      <c r="G20" s="98" t="s">
        <v>107</v>
      </c>
      <c r="H20" s="120">
        <f>لاینینگ!I4</f>
        <v>0</v>
      </c>
      <c r="I20" s="105">
        <v>1.8000000000000002E-2</v>
      </c>
      <c r="J20" s="107">
        <f t="shared" si="2"/>
        <v>2.4913494809688588E-2</v>
      </c>
    </row>
    <row r="21" spans="2:10" s="94" customFormat="1" ht="21" hidden="1" customHeight="1" outlineLevel="4">
      <c r="B21" s="97"/>
      <c r="C21" s="98" t="s">
        <v>108</v>
      </c>
      <c r="D21" s="133">
        <v>0</v>
      </c>
      <c r="E21" s="106">
        <v>2.7681660899653984E-2</v>
      </c>
      <c r="G21" s="98" t="s">
        <v>108</v>
      </c>
      <c r="H21" s="120">
        <v>0</v>
      </c>
      <c r="I21" s="105">
        <v>0.02</v>
      </c>
      <c r="J21" s="107">
        <f t="shared" si="2"/>
        <v>2.7681660899653984E-2</v>
      </c>
    </row>
    <row r="22" spans="2:10" s="94" customFormat="1" ht="21" hidden="1" customHeight="1" outlineLevel="4">
      <c r="B22" s="97"/>
      <c r="C22" s="98" t="s">
        <v>109</v>
      </c>
      <c r="D22" s="133">
        <v>0</v>
      </c>
      <c r="E22" s="106">
        <v>5.5363321799307963E-4</v>
      </c>
      <c r="G22" s="98" t="s">
        <v>109</v>
      </c>
      <c r="H22" s="120">
        <v>0</v>
      </c>
      <c r="I22" s="105">
        <v>4.0000000000000002E-4</v>
      </c>
      <c r="J22" s="107">
        <f t="shared" si="2"/>
        <v>5.5363321799307963E-4</v>
      </c>
    </row>
    <row r="23" spans="2:10" s="94" customFormat="1" ht="21" hidden="1" customHeight="1" outlineLevel="4">
      <c r="B23" s="97"/>
      <c r="C23" s="98" t="s">
        <v>110</v>
      </c>
      <c r="D23" s="133">
        <v>0</v>
      </c>
      <c r="E23" s="106">
        <v>1.2733564013840832E-2</v>
      </c>
      <c r="G23" s="98" t="s">
        <v>110</v>
      </c>
      <c r="H23" s="120">
        <v>0</v>
      </c>
      <c r="I23" s="105">
        <v>9.1999999999999998E-3</v>
      </c>
      <c r="J23" s="107">
        <f t="shared" si="2"/>
        <v>1.2733564013840832E-2</v>
      </c>
    </row>
    <row r="24" spans="2:10" s="94" customFormat="1" ht="21" hidden="1" customHeight="1" outlineLevel="4">
      <c r="B24" s="97"/>
      <c r="C24" s="98" t="s">
        <v>111</v>
      </c>
      <c r="D24" s="133">
        <v>0</v>
      </c>
      <c r="E24" s="106">
        <v>8.3044982698961939E-4</v>
      </c>
      <c r="G24" s="98" t="s">
        <v>111</v>
      </c>
      <c r="H24" s="120">
        <v>0</v>
      </c>
      <c r="I24" s="105">
        <v>5.9999999999999995E-4</v>
      </c>
      <c r="J24" s="107">
        <f t="shared" si="2"/>
        <v>8.3044982698961939E-4</v>
      </c>
    </row>
    <row r="25" spans="2:10" s="94" customFormat="1" ht="21" hidden="1" customHeight="1" outlineLevel="4">
      <c r="B25" s="97"/>
      <c r="C25" s="98" t="s">
        <v>112</v>
      </c>
      <c r="D25" s="133">
        <v>0</v>
      </c>
      <c r="E25" s="106">
        <v>6.6435986159169551E-3</v>
      </c>
      <c r="G25" s="98" t="s">
        <v>112</v>
      </c>
      <c r="H25" s="120">
        <v>0</v>
      </c>
      <c r="I25" s="105">
        <v>4.7999999999999996E-3</v>
      </c>
      <c r="J25" s="107">
        <f t="shared" si="2"/>
        <v>6.6435986159169551E-3</v>
      </c>
    </row>
    <row r="26" spans="2:10" ht="21" hidden="1" customHeight="1" outlineLevel="3">
      <c r="B26" s="95">
        <v>3.12</v>
      </c>
      <c r="C26" s="101" t="s">
        <v>113</v>
      </c>
      <c r="D26" s="379">
        <f>SUMPRODUCT(E27:E36,D27:D36)</f>
        <v>2.6492216369328775E-2</v>
      </c>
      <c r="E26" s="127">
        <f>SUM(E27:E36)</f>
        <v>0.15294117647058825</v>
      </c>
      <c r="G26" s="101" t="s">
        <v>113</v>
      </c>
      <c r="H26" s="379">
        <f>SUMPRODUCT(I27:I36,H27:H36)</f>
        <v>6.3599999999999996E-4</v>
      </c>
      <c r="I26" s="127">
        <f>SUM(I27:I36)</f>
        <v>0.11049999999999999</v>
      </c>
      <c r="J26" s="522">
        <f>SUM(J27:J36)</f>
        <v>0.15294117647058825</v>
      </c>
    </row>
    <row r="27" spans="2:10" s="94" customFormat="1" ht="21" hidden="1" customHeight="1" outlineLevel="4">
      <c r="B27" s="97"/>
      <c r="C27" s="98" t="s">
        <v>103</v>
      </c>
      <c r="D27" s="133">
        <v>0.53</v>
      </c>
      <c r="E27" s="106">
        <v>1.6608996539792388E-3</v>
      </c>
      <c r="G27" s="98" t="s">
        <v>103</v>
      </c>
      <c r="H27" s="120">
        <v>0.53</v>
      </c>
      <c r="I27" s="105">
        <v>1.1999999999999999E-3</v>
      </c>
      <c r="J27" s="107">
        <f t="shared" ref="J27:J36" si="3">I27/$I$4</f>
        <v>1.6608996539792388E-3</v>
      </c>
    </row>
    <row r="28" spans="2:10" s="94" customFormat="1" ht="21" hidden="1" customHeight="1" outlineLevel="4">
      <c r="B28" s="97"/>
      <c r="C28" s="98" t="s">
        <v>104</v>
      </c>
      <c r="D28" s="133">
        <f>خاکبرداری!F5</f>
        <v>0.22934738723156203</v>
      </c>
      <c r="E28" s="106">
        <v>1.3148788927335642E-2</v>
      </c>
      <c r="G28" s="98" t="s">
        <v>104</v>
      </c>
      <c r="H28" s="120">
        <f>خاکبرداری!J5</f>
        <v>0</v>
      </c>
      <c r="I28" s="105">
        <v>9.4999999999999998E-3</v>
      </c>
      <c r="J28" s="107">
        <f t="shared" si="3"/>
        <v>1.3148788927335642E-2</v>
      </c>
    </row>
    <row r="29" spans="2:10" s="94" customFormat="1" ht="21" hidden="1" customHeight="1" outlineLevel="4">
      <c r="B29" s="97"/>
      <c r="C29" s="98" t="s">
        <v>105</v>
      </c>
      <c r="D29" s="133">
        <f>خاکریزی!G6</f>
        <v>0</v>
      </c>
      <c r="E29" s="106">
        <v>1.7993079584775087E-3</v>
      </c>
      <c r="G29" s="98" t="s">
        <v>105</v>
      </c>
      <c r="H29" s="120">
        <f>خاکریزی!K6</f>
        <v>0</v>
      </c>
      <c r="I29" s="105">
        <v>1.2999999999999999E-3</v>
      </c>
      <c r="J29" s="107">
        <f t="shared" si="3"/>
        <v>1.7993079584775087E-3</v>
      </c>
    </row>
    <row r="30" spans="2:10" s="94" customFormat="1" ht="21" hidden="1" customHeight="1" outlineLevel="4">
      <c r="B30" s="97"/>
      <c r="C30" s="98" t="s">
        <v>106</v>
      </c>
      <c r="D30" s="133">
        <f>حفاری!Q5</f>
        <v>0.39819088166195604</v>
      </c>
      <c r="E30" s="106">
        <v>5.674740484429066E-2</v>
      </c>
      <c r="G30" s="98" t="s">
        <v>106</v>
      </c>
      <c r="H30" s="120">
        <f>حفاری!U5</f>
        <v>0</v>
      </c>
      <c r="I30" s="105">
        <v>4.0999999999999995E-2</v>
      </c>
      <c r="J30" s="107">
        <f t="shared" si="3"/>
        <v>5.674740484429066E-2</v>
      </c>
    </row>
    <row r="31" spans="2:10" s="94" customFormat="1" ht="21" hidden="1" customHeight="1" outlineLevel="4">
      <c r="B31" s="97"/>
      <c r="C31" s="98" t="s">
        <v>107</v>
      </c>
      <c r="D31" s="133">
        <f>لاینینگ!E5</f>
        <v>0</v>
      </c>
      <c r="E31" s="106">
        <v>3.584775086505191E-2</v>
      </c>
      <c r="G31" s="98" t="s">
        <v>107</v>
      </c>
      <c r="H31" s="120">
        <f>لاینینگ!I5</f>
        <v>0</v>
      </c>
      <c r="I31" s="105">
        <v>2.5899999999999999E-2</v>
      </c>
      <c r="J31" s="107">
        <f t="shared" si="3"/>
        <v>3.584775086505191E-2</v>
      </c>
    </row>
    <row r="32" spans="2:10" s="94" customFormat="1" ht="21" hidden="1" customHeight="1" outlineLevel="4">
      <c r="B32" s="97"/>
      <c r="C32" s="98" t="s">
        <v>108</v>
      </c>
      <c r="D32" s="133">
        <v>0</v>
      </c>
      <c r="E32" s="106">
        <v>1.5086505190311419E-2</v>
      </c>
      <c r="G32" s="98" t="s">
        <v>108</v>
      </c>
      <c r="H32" s="120">
        <v>0</v>
      </c>
      <c r="I32" s="105">
        <v>1.09E-2</v>
      </c>
      <c r="J32" s="107">
        <f t="shared" si="3"/>
        <v>1.5086505190311419E-2</v>
      </c>
    </row>
    <row r="33" spans="2:10" s="94" customFormat="1" ht="21" hidden="1" customHeight="1" outlineLevel="4">
      <c r="B33" s="97"/>
      <c r="C33" s="98" t="s">
        <v>109</v>
      </c>
      <c r="D33" s="133">
        <v>0</v>
      </c>
      <c r="E33" s="106">
        <v>2.9065743944636678E-3</v>
      </c>
      <c r="G33" s="98" t="s">
        <v>109</v>
      </c>
      <c r="H33" s="120">
        <v>0</v>
      </c>
      <c r="I33" s="105">
        <v>2.0999999999999999E-3</v>
      </c>
      <c r="J33" s="107">
        <f t="shared" si="3"/>
        <v>2.9065743944636678E-3</v>
      </c>
    </row>
    <row r="34" spans="2:10" s="94" customFormat="1" ht="21" hidden="1" customHeight="1" outlineLevel="4">
      <c r="B34" s="97"/>
      <c r="C34" s="98" t="s">
        <v>110</v>
      </c>
      <c r="D34" s="133">
        <v>0</v>
      </c>
      <c r="E34" s="106">
        <v>1.7854671280276818E-2</v>
      </c>
      <c r="G34" s="98" t="s">
        <v>110</v>
      </c>
      <c r="H34" s="120">
        <v>0</v>
      </c>
      <c r="I34" s="105">
        <v>1.29E-2</v>
      </c>
      <c r="J34" s="107">
        <f t="shared" si="3"/>
        <v>1.7854671280276818E-2</v>
      </c>
    </row>
    <row r="35" spans="2:10" s="94" customFormat="1" ht="21" hidden="1" customHeight="1" outlineLevel="4">
      <c r="B35" s="97"/>
      <c r="C35" s="98" t="s">
        <v>111</v>
      </c>
      <c r="D35" s="133">
        <v>0</v>
      </c>
      <c r="E35" s="106">
        <v>1.2456747404844292E-3</v>
      </c>
      <c r="G35" s="98" t="s">
        <v>111</v>
      </c>
      <c r="H35" s="120">
        <v>0</v>
      </c>
      <c r="I35" s="105">
        <v>8.9999999999999998E-4</v>
      </c>
      <c r="J35" s="107">
        <f t="shared" si="3"/>
        <v>1.2456747404844292E-3</v>
      </c>
    </row>
    <row r="36" spans="2:10" s="94" customFormat="1" ht="21" hidden="1" customHeight="1" outlineLevel="4">
      <c r="B36" s="97"/>
      <c r="C36" s="98" t="s">
        <v>112</v>
      </c>
      <c r="D36" s="133">
        <v>0</v>
      </c>
      <c r="E36" s="106">
        <v>6.6435986159169551E-3</v>
      </c>
      <c r="G36" s="98" t="s">
        <v>112</v>
      </c>
      <c r="H36" s="120">
        <v>0</v>
      </c>
      <c r="I36" s="105">
        <v>4.7999999999999996E-3</v>
      </c>
      <c r="J36" s="107">
        <f t="shared" si="3"/>
        <v>6.6435986159169551E-3</v>
      </c>
    </row>
    <row r="37" spans="2:10" ht="21" hidden="1" customHeight="1" outlineLevel="3">
      <c r="B37" s="95">
        <v>3.13</v>
      </c>
      <c r="C37" s="101" t="s">
        <v>114</v>
      </c>
      <c r="D37" s="123">
        <f>SUMPRODUCT(E38:E47,D38:D47)</f>
        <v>2.577188959847963E-2</v>
      </c>
      <c r="E37" s="127">
        <f>SUM(E38:E47)</f>
        <v>0.15861591695501731</v>
      </c>
      <c r="G37" s="101" t="s">
        <v>114</v>
      </c>
      <c r="H37" s="123">
        <f>SUMPRODUCT(I38:I47,H38:H47)</f>
        <v>1.4078399999999998E-3</v>
      </c>
      <c r="I37" s="127">
        <f>SUM(I38:I47)</f>
        <v>0.11459999999999999</v>
      </c>
      <c r="J37" s="522">
        <f>SUM(J38:J47)</f>
        <v>0.15861591695501731</v>
      </c>
    </row>
    <row r="38" spans="2:10" s="94" customFormat="1" ht="21" hidden="1" customHeight="1" outlineLevel="4">
      <c r="B38" s="97"/>
      <c r="C38" s="98" t="s">
        <v>103</v>
      </c>
      <c r="D38" s="133">
        <v>0.53</v>
      </c>
      <c r="E38" s="106">
        <v>1.6608996539792388E-3</v>
      </c>
      <c r="G38" s="98" t="s">
        <v>103</v>
      </c>
      <c r="H38" s="120">
        <v>0.53</v>
      </c>
      <c r="I38" s="105">
        <v>1.1999999999999999E-3</v>
      </c>
      <c r="J38" s="107">
        <f t="shared" ref="J38:J47" si="4">I38/$I$4</f>
        <v>1.6608996539792388E-3</v>
      </c>
    </row>
    <row r="39" spans="2:10" s="94" customFormat="1" ht="21" hidden="1" customHeight="1" outlineLevel="4">
      <c r="B39" s="97"/>
      <c r="C39" s="98" t="s">
        <v>104</v>
      </c>
      <c r="D39" s="133">
        <f>خاکبرداری!F6</f>
        <v>0.72</v>
      </c>
      <c r="E39" s="106">
        <v>4.4290657439446371E-3</v>
      </c>
      <c r="G39" s="98" t="s">
        <v>104</v>
      </c>
      <c r="H39" s="120">
        <f>خاکبرداری!J6</f>
        <v>0</v>
      </c>
      <c r="I39" s="105">
        <v>3.2000000000000002E-3</v>
      </c>
      <c r="J39" s="107">
        <f t="shared" si="4"/>
        <v>4.4290657439446371E-3</v>
      </c>
    </row>
    <row r="40" spans="2:10" s="94" customFormat="1" ht="21" hidden="1" customHeight="1" outlineLevel="4">
      <c r="B40" s="97"/>
      <c r="C40" s="98" t="s">
        <v>105</v>
      </c>
      <c r="D40" s="133">
        <f>خاکریزی!G7</f>
        <v>0</v>
      </c>
      <c r="E40" s="106">
        <v>1.1072664359861593E-3</v>
      </c>
      <c r="G40" s="98" t="s">
        <v>105</v>
      </c>
      <c r="H40" s="120">
        <f>خاکریزی!K7</f>
        <v>0</v>
      </c>
      <c r="I40" s="105">
        <v>8.0000000000000004E-4</v>
      </c>
      <c r="J40" s="107">
        <f t="shared" si="4"/>
        <v>1.1072664359861593E-3</v>
      </c>
    </row>
    <row r="41" spans="2:10" s="94" customFormat="1" ht="21" hidden="1" customHeight="1" outlineLevel="4">
      <c r="B41" s="97"/>
      <c r="C41" s="98" t="s">
        <v>106</v>
      </c>
      <c r="D41" s="133">
        <f>حفاری!Q6</f>
        <v>0.28016268834655189</v>
      </c>
      <c r="E41" s="106">
        <v>6.7543252595155714E-2</v>
      </c>
      <c r="G41" s="98" t="s">
        <v>106</v>
      </c>
      <c r="H41" s="120">
        <f>حفاری!U6</f>
        <v>0</v>
      </c>
      <c r="I41" s="105">
        <v>4.8799999999999996E-2</v>
      </c>
      <c r="J41" s="107">
        <f t="shared" si="4"/>
        <v>6.7543252595155714E-2</v>
      </c>
    </row>
    <row r="42" spans="2:10" s="94" customFormat="1" ht="21" hidden="1" customHeight="1" outlineLevel="4">
      <c r="B42" s="97"/>
      <c r="C42" s="98" t="s">
        <v>107</v>
      </c>
      <c r="D42" s="133">
        <f>لاینینگ!E6</f>
        <v>4.0143215700967447E-2</v>
      </c>
      <c r="E42" s="106">
        <v>4.2629757785467133E-2</v>
      </c>
      <c r="G42" s="98" t="s">
        <v>107</v>
      </c>
      <c r="H42" s="120">
        <f>لاینینگ!I6</f>
        <v>0</v>
      </c>
      <c r="I42" s="105">
        <v>3.0800000000000001E-2</v>
      </c>
      <c r="J42" s="107">
        <f t="shared" si="4"/>
        <v>4.2629757785467133E-2</v>
      </c>
    </row>
    <row r="43" spans="2:10" s="94" customFormat="1" ht="21" hidden="1" customHeight="1" outlineLevel="4">
      <c r="B43" s="97"/>
      <c r="C43" s="98" t="s">
        <v>108</v>
      </c>
      <c r="D43" s="133">
        <v>4.02E-2</v>
      </c>
      <c r="E43" s="106">
        <v>2.6574394463667821E-2</v>
      </c>
      <c r="G43" s="98" t="s">
        <v>108</v>
      </c>
      <c r="H43" s="120">
        <v>4.02E-2</v>
      </c>
      <c r="I43" s="105">
        <v>1.9199999999999998E-2</v>
      </c>
      <c r="J43" s="107">
        <f t="shared" si="4"/>
        <v>2.6574394463667821E-2</v>
      </c>
    </row>
    <row r="44" spans="2:10" s="94" customFormat="1" ht="21" hidden="1" customHeight="1" outlineLevel="4">
      <c r="B44" s="97"/>
      <c r="C44" s="98" t="s">
        <v>109</v>
      </c>
      <c r="D44" s="133">
        <v>0</v>
      </c>
      <c r="E44" s="106">
        <v>6.9204152249134957E-4</v>
      </c>
      <c r="G44" s="98" t="s">
        <v>109</v>
      </c>
      <c r="H44" s="120">
        <v>0</v>
      </c>
      <c r="I44" s="105">
        <v>5.0000000000000001E-4</v>
      </c>
      <c r="J44" s="107">
        <f t="shared" si="4"/>
        <v>6.9204152249134957E-4</v>
      </c>
    </row>
    <row r="45" spans="2:10" s="94" customFormat="1" ht="21" hidden="1" customHeight="1" outlineLevel="4">
      <c r="B45" s="97"/>
      <c r="C45" s="98" t="s">
        <v>110</v>
      </c>
      <c r="D45" s="133">
        <v>0</v>
      </c>
      <c r="E45" s="106">
        <v>5.9515570934256063E-3</v>
      </c>
      <c r="G45" s="98" t="s">
        <v>110</v>
      </c>
      <c r="H45" s="120">
        <v>0</v>
      </c>
      <c r="I45" s="105">
        <v>4.3E-3</v>
      </c>
      <c r="J45" s="107">
        <f t="shared" si="4"/>
        <v>5.9515570934256063E-3</v>
      </c>
    </row>
    <row r="46" spans="2:10" s="94" customFormat="1" ht="21" hidden="1" customHeight="1" outlineLevel="4">
      <c r="B46" s="97"/>
      <c r="C46" s="98" t="s">
        <v>111</v>
      </c>
      <c r="D46" s="133">
        <v>0</v>
      </c>
      <c r="E46" s="106">
        <v>1.3840830449826991E-3</v>
      </c>
      <c r="G46" s="98" t="s">
        <v>111</v>
      </c>
      <c r="H46" s="120">
        <v>0</v>
      </c>
      <c r="I46" s="105">
        <v>1E-3</v>
      </c>
      <c r="J46" s="107">
        <f t="shared" si="4"/>
        <v>1.3840830449826991E-3</v>
      </c>
    </row>
    <row r="47" spans="2:10" s="94" customFormat="1" ht="21" hidden="1" customHeight="1" outlineLevel="4">
      <c r="B47" s="97"/>
      <c r="C47" s="98" t="s">
        <v>112</v>
      </c>
      <c r="D47" s="133">
        <v>0</v>
      </c>
      <c r="E47" s="106">
        <v>6.6435986159169551E-3</v>
      </c>
      <c r="G47" s="98" t="s">
        <v>112</v>
      </c>
      <c r="H47" s="120">
        <v>0</v>
      </c>
      <c r="I47" s="105">
        <v>4.7999999999999996E-3</v>
      </c>
      <c r="J47" s="107">
        <f t="shared" si="4"/>
        <v>6.6435986159169551E-3</v>
      </c>
    </row>
    <row r="48" spans="2:10" ht="21" hidden="1" customHeight="1" outlineLevel="3">
      <c r="B48" s="95">
        <v>3.14</v>
      </c>
      <c r="C48" s="101" t="s">
        <v>115</v>
      </c>
      <c r="D48" s="123">
        <f>SUMPRODUCT(E49:E59,D49:D59)</f>
        <v>9.0099407512725851E-3</v>
      </c>
      <c r="E48" s="127">
        <f>SUM(E49:E59)</f>
        <v>0.12193771626297578</v>
      </c>
      <c r="G48" s="101" t="s">
        <v>115</v>
      </c>
      <c r="H48" s="123">
        <f>SUMPRODUCT(I49:I59,H49:H59)</f>
        <v>1.065E-3</v>
      </c>
      <c r="I48" s="127">
        <f>SUM(I49:I59)</f>
        <v>8.8099999999999998E-2</v>
      </c>
      <c r="J48" s="522">
        <f>SUM(J49:J59)</f>
        <v>0.12193771626297578</v>
      </c>
    </row>
    <row r="49" spans="2:10" s="94" customFormat="1" ht="21" hidden="1" customHeight="1" outlineLevel="4">
      <c r="B49" s="97"/>
      <c r="C49" s="98" t="s">
        <v>103</v>
      </c>
      <c r="D49" s="133">
        <v>0.52</v>
      </c>
      <c r="E49" s="106">
        <v>1.6608996539792388E-3</v>
      </c>
      <c r="G49" s="98" t="s">
        <v>103</v>
      </c>
      <c r="H49" s="120">
        <v>0.52</v>
      </c>
      <c r="I49" s="105">
        <v>1.1999999999999999E-3</v>
      </c>
      <c r="J49" s="107">
        <f t="shared" ref="J49:J61" si="5">I49/$I$4</f>
        <v>1.6608996539792388E-3</v>
      </c>
    </row>
    <row r="50" spans="2:10" s="94" customFormat="1" ht="21" hidden="1" customHeight="1" outlineLevel="4">
      <c r="B50" s="97"/>
      <c r="C50" s="98" t="s">
        <v>104</v>
      </c>
      <c r="D50" s="133">
        <f>خاکبرداری!F7</f>
        <v>0.15774545454545455</v>
      </c>
      <c r="E50" s="106">
        <v>7.1972318339100349E-3</v>
      </c>
      <c r="G50" s="98" t="s">
        <v>104</v>
      </c>
      <c r="H50" s="120">
        <f>خاکبرداری!J7</f>
        <v>0</v>
      </c>
      <c r="I50" s="105">
        <v>5.1999999999999998E-3</v>
      </c>
      <c r="J50" s="107">
        <f t="shared" si="5"/>
        <v>7.1972318339100349E-3</v>
      </c>
    </row>
    <row r="51" spans="2:10" s="94" customFormat="1" ht="21" hidden="1" customHeight="1" outlineLevel="4">
      <c r="B51" s="97"/>
      <c r="C51" s="98" t="s">
        <v>105</v>
      </c>
      <c r="D51" s="133">
        <f>خاکریزی!G8</f>
        <v>0</v>
      </c>
      <c r="E51" s="106">
        <v>9.6885813148788955E-4</v>
      </c>
      <c r="G51" s="98" t="s">
        <v>105</v>
      </c>
      <c r="H51" s="120">
        <f>خاکریزی!K8</f>
        <v>0</v>
      </c>
      <c r="I51" s="105">
        <v>7.000000000000001E-4</v>
      </c>
      <c r="J51" s="107">
        <f t="shared" si="5"/>
        <v>9.6885813148788955E-4</v>
      </c>
    </row>
    <row r="52" spans="2:10" s="94" customFormat="1" ht="21" hidden="1" customHeight="1" outlineLevel="4">
      <c r="B52" s="97"/>
      <c r="C52" s="98" t="s">
        <v>106</v>
      </c>
      <c r="D52" s="133">
        <f>حفاری!Q7</f>
        <v>0.31245985332149179</v>
      </c>
      <c r="E52" s="106">
        <v>2.0484429065743947E-2</v>
      </c>
      <c r="G52" s="98" t="s">
        <v>106</v>
      </c>
      <c r="H52" s="120">
        <f>حفاری!U7</f>
        <v>0</v>
      </c>
      <c r="I52" s="105">
        <v>1.4800000000000001E-2</v>
      </c>
      <c r="J52" s="107">
        <f t="shared" si="5"/>
        <v>2.0484429065743947E-2</v>
      </c>
    </row>
    <row r="53" spans="2:10" s="94" customFormat="1" ht="21" hidden="1" customHeight="1" outlineLevel="4">
      <c r="B53" s="97"/>
      <c r="C53" s="98" t="s">
        <v>107</v>
      </c>
      <c r="D53" s="133">
        <v>0</v>
      </c>
      <c r="E53" s="106">
        <v>1.2871972318339104E-2</v>
      </c>
      <c r="G53" s="98" t="s">
        <v>107</v>
      </c>
      <c r="H53" s="120">
        <v>0</v>
      </c>
      <c r="I53" s="105">
        <v>9.300000000000001E-3</v>
      </c>
      <c r="J53" s="107">
        <f t="shared" si="5"/>
        <v>1.2871972318339104E-2</v>
      </c>
    </row>
    <row r="54" spans="2:10" s="94" customFormat="1" ht="21" hidden="1" customHeight="1" outlineLevel="4">
      <c r="B54" s="97"/>
      <c r="C54" s="98" t="s">
        <v>108</v>
      </c>
      <c r="D54" s="133">
        <v>0</v>
      </c>
      <c r="E54" s="106">
        <v>2.1453287197231836E-2</v>
      </c>
      <c r="G54" s="98" t="s">
        <v>108</v>
      </c>
      <c r="H54" s="120">
        <v>0</v>
      </c>
      <c r="I54" s="105">
        <v>1.55E-2</v>
      </c>
      <c r="J54" s="107">
        <f t="shared" si="5"/>
        <v>2.1453287197231836E-2</v>
      </c>
    </row>
    <row r="55" spans="2:10" s="94" customFormat="1" ht="21" hidden="1" customHeight="1" outlineLevel="4">
      <c r="B55" s="97"/>
      <c r="C55" s="98" t="s">
        <v>109</v>
      </c>
      <c r="D55" s="133">
        <v>0</v>
      </c>
      <c r="E55" s="106">
        <v>2.7681660899653982E-4</v>
      </c>
      <c r="G55" s="98" t="s">
        <v>109</v>
      </c>
      <c r="H55" s="120">
        <v>0</v>
      </c>
      <c r="I55" s="105">
        <v>2.0000000000000001E-4</v>
      </c>
      <c r="J55" s="107">
        <f t="shared" si="5"/>
        <v>2.7681660899653982E-4</v>
      </c>
    </row>
    <row r="56" spans="2:10" s="94" customFormat="1" ht="21" hidden="1" customHeight="1" outlineLevel="4">
      <c r="B56" s="97"/>
      <c r="C56" s="98" t="s">
        <v>110</v>
      </c>
      <c r="D56" s="133">
        <v>0.03</v>
      </c>
      <c r="E56" s="106">
        <v>2.0346020761245677E-2</v>
      </c>
      <c r="G56" s="98" t="s">
        <v>110</v>
      </c>
      <c r="H56" s="120">
        <v>0.03</v>
      </c>
      <c r="I56" s="105">
        <v>1.47E-2</v>
      </c>
      <c r="J56" s="107">
        <f t="shared" si="5"/>
        <v>2.0346020761245677E-2</v>
      </c>
    </row>
    <row r="57" spans="2:10" s="94" customFormat="1" ht="21" hidden="1" customHeight="1" outlineLevel="4">
      <c r="B57" s="97"/>
      <c r="C57" s="98" t="s">
        <v>111</v>
      </c>
      <c r="D57" s="133">
        <v>0</v>
      </c>
      <c r="E57" s="106">
        <v>4.152249134948097E-4</v>
      </c>
      <c r="G57" s="98" t="s">
        <v>111</v>
      </c>
      <c r="H57" s="120">
        <v>0</v>
      </c>
      <c r="I57" s="105">
        <v>2.9999999999999997E-4</v>
      </c>
      <c r="J57" s="107">
        <f t="shared" si="5"/>
        <v>4.152249134948097E-4</v>
      </c>
    </row>
    <row r="58" spans="2:10" s="94" customFormat="1" ht="21" hidden="1" customHeight="1" outlineLevel="4">
      <c r="B58" s="97"/>
      <c r="C58" s="98" t="s">
        <v>116</v>
      </c>
      <c r="D58" s="133">
        <v>0</v>
      </c>
      <c r="E58" s="106">
        <v>2.3114186851211076E-2</v>
      </c>
      <c r="G58" s="98" t="s">
        <v>116</v>
      </c>
      <c r="H58" s="120">
        <v>0</v>
      </c>
      <c r="I58" s="105">
        <v>1.67E-2</v>
      </c>
      <c r="J58" s="107">
        <f t="shared" si="5"/>
        <v>2.3114186851211076E-2</v>
      </c>
    </row>
    <row r="59" spans="2:10" s="94" customFormat="1" ht="21" hidden="1" customHeight="1" outlineLevel="4">
      <c r="B59" s="97"/>
      <c r="C59" s="98" t="s">
        <v>112</v>
      </c>
      <c r="D59" s="133">
        <v>0</v>
      </c>
      <c r="E59" s="106">
        <v>1.3148788927335642E-2</v>
      </c>
      <c r="G59" s="98" t="s">
        <v>112</v>
      </c>
      <c r="H59" s="120">
        <v>0</v>
      </c>
      <c r="I59" s="105">
        <v>9.4999999999999998E-3</v>
      </c>
      <c r="J59" s="107">
        <f t="shared" si="5"/>
        <v>1.3148788927335642E-2</v>
      </c>
    </row>
    <row r="60" spans="2:10" ht="21" hidden="1" customHeight="1" outlineLevel="3">
      <c r="B60" s="95">
        <v>3.15</v>
      </c>
      <c r="C60" s="102" t="s">
        <v>120</v>
      </c>
      <c r="D60" s="123">
        <f>D61*E61</f>
        <v>0</v>
      </c>
      <c r="E60" s="127">
        <f>E61</f>
        <v>4.7474048442906584E-2</v>
      </c>
      <c r="G60" s="102" t="s">
        <v>120</v>
      </c>
      <c r="H60" s="123">
        <f>H61*I61</f>
        <v>0</v>
      </c>
      <c r="I60" s="127">
        <f>I61</f>
        <v>3.4300000000000004E-2</v>
      </c>
      <c r="J60" s="522">
        <f>J61</f>
        <v>4.7474048442906584E-2</v>
      </c>
    </row>
    <row r="61" spans="2:10" s="94" customFormat="1" ht="21" hidden="1" customHeight="1" outlineLevel="4">
      <c r="B61" s="97"/>
      <c r="C61" s="98" t="s">
        <v>121</v>
      </c>
      <c r="D61" s="133">
        <v>0</v>
      </c>
      <c r="E61" s="132">
        <v>4.7474048442906584E-2</v>
      </c>
      <c r="G61" s="98" t="s">
        <v>121</v>
      </c>
      <c r="H61" s="133">
        <v>0</v>
      </c>
      <c r="I61" s="106">
        <v>3.4300000000000004E-2</v>
      </c>
      <c r="J61" s="527">
        <f t="shared" si="5"/>
        <v>4.7474048442906584E-2</v>
      </c>
    </row>
    <row r="62" spans="2:10" ht="21" hidden="1" customHeight="1" outlineLevel="3">
      <c r="B62" s="95">
        <v>3.16</v>
      </c>
      <c r="C62" s="102" t="s">
        <v>122</v>
      </c>
      <c r="D62" s="123">
        <f>D63*E63</f>
        <v>0</v>
      </c>
      <c r="E62" s="127">
        <f>E63</f>
        <v>2.3114186851211076E-2</v>
      </c>
      <c r="G62" s="102" t="s">
        <v>122</v>
      </c>
      <c r="H62" s="123">
        <f>H63*I63</f>
        <v>0</v>
      </c>
      <c r="I62" s="127">
        <f>I63</f>
        <v>1.67E-2</v>
      </c>
      <c r="J62" s="522">
        <f>J63</f>
        <v>2.3114186851211076E-2</v>
      </c>
    </row>
    <row r="63" spans="2:10" s="94" customFormat="1" ht="36" hidden="1" outlineLevel="3">
      <c r="B63" s="97"/>
      <c r="C63" s="98" t="s">
        <v>123</v>
      </c>
      <c r="D63" s="133">
        <v>0</v>
      </c>
      <c r="E63" s="106">
        <v>2.3114186851211076E-2</v>
      </c>
      <c r="G63" s="98" t="s">
        <v>123</v>
      </c>
      <c r="H63" s="120">
        <v>0</v>
      </c>
      <c r="I63" s="105">
        <v>1.67E-2</v>
      </c>
      <c r="J63" s="107">
        <f>I63/$I$4</f>
        <v>2.3114186851211076E-2</v>
      </c>
    </row>
    <row r="64" spans="2:10" ht="21" hidden="1" customHeight="1" outlineLevel="2">
      <c r="B64" s="95">
        <v>3.2</v>
      </c>
      <c r="C64" s="100" t="s">
        <v>124</v>
      </c>
      <c r="D64" s="124">
        <f>D65</f>
        <v>0</v>
      </c>
      <c r="E64" s="126">
        <f>SUM(E65:E65)</f>
        <v>0.26809688581314883</v>
      </c>
      <c r="G64" s="100" t="s">
        <v>124</v>
      </c>
      <c r="H64" s="124">
        <f>H65</f>
        <v>0</v>
      </c>
      <c r="I64" s="126">
        <f>SUM(I65:I65)</f>
        <v>0.19369999999999996</v>
      </c>
      <c r="J64" s="523">
        <f>SUM(J65:J65)</f>
        <v>0.26809688581314883</v>
      </c>
    </row>
    <row r="65" spans="2:10" ht="21" hidden="1" customHeight="1" outlineLevel="3">
      <c r="B65" s="95">
        <v>3.22</v>
      </c>
      <c r="C65" s="101" t="s">
        <v>125</v>
      </c>
      <c r="D65" s="123">
        <f>D66+D74+D76</f>
        <v>0</v>
      </c>
      <c r="E65" s="127">
        <f>E66+E74+E76</f>
        <v>0.26809688581314883</v>
      </c>
      <c r="G65" s="101" t="s">
        <v>125</v>
      </c>
      <c r="H65" s="123">
        <f>H66+H74+H76</f>
        <v>0</v>
      </c>
      <c r="I65" s="127">
        <f>I66+I74+I76</f>
        <v>0.19369999999999996</v>
      </c>
      <c r="J65" s="522">
        <f>J66+J74+J76</f>
        <v>0.26809688581314883</v>
      </c>
    </row>
    <row r="66" spans="2:10" ht="21" hidden="1" customHeight="1" outlineLevel="3">
      <c r="B66" s="95" t="s">
        <v>142</v>
      </c>
      <c r="C66" s="103" t="s">
        <v>127</v>
      </c>
      <c r="D66" s="128">
        <f>SUMPRODUCT(E67:E73,D67:D73)</f>
        <v>0</v>
      </c>
      <c r="E66" s="129">
        <f>SUM(E67:E73)</f>
        <v>0.22657439446366784</v>
      </c>
      <c r="G66" s="103" t="s">
        <v>127</v>
      </c>
      <c r="H66" s="128">
        <f>SUMPRODUCT(I67:I73,H67:H73)</f>
        <v>0</v>
      </c>
      <c r="I66" s="129">
        <f>SUM(I67:I73)</f>
        <v>0.16369999999999996</v>
      </c>
      <c r="J66" s="524">
        <f>SUM(J67:J73)</f>
        <v>0.22657439446366784</v>
      </c>
    </row>
    <row r="67" spans="2:10" s="94" customFormat="1" ht="21" hidden="1" customHeight="1" outlineLevel="4">
      <c r="B67" s="97"/>
      <c r="C67" s="98" t="s">
        <v>130</v>
      </c>
      <c r="D67" s="133">
        <v>0</v>
      </c>
      <c r="E67" s="106">
        <v>6.3667820069204161E-3</v>
      </c>
      <c r="G67" s="211" t="s">
        <v>130</v>
      </c>
      <c r="H67" s="133">
        <v>0</v>
      </c>
      <c r="I67" s="106">
        <v>4.5999999999999999E-3</v>
      </c>
      <c r="J67" s="527">
        <f t="shared" ref="J67:J73" si="6">I67/$I$4</f>
        <v>6.3667820069204161E-3</v>
      </c>
    </row>
    <row r="68" spans="2:10" s="94" customFormat="1" ht="21" hidden="1" customHeight="1" outlineLevel="4">
      <c r="B68" s="97"/>
      <c r="C68" s="98" t="s">
        <v>131</v>
      </c>
      <c r="D68" s="133">
        <v>0</v>
      </c>
      <c r="E68" s="106">
        <v>0.18214532871972319</v>
      </c>
      <c r="G68" s="211" t="s">
        <v>131</v>
      </c>
      <c r="H68" s="133">
        <v>0</v>
      </c>
      <c r="I68" s="106">
        <v>0.13159999999999999</v>
      </c>
      <c r="J68" s="527">
        <f t="shared" si="6"/>
        <v>0.18214532871972319</v>
      </c>
    </row>
    <row r="69" spans="2:10" s="94" customFormat="1" ht="21" hidden="1" customHeight="1" outlineLevel="4">
      <c r="B69" s="97"/>
      <c r="C69" s="98" t="s">
        <v>132</v>
      </c>
      <c r="D69" s="133">
        <v>0</v>
      </c>
      <c r="E69" s="106">
        <v>4.844290657439446E-3</v>
      </c>
      <c r="G69" s="211" t="s">
        <v>132</v>
      </c>
      <c r="H69" s="133">
        <v>0</v>
      </c>
      <c r="I69" s="106">
        <v>3.4999999999999996E-3</v>
      </c>
      <c r="J69" s="527">
        <f t="shared" si="6"/>
        <v>4.844290657439446E-3</v>
      </c>
    </row>
    <row r="70" spans="2:10" s="94" customFormat="1" ht="21" hidden="1" customHeight="1" outlineLevel="4">
      <c r="B70" s="97"/>
      <c r="C70" s="98" t="s">
        <v>133</v>
      </c>
      <c r="D70" s="133">
        <v>0</v>
      </c>
      <c r="E70" s="106">
        <v>1.1349480968858131E-2</v>
      </c>
      <c r="G70" s="211" t="s">
        <v>133</v>
      </c>
      <c r="H70" s="133">
        <v>0</v>
      </c>
      <c r="I70" s="106">
        <v>8.199999999999999E-3</v>
      </c>
      <c r="J70" s="527">
        <f t="shared" si="6"/>
        <v>1.1349480968858131E-2</v>
      </c>
    </row>
    <row r="71" spans="2:10" s="94" customFormat="1" ht="21" hidden="1" customHeight="1" outlineLevel="4">
      <c r="B71" s="97"/>
      <c r="C71" s="98" t="s">
        <v>134</v>
      </c>
      <c r="D71" s="133">
        <v>0</v>
      </c>
      <c r="E71" s="106">
        <v>6.7820069204152251E-3</v>
      </c>
      <c r="G71" s="211" t="s">
        <v>134</v>
      </c>
      <c r="H71" s="133">
        <v>0</v>
      </c>
      <c r="I71" s="106">
        <v>4.8999999999999998E-3</v>
      </c>
      <c r="J71" s="527">
        <f t="shared" si="6"/>
        <v>6.7820069204152251E-3</v>
      </c>
    </row>
    <row r="72" spans="2:10" s="94" customFormat="1" ht="21" hidden="1" customHeight="1" outlineLevel="4">
      <c r="B72" s="97"/>
      <c r="C72" s="98" t="s">
        <v>135</v>
      </c>
      <c r="D72" s="133">
        <v>0</v>
      </c>
      <c r="E72" s="106">
        <v>1.301038062283737E-2</v>
      </c>
      <c r="G72" s="211" t="s">
        <v>135</v>
      </c>
      <c r="H72" s="133">
        <v>0</v>
      </c>
      <c r="I72" s="106">
        <v>9.3999999999999986E-3</v>
      </c>
      <c r="J72" s="527">
        <f t="shared" si="6"/>
        <v>1.301038062283737E-2</v>
      </c>
    </row>
    <row r="73" spans="2:10" s="94" customFormat="1" ht="21" hidden="1" customHeight="1" outlineLevel="4">
      <c r="B73" s="97"/>
      <c r="C73" s="98" t="s">
        <v>136</v>
      </c>
      <c r="D73" s="133">
        <v>0</v>
      </c>
      <c r="E73" s="106">
        <v>2.0761245674740486E-3</v>
      </c>
      <c r="G73" s="211" t="s">
        <v>136</v>
      </c>
      <c r="H73" s="133">
        <v>0</v>
      </c>
      <c r="I73" s="106">
        <v>1.5E-3</v>
      </c>
      <c r="J73" s="527">
        <f t="shared" si="6"/>
        <v>2.0761245674740486E-3</v>
      </c>
    </row>
    <row r="74" spans="2:10" ht="21" hidden="1" customHeight="1" outlineLevel="3">
      <c r="B74" s="95" t="s">
        <v>143</v>
      </c>
      <c r="C74" s="103" t="s">
        <v>128</v>
      </c>
      <c r="D74" s="128">
        <f>D75*E75</f>
        <v>0</v>
      </c>
      <c r="E74" s="129">
        <f>E75</f>
        <v>3.4878892733564017E-2</v>
      </c>
      <c r="G74" s="103" t="s">
        <v>128</v>
      </c>
      <c r="H74" s="128">
        <f>H75*I75</f>
        <v>0</v>
      </c>
      <c r="I74" s="129">
        <f>I75</f>
        <v>2.52E-2</v>
      </c>
      <c r="J74" s="524">
        <f>J75</f>
        <v>3.4878892733564017E-2</v>
      </c>
    </row>
    <row r="75" spans="2:10" s="94" customFormat="1" ht="21" hidden="1" customHeight="1" outlineLevel="4">
      <c r="B75" s="97"/>
      <c r="C75" s="104" t="s">
        <v>137</v>
      </c>
      <c r="D75" s="133">
        <v>0</v>
      </c>
      <c r="E75" s="106">
        <v>3.4878892733564017E-2</v>
      </c>
      <c r="G75" s="104" t="s">
        <v>137</v>
      </c>
      <c r="H75" s="133">
        <v>0</v>
      </c>
      <c r="I75" s="106">
        <v>2.52E-2</v>
      </c>
      <c r="J75" s="528">
        <f>I75/$I$4</f>
        <v>3.4878892733564017E-2</v>
      </c>
    </row>
    <row r="76" spans="2:10" ht="21" hidden="1" customHeight="1" outlineLevel="3">
      <c r="B76" s="95" t="s">
        <v>144</v>
      </c>
      <c r="C76" s="103" t="s">
        <v>129</v>
      </c>
      <c r="D76" s="128">
        <f>D77*E77</f>
        <v>0</v>
      </c>
      <c r="E76" s="129">
        <f>E77</f>
        <v>6.6435986159169551E-3</v>
      </c>
      <c r="G76" s="103" t="s">
        <v>129</v>
      </c>
      <c r="H76" s="128">
        <f>H77*I77</f>
        <v>0</v>
      </c>
      <c r="I76" s="129">
        <f>I77</f>
        <v>4.7999999999999996E-3</v>
      </c>
      <c r="J76" s="524">
        <f>J77</f>
        <v>6.6435986159169551E-3</v>
      </c>
    </row>
    <row r="77" spans="2:10" s="94" customFormat="1" ht="21" hidden="1" customHeight="1" outlineLevel="3">
      <c r="B77" s="97"/>
      <c r="C77" s="104" t="s">
        <v>138</v>
      </c>
      <c r="D77" s="120">
        <v>0</v>
      </c>
      <c r="E77" s="105">
        <v>6.6435986159169551E-3</v>
      </c>
      <c r="G77" s="104" t="s">
        <v>138</v>
      </c>
      <c r="H77" s="120">
        <v>0</v>
      </c>
      <c r="I77" s="105">
        <v>4.7999999999999996E-3</v>
      </c>
      <c r="J77" s="107">
        <f>I77/$I$4</f>
        <v>6.6435986159169551E-3</v>
      </c>
    </row>
    <row r="78" spans="2:10" ht="21" hidden="1" customHeight="1" outlineLevel="2">
      <c r="B78" s="95">
        <v>3.3</v>
      </c>
      <c r="C78" s="100" t="s">
        <v>139</v>
      </c>
      <c r="D78" s="124">
        <f>SUMPRODUCT(E79:E79,D79:D79)</f>
        <v>0</v>
      </c>
      <c r="E78" s="126">
        <f>E79</f>
        <v>2.1038062283737027E-2</v>
      </c>
      <c r="G78" s="100" t="s">
        <v>139</v>
      </c>
      <c r="H78" s="124">
        <f>SUMPRODUCT(I79:I79,H79:H79)</f>
        <v>0</v>
      </c>
      <c r="I78" s="126">
        <f>I79</f>
        <v>1.52E-2</v>
      </c>
      <c r="J78" s="523">
        <f>J79</f>
        <v>2.1038062283737027E-2</v>
      </c>
    </row>
    <row r="79" spans="2:10" s="94" customFormat="1" ht="21" hidden="1" customHeight="1" outlineLevel="3">
      <c r="B79" s="97"/>
      <c r="C79" s="98" t="s">
        <v>141</v>
      </c>
      <c r="D79" s="120">
        <v>0</v>
      </c>
      <c r="E79" s="105">
        <v>2.1038062283737027E-2</v>
      </c>
      <c r="G79" s="519" t="s">
        <v>141</v>
      </c>
      <c r="H79" s="120">
        <v>0</v>
      </c>
      <c r="I79" s="105">
        <v>1.52E-2</v>
      </c>
      <c r="J79" s="525">
        <f>I79/$I$4</f>
        <v>2.1038062283737027E-2</v>
      </c>
    </row>
    <row r="80" spans="2:10" ht="21" hidden="1" customHeight="1" outlineLevel="2">
      <c r="E80" s="107"/>
    </row>
    <row r="81" spans="5:5" ht="21" hidden="1" customHeight="1" outlineLevel="1">
      <c r="E81" s="107"/>
    </row>
    <row r="82" spans="5:5" ht="21" customHeight="1" collapsed="1">
      <c r="E82" s="107"/>
    </row>
  </sheetData>
  <autoFilter ref="G4:J79">
    <sortState ref="G5:J13">
      <sortCondition sortBy="cellColor" ref="J4:J80" dxfId="13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6:D15"/>
  <sheetViews>
    <sheetView showGridLines="0" rightToLeft="1" workbookViewId="0">
      <selection activeCell="D4" sqref="D4"/>
    </sheetView>
  </sheetViews>
  <sheetFormatPr defaultRowHeight="15"/>
  <cols>
    <col min="2" max="2" width="19.140625" bestFit="1" customWidth="1"/>
    <col min="3" max="3" width="6.28515625" style="73" bestFit="1" customWidth="1"/>
    <col min="4" max="4" width="9.140625" style="116"/>
  </cols>
  <sheetData>
    <row r="6" spans="2:4" ht="18">
      <c r="B6" s="112" t="s">
        <v>146</v>
      </c>
      <c r="C6" s="377">
        <f>'WBS-بدون البرز شرقی'!D10/'WBS-بدون البرز شرقی'!E10</f>
        <v>0.87199999999999989</v>
      </c>
      <c r="D6" s="116">
        <v>1</v>
      </c>
    </row>
    <row r="7" spans="2:4" ht="18">
      <c r="B7" s="112" t="s">
        <v>147</v>
      </c>
      <c r="C7" s="377">
        <f>'WBS-بدون البرز شرقی'!D5/'WBS-بدون البرز شرقی'!E5</f>
        <v>0.66230366492146597</v>
      </c>
      <c r="D7" s="116">
        <v>1</v>
      </c>
    </row>
    <row r="8" spans="2:4" ht="18">
      <c r="B8" s="112" t="s">
        <v>69</v>
      </c>
      <c r="C8" s="377">
        <f>'WBS-بدون البرز شرقی'!D15/'WBS-بدون البرز شرقی'!E15</f>
        <v>0.15804783423547611</v>
      </c>
      <c r="D8" s="116">
        <v>1</v>
      </c>
    </row>
    <row r="9" spans="2:4" ht="18">
      <c r="B9" s="112" t="s">
        <v>70</v>
      </c>
      <c r="C9" s="377">
        <f>'WBS-بدون البرز شرقی'!D26/'WBS-بدون البرز شرقی'!E26</f>
        <v>0.17321833779945736</v>
      </c>
      <c r="D9" s="116">
        <v>1</v>
      </c>
    </row>
    <row r="10" spans="2:4" ht="18">
      <c r="B10" s="112" t="s">
        <v>71</v>
      </c>
      <c r="C10" s="377">
        <f>'WBS-بدون البرز شرقی'!D37/'WBS-بدون البرز شرقی'!E37</f>
        <v>0.16247984498168874</v>
      </c>
      <c r="D10" s="116">
        <v>1</v>
      </c>
    </row>
    <row r="11" spans="2:4" ht="18">
      <c r="B11" s="112" t="s">
        <v>72</v>
      </c>
      <c r="C11" s="377">
        <f>'WBS-بدون البرز شرقی'!D48/'WBS-بدون البرز شرقی'!E48</f>
        <v>7.3889695718438619E-2</v>
      </c>
      <c r="D11" s="116">
        <v>1</v>
      </c>
    </row>
    <row r="12" spans="2:4" ht="18">
      <c r="B12" s="112" t="s">
        <v>149</v>
      </c>
      <c r="C12" s="377">
        <f>'WBS-بدون البرز شرقی'!D64/'WBS-بدون البرز شرقی'!E64</f>
        <v>0</v>
      </c>
      <c r="D12" s="116">
        <v>1</v>
      </c>
    </row>
    <row r="13" spans="2:4" ht="18">
      <c r="B13" s="112" t="s">
        <v>150</v>
      </c>
      <c r="C13" s="377">
        <f>'WBS-بدون البرز شرقی'!D60/'WBS-بدون البرز شرقی'!E60</f>
        <v>0</v>
      </c>
      <c r="D13" s="116">
        <v>1</v>
      </c>
    </row>
    <row r="14" spans="2:4" ht="18">
      <c r="B14" s="112" t="s">
        <v>151</v>
      </c>
      <c r="C14" s="377">
        <f>'WBS-بدون البرز شرقی'!D62/'WBS-بدون البرز شرقی'!E62</f>
        <v>0</v>
      </c>
      <c r="D14" s="116">
        <v>1</v>
      </c>
    </row>
    <row r="15" spans="2:4" ht="18">
      <c r="B15" s="112" t="s">
        <v>152</v>
      </c>
      <c r="C15" s="377">
        <f>'WBS-بدون البرز شرقی'!D78/'WBS-بدون البرز شرقی'!E78</f>
        <v>0</v>
      </c>
      <c r="D15" s="116">
        <v>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2"/>
  <sheetViews>
    <sheetView showGridLines="0" rightToLeft="1" view="pageBreakPreview" zoomScale="70" zoomScaleNormal="100" zoomScaleSheetLayoutView="70" workbookViewId="0">
      <selection activeCell="D8" sqref="D8"/>
    </sheetView>
  </sheetViews>
  <sheetFormatPr defaultRowHeight="15"/>
  <cols>
    <col min="1" max="1" width="4.140625" customWidth="1"/>
    <col min="2" max="5" width="14.85546875" customWidth="1"/>
    <col min="6" max="6" width="14.85546875" hidden="1" customWidth="1"/>
    <col min="7" max="7" width="14.85546875" customWidth="1"/>
    <col min="8" max="9" width="19.140625" customWidth="1"/>
    <col min="10" max="10" width="15.140625" customWidth="1"/>
  </cols>
  <sheetData>
    <row r="1" spans="2:9">
      <c r="B1" s="680" t="s">
        <v>487</v>
      </c>
      <c r="C1" s="680"/>
      <c r="D1" s="680"/>
      <c r="E1" s="680"/>
      <c r="F1" s="680"/>
      <c r="G1" s="680"/>
      <c r="H1" s="680"/>
      <c r="I1" s="680"/>
    </row>
    <row r="2" spans="2:9" ht="15.75" thickBot="1">
      <c r="B2" s="681"/>
      <c r="C2" s="681"/>
      <c r="D2" s="681"/>
      <c r="E2" s="681"/>
      <c r="F2" s="681"/>
      <c r="G2" s="681"/>
      <c r="H2" s="681"/>
      <c r="I2" s="681"/>
    </row>
    <row r="3" spans="2:9" ht="66.75" customHeight="1" thickBot="1">
      <c r="B3" s="684" t="s">
        <v>196</v>
      </c>
      <c r="C3" s="685"/>
      <c r="D3" s="620" t="s">
        <v>49</v>
      </c>
      <c r="E3" s="620" t="s">
        <v>483</v>
      </c>
      <c r="F3" s="620" t="s">
        <v>488</v>
      </c>
      <c r="G3" s="620" t="s">
        <v>484</v>
      </c>
      <c r="H3" s="620" t="s">
        <v>485</v>
      </c>
      <c r="I3" s="621" t="s">
        <v>486</v>
      </c>
    </row>
    <row r="4" spans="2:9" ht="27.75" customHeight="1">
      <c r="B4" s="682" t="s">
        <v>69</v>
      </c>
      <c r="C4" s="618" t="s">
        <v>481</v>
      </c>
      <c r="D4" s="619">
        <f>'A2'!C2+Table1[[#This Row],[طول کل
(متر)]]+'A2'!C6+'A2'!C8+'A2'!C10+'A2'!C12</f>
        <v>1883</v>
      </c>
      <c r="E4" s="619">
        <f>'A2'!D2+Table1[[#This Row],[تاپ
(متر)]]+'A2'!D6+'A2'!D8+'A2'!D10+'A2'!D12</f>
        <v>951.69999999999993</v>
      </c>
      <c r="F4" s="619">
        <v>661.14</v>
      </c>
      <c r="G4" s="619">
        <f>D4-E4</f>
        <v>931.30000000000007</v>
      </c>
      <c r="H4" s="619">
        <f>E4-F4</f>
        <v>290.55999999999995</v>
      </c>
      <c r="I4" s="624">
        <f>G4/H4</f>
        <v>3.2051899779735691</v>
      </c>
    </row>
    <row r="5" spans="2:9" ht="27.75" customHeight="1">
      <c r="B5" s="683"/>
      <c r="C5" s="616" t="s">
        <v>482</v>
      </c>
      <c r="D5" s="617">
        <f>'A2'!C14-'گزارش مهندس بیگلر'!D4</f>
        <v>1828.4</v>
      </c>
      <c r="E5" s="617">
        <f>'A2'!D3+Table1[[#This Row],[تاپ
(متر)]]+'A2'!D7+'A2'!D9+'A2'!D11+'A2'!D13</f>
        <v>900.90000000000009</v>
      </c>
      <c r="F5" s="617">
        <v>636.72</v>
      </c>
      <c r="G5" s="617">
        <f t="shared" ref="G5:G12" si="0">D5-E5</f>
        <v>927.5</v>
      </c>
      <c r="H5" s="617">
        <f t="shared" ref="H5:H11" si="1">E5-F5</f>
        <v>264.18000000000006</v>
      </c>
      <c r="I5" s="625">
        <f t="shared" ref="I5:I11" si="2">G5/H5</f>
        <v>3.5108638049814513</v>
      </c>
    </row>
    <row r="6" spans="2:9" ht="27.75" customHeight="1">
      <c r="B6" s="683" t="s">
        <v>70</v>
      </c>
      <c r="C6" s="616" t="s">
        <v>481</v>
      </c>
      <c r="D6" s="617">
        <f>'B2'!C3+'B2'!C5+'B2'!C7+'B2'!C9+'B2'!C11+'B2'!C12+'B2'!C13+'B2'!C15+'B2'!C17+'B2'!C19</f>
        <v>1848.3</v>
      </c>
      <c r="E6" s="617">
        <f>'B2'!D3+'B2'!D5+'B2'!D7+'B2'!D9+'B2'!D11+'B2'!D12+'B2'!D13+'B2'!D15+'B2'!D17+'B2'!D19</f>
        <v>1100.8</v>
      </c>
      <c r="F6" s="617">
        <v>1536.5</v>
      </c>
      <c r="G6" s="617">
        <f t="shared" si="0"/>
        <v>747.5</v>
      </c>
      <c r="H6" s="617">
        <f t="shared" si="1"/>
        <v>-435.70000000000005</v>
      </c>
      <c r="I6" s="625">
        <f t="shared" si="2"/>
        <v>-1.7156300206564148</v>
      </c>
    </row>
    <row r="7" spans="2:9" ht="27.75" customHeight="1">
      <c r="B7" s="683"/>
      <c r="C7" s="616" t="s">
        <v>482</v>
      </c>
      <c r="D7" s="617">
        <f>Table2[[#Totals],[طول کل
(متر)]]-'گزارش مهندس بیگلر'!D6</f>
        <v>3741.8999999999996</v>
      </c>
      <c r="E7" s="617">
        <f>'B2'!D4+'B2'!D6+'B2'!D8+'B2'!D10+'B2'!D14+'B2'!D16+'B2'!D18+'B2'!D20+'B2'!D21</f>
        <v>1608.7</v>
      </c>
      <c r="F7" s="617">
        <v>789.8</v>
      </c>
      <c r="G7" s="617">
        <f t="shared" si="0"/>
        <v>2133.1999999999998</v>
      </c>
      <c r="H7" s="617">
        <f t="shared" si="1"/>
        <v>818.90000000000009</v>
      </c>
      <c r="I7" s="625">
        <f t="shared" si="2"/>
        <v>2.604957870313835</v>
      </c>
    </row>
    <row r="8" spans="2:9" ht="27.75" customHeight="1">
      <c r="B8" s="683" t="s">
        <v>71</v>
      </c>
      <c r="C8" s="616" t="s">
        <v>481</v>
      </c>
      <c r="D8" s="617">
        <f>'C2'!C2+'C2'!C3+'C2'!C5+'C2'!C7</f>
        <v>2973.61</v>
      </c>
      <c r="E8" s="617">
        <f>'C2'!D2+'C2'!D3+'C2'!D5+'C2'!D7</f>
        <v>1085.3500000000001</v>
      </c>
      <c r="F8" s="617">
        <v>460.45</v>
      </c>
      <c r="G8" s="617">
        <f t="shared" si="0"/>
        <v>1888.26</v>
      </c>
      <c r="H8" s="617">
        <f t="shared" si="1"/>
        <v>624.90000000000009</v>
      </c>
      <c r="I8" s="625">
        <f t="shared" si="2"/>
        <v>3.0216994719155061</v>
      </c>
    </row>
    <row r="9" spans="2:9" ht="27.75" customHeight="1">
      <c r="B9" s="683"/>
      <c r="C9" s="616" t="s">
        <v>482</v>
      </c>
      <c r="D9" s="617">
        <f>'C2'!C9-'گزارش مهندس بیگلر'!D8</f>
        <v>2257.6600000000003</v>
      </c>
      <c r="E9" s="617">
        <f>'C2'!D9-'گزارش مهندس بیگلر'!E8</f>
        <v>993.80999999999972</v>
      </c>
      <c r="F9" s="617">
        <v>739.44999999999993</v>
      </c>
      <c r="G9" s="617">
        <f t="shared" si="0"/>
        <v>1263.8500000000006</v>
      </c>
      <c r="H9" s="617">
        <f t="shared" si="1"/>
        <v>254.35999999999979</v>
      </c>
      <c r="I9" s="625">
        <f t="shared" si="2"/>
        <v>4.9687450857053062</v>
      </c>
    </row>
    <row r="10" spans="2:9" ht="27.75" customHeight="1">
      <c r="B10" s="683" t="s">
        <v>72</v>
      </c>
      <c r="C10" s="616" t="s">
        <v>481</v>
      </c>
      <c r="D10" s="617">
        <f>'D2'!C2+'D2'!C4+'D2'!C6+'D2'!C8+Table3[[#This Row],[طول کل
متر]]+'D2'!C12</f>
        <v>1865.6200000000001</v>
      </c>
      <c r="E10" s="617">
        <f>'D2'!D2+'D2'!D4+'D2'!D6+'D2'!D8+Table3[[#This Row],[تاپ
متر]]+'D2'!D12</f>
        <v>726.5</v>
      </c>
      <c r="F10" s="617">
        <v>539.29999999999995</v>
      </c>
      <c r="G10" s="617">
        <f t="shared" si="0"/>
        <v>1139.1200000000001</v>
      </c>
      <c r="H10" s="617">
        <f t="shared" si="1"/>
        <v>187.20000000000005</v>
      </c>
      <c r="I10" s="625">
        <f t="shared" si="2"/>
        <v>6.0850427350427339</v>
      </c>
    </row>
    <row r="11" spans="2:9" ht="27.75" customHeight="1">
      <c r="B11" s="683"/>
      <c r="C11" s="616" t="s">
        <v>482</v>
      </c>
      <c r="D11" s="617">
        <f>'D2'!C14-'گزارش مهندس بیگلر'!D10</f>
        <v>1714.9999999999998</v>
      </c>
      <c r="E11" s="617">
        <f>'D2'!D14-'گزارش مهندس بیگلر'!E10</f>
        <v>824.7</v>
      </c>
      <c r="F11" s="617">
        <v>698.5</v>
      </c>
      <c r="G11" s="617">
        <f t="shared" si="0"/>
        <v>890.29999999999973</v>
      </c>
      <c r="H11" s="617">
        <f t="shared" si="1"/>
        <v>126.20000000000005</v>
      </c>
      <c r="I11" s="625">
        <f t="shared" si="2"/>
        <v>7.0546751188589489</v>
      </c>
    </row>
    <row r="12" spans="2:9" ht="24.75" thickBot="1">
      <c r="B12" s="678" t="s">
        <v>12</v>
      </c>
      <c r="C12" s="679"/>
      <c r="D12" s="622">
        <f>SUM(D4:D11)</f>
        <v>18113.489999999998</v>
      </c>
      <c r="E12" s="622">
        <f t="shared" ref="E12" si="3">SUM(E4:E11)</f>
        <v>8192.4599999999991</v>
      </c>
      <c r="F12" s="622"/>
      <c r="G12" s="622">
        <f t="shared" si="0"/>
        <v>9921.0299999999988</v>
      </c>
      <c r="H12" s="622">
        <f>SUM(H4:H11)</f>
        <v>2130.6</v>
      </c>
      <c r="I12" s="623">
        <f>G12/H12</f>
        <v>4.6564488876372847</v>
      </c>
    </row>
  </sheetData>
  <mergeCells count="7">
    <mergeCell ref="B12:C12"/>
    <mergeCell ref="B1:I2"/>
    <mergeCell ref="B4:B5"/>
    <mergeCell ref="B6:B7"/>
    <mergeCell ref="B8:B9"/>
    <mergeCell ref="B10:B11"/>
    <mergeCell ref="B3:C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E22"/>
  <sheetViews>
    <sheetView showGridLines="0" rightToLeft="1" topLeftCell="A13" workbookViewId="0">
      <selection activeCell="E13" sqref="E13:E22"/>
    </sheetView>
  </sheetViews>
  <sheetFormatPr defaultColWidth="13.85546875" defaultRowHeight="18"/>
  <cols>
    <col min="1" max="16384" width="13.85546875" style="213"/>
  </cols>
  <sheetData>
    <row r="1" spans="2:5" ht="18.75" thickBot="1"/>
    <row r="2" spans="2:5" ht="18.75" thickBot="1">
      <c r="B2" s="686" t="s">
        <v>69</v>
      </c>
      <c r="C2" s="687"/>
      <c r="D2" s="687"/>
      <c r="E2" s="688"/>
    </row>
    <row r="3" spans="2:5" ht="40.5" customHeight="1" thickBot="1">
      <c r="B3" s="539" t="s">
        <v>390</v>
      </c>
      <c r="C3" s="540" t="s">
        <v>330</v>
      </c>
      <c r="D3" s="540" t="s">
        <v>331</v>
      </c>
      <c r="E3" s="471" t="s">
        <v>391</v>
      </c>
    </row>
    <row r="4" spans="2:5">
      <c r="B4" s="536" t="s">
        <v>384</v>
      </c>
      <c r="C4" s="467" t="s">
        <v>374</v>
      </c>
      <c r="D4" s="467" t="s">
        <v>375</v>
      </c>
      <c r="E4" s="535">
        <v>20</v>
      </c>
    </row>
    <row r="5" spans="2:5">
      <c r="B5" s="537" t="s">
        <v>385</v>
      </c>
      <c r="C5" s="112" t="s">
        <v>374</v>
      </c>
      <c r="D5" s="112" t="s">
        <v>375</v>
      </c>
      <c r="E5" s="203">
        <v>20</v>
      </c>
    </row>
    <row r="6" spans="2:5">
      <c r="B6" s="537" t="s">
        <v>386</v>
      </c>
      <c r="C6" s="112" t="s">
        <v>376</v>
      </c>
      <c r="D6" s="112" t="s">
        <v>377</v>
      </c>
      <c r="E6" s="203">
        <v>15</v>
      </c>
    </row>
    <row r="7" spans="2:5">
      <c r="B7" s="537" t="s">
        <v>387</v>
      </c>
      <c r="C7" s="112" t="s">
        <v>378</v>
      </c>
      <c r="D7" s="112" t="s">
        <v>379</v>
      </c>
      <c r="E7" s="203">
        <v>35</v>
      </c>
    </row>
    <row r="8" spans="2:5">
      <c r="B8" s="537" t="s">
        <v>388</v>
      </c>
      <c r="C8" s="112" t="s">
        <v>380</v>
      </c>
      <c r="D8" s="112" t="s">
        <v>381</v>
      </c>
      <c r="E8" s="203">
        <v>250</v>
      </c>
    </row>
    <row r="9" spans="2:5" ht="18.75" thickBot="1">
      <c r="B9" s="538" t="s">
        <v>389</v>
      </c>
      <c r="C9" s="468" t="s">
        <v>382</v>
      </c>
      <c r="D9" s="468" t="s">
        <v>383</v>
      </c>
      <c r="E9" s="204">
        <v>330</v>
      </c>
    </row>
    <row r="10" spans="2:5" ht="18.75" thickBot="1"/>
    <row r="11" spans="2:5" ht="18.75" thickBot="1">
      <c r="B11" s="671" t="s">
        <v>72</v>
      </c>
      <c r="C11" s="672"/>
      <c r="D11" s="672"/>
      <c r="E11" s="673"/>
    </row>
    <row r="12" spans="2:5" ht="18.75" thickBot="1">
      <c r="B12" s="541" t="s">
        <v>390</v>
      </c>
      <c r="C12" s="542" t="s">
        <v>330</v>
      </c>
      <c r="D12" s="542" t="s">
        <v>331</v>
      </c>
      <c r="E12" s="543" t="s">
        <v>391</v>
      </c>
    </row>
    <row r="13" spans="2:5">
      <c r="B13" s="444" t="s">
        <v>394</v>
      </c>
      <c r="C13" s="445" t="s">
        <v>398</v>
      </c>
      <c r="D13" s="445" t="s">
        <v>399</v>
      </c>
      <c r="E13" s="446">
        <v>35</v>
      </c>
    </row>
    <row r="14" spans="2:5">
      <c r="B14" s="199" t="s">
        <v>395</v>
      </c>
      <c r="C14" s="112" t="s">
        <v>400</v>
      </c>
      <c r="D14" s="112" t="s">
        <v>401</v>
      </c>
      <c r="E14" s="203">
        <v>70</v>
      </c>
    </row>
    <row r="15" spans="2:5">
      <c r="B15" s="199" t="s">
        <v>392</v>
      </c>
      <c r="C15" s="112" t="s">
        <v>402</v>
      </c>
      <c r="D15" s="112" t="s">
        <v>403</v>
      </c>
      <c r="E15" s="203">
        <v>70</v>
      </c>
    </row>
    <row r="16" spans="2:5">
      <c r="B16" s="199" t="s">
        <v>393</v>
      </c>
      <c r="C16" s="112" t="s">
        <v>404</v>
      </c>
      <c r="D16" s="112" t="s">
        <v>405</v>
      </c>
      <c r="E16" s="203">
        <v>35</v>
      </c>
    </row>
    <row r="17" spans="2:5">
      <c r="B17" s="199" t="s">
        <v>396</v>
      </c>
      <c r="C17" s="112" t="s">
        <v>406</v>
      </c>
      <c r="D17" s="112" t="s">
        <v>407</v>
      </c>
      <c r="E17" s="203">
        <v>107</v>
      </c>
    </row>
    <row r="18" spans="2:5">
      <c r="B18" s="199" t="s">
        <v>397</v>
      </c>
      <c r="C18" s="112" t="s">
        <v>408</v>
      </c>
      <c r="D18" s="112" t="s">
        <v>409</v>
      </c>
      <c r="E18" s="203">
        <v>22</v>
      </c>
    </row>
    <row r="19" spans="2:5">
      <c r="B19" s="199" t="s">
        <v>410</v>
      </c>
      <c r="C19" s="112" t="s">
        <v>416</v>
      </c>
      <c r="D19" s="112" t="s">
        <v>417</v>
      </c>
      <c r="E19" s="203">
        <v>116</v>
      </c>
    </row>
    <row r="20" spans="2:5">
      <c r="B20" s="199" t="s">
        <v>411</v>
      </c>
      <c r="C20" s="112" t="s">
        <v>414</v>
      </c>
      <c r="D20" s="112" t="s">
        <v>415</v>
      </c>
      <c r="E20" s="203">
        <v>116</v>
      </c>
    </row>
    <row r="21" spans="2:5">
      <c r="B21" s="199" t="s">
        <v>412</v>
      </c>
      <c r="C21" s="112" t="s">
        <v>418</v>
      </c>
      <c r="D21" s="112" t="s">
        <v>419</v>
      </c>
      <c r="E21" s="203">
        <v>25</v>
      </c>
    </row>
    <row r="22" spans="2:5" ht="18.75" thickBot="1">
      <c r="B22" s="200" t="s">
        <v>413</v>
      </c>
      <c r="C22" s="468" t="s">
        <v>420</v>
      </c>
      <c r="D22" s="468" t="s">
        <v>421</v>
      </c>
      <c r="E22" s="204">
        <v>25</v>
      </c>
    </row>
  </sheetData>
  <mergeCells count="2">
    <mergeCell ref="B2:E2"/>
    <mergeCell ref="B11:E1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6:I14"/>
  <sheetViews>
    <sheetView showGridLines="0" rightToLeft="1" topLeftCell="A4" workbookViewId="0">
      <selection activeCell="C14" sqref="C14"/>
    </sheetView>
  </sheetViews>
  <sheetFormatPr defaultRowHeight="15"/>
  <cols>
    <col min="2" max="2" width="12.42578125" bestFit="1" customWidth="1"/>
    <col min="3" max="3" width="5.5703125" bestFit="1" customWidth="1"/>
  </cols>
  <sheetData>
    <row r="6" spans="2:9">
      <c r="F6" t="s">
        <v>259</v>
      </c>
      <c r="G6" s="73">
        <v>0.66</v>
      </c>
      <c r="H6" s="73">
        <v>1</v>
      </c>
      <c r="I6" s="447"/>
    </row>
    <row r="7" spans="2:9">
      <c r="F7" t="s">
        <v>54</v>
      </c>
      <c r="G7" s="73">
        <f>0.33*0.8</f>
        <v>0.26400000000000001</v>
      </c>
      <c r="H7" s="73">
        <v>1</v>
      </c>
    </row>
    <row r="8" spans="2:9">
      <c r="F8" t="s">
        <v>290</v>
      </c>
      <c r="G8" s="73">
        <v>0.06</v>
      </c>
      <c r="H8" s="73">
        <v>1</v>
      </c>
    </row>
    <row r="13" spans="2:9" ht="18">
      <c r="B13" s="448" t="s">
        <v>291</v>
      </c>
      <c r="C13" s="449">
        <v>6400</v>
      </c>
    </row>
    <row r="14" spans="2:9" ht="18">
      <c r="B14" s="448" t="s">
        <v>292</v>
      </c>
      <c r="C14" s="449">
        <v>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Q37"/>
  <sheetViews>
    <sheetView showGridLines="0" rightToLeft="1" topLeftCell="I1" zoomScale="85" zoomScaleNormal="85" workbookViewId="0">
      <selection activeCell="O9" sqref="O9"/>
    </sheetView>
  </sheetViews>
  <sheetFormatPr defaultRowHeight="23.25"/>
  <cols>
    <col min="2" max="6" width="14.140625" customWidth="1"/>
    <col min="7" max="7" width="16.85546875" customWidth="1"/>
    <col min="8" max="11" width="14.140625" style="74" customWidth="1"/>
    <col min="14" max="14" width="9.85546875" bestFit="1" customWidth="1"/>
    <col min="15" max="15" width="18.5703125" customWidth="1"/>
    <col min="16" max="16" width="16.85546875" customWidth="1"/>
  </cols>
  <sheetData>
    <row r="2" spans="2:17" ht="18">
      <c r="B2" s="689" t="s">
        <v>259</v>
      </c>
      <c r="C2" s="689"/>
      <c r="D2" s="689"/>
      <c r="E2" s="689"/>
      <c r="F2" s="75"/>
      <c r="G2" s="75"/>
      <c r="H2" s="689" t="s">
        <v>79</v>
      </c>
      <c r="I2" s="689"/>
      <c r="J2" s="689"/>
      <c r="K2" s="689"/>
    </row>
    <row r="3" spans="2:17" ht="26.25" customHeight="1">
      <c r="B3" s="76" t="s">
        <v>68</v>
      </c>
      <c r="C3" s="76" t="s">
        <v>77</v>
      </c>
      <c r="D3" s="76" t="s">
        <v>78</v>
      </c>
      <c r="E3" s="76" t="s">
        <v>64</v>
      </c>
      <c r="F3" s="75"/>
      <c r="G3" s="75"/>
      <c r="H3" s="70" t="s">
        <v>68</v>
      </c>
      <c r="I3" s="70" t="s">
        <v>77</v>
      </c>
      <c r="J3" s="70" t="s">
        <v>78</v>
      </c>
      <c r="K3" s="70" t="s">
        <v>64</v>
      </c>
      <c r="O3" s="690" t="s">
        <v>80</v>
      </c>
      <c r="P3" s="690"/>
      <c r="Q3" s="690"/>
    </row>
    <row r="4" spans="2:17" ht="20.25" customHeight="1">
      <c r="B4" s="40" t="s">
        <v>69</v>
      </c>
      <c r="C4" s="71">
        <f>'A2'!C14</f>
        <v>3711.4</v>
      </c>
      <c r="D4" s="71">
        <f>'A2'!D14</f>
        <v>1852.6000000000001</v>
      </c>
      <c r="E4" s="37">
        <f>D4/C4</f>
        <v>0.49916473567925851</v>
      </c>
      <c r="F4" s="73">
        <v>1</v>
      </c>
      <c r="G4" s="75"/>
      <c r="H4" s="40" t="s">
        <v>69</v>
      </c>
      <c r="I4" s="71">
        <f>C4</f>
        <v>3711.4</v>
      </c>
      <c r="J4" s="71">
        <f>'A2'!E14</f>
        <v>649</v>
      </c>
      <c r="K4" s="37">
        <f>J4/I4</f>
        <v>0.17486662714878481</v>
      </c>
      <c r="L4" s="73">
        <v>1</v>
      </c>
      <c r="O4" s="81" t="s">
        <v>69</v>
      </c>
      <c r="P4" s="78">
        <f>((2/3)*D4)+((1/3)*J4)</f>
        <v>1451.3999999999999</v>
      </c>
      <c r="Q4" s="79">
        <f>P4/I4</f>
        <v>0.39106536616910054</v>
      </c>
    </row>
    <row r="5" spans="2:17" ht="20.25" customHeight="1">
      <c r="B5" s="40" t="s">
        <v>70</v>
      </c>
      <c r="C5" s="71">
        <f>Table2[[#Totals],[طول کل
(متر)]]</f>
        <v>5590.2</v>
      </c>
      <c r="D5" s="71">
        <f>Table2[[#Totals],[تاپ
(متر)]]</f>
        <v>2785.7</v>
      </c>
      <c r="E5" s="37">
        <f t="shared" ref="E5:E7" si="0">D5/C5</f>
        <v>0.49831848592179168</v>
      </c>
      <c r="F5" s="73">
        <v>1</v>
      </c>
      <c r="G5" s="75"/>
      <c r="H5" s="40" t="s">
        <v>70</v>
      </c>
      <c r="I5" s="71">
        <f t="shared" ref="I5:I7" si="1">C5</f>
        <v>5590.2</v>
      </c>
      <c r="J5" s="71">
        <f>Table2[[#Totals],[بنچ
(متر)]]</f>
        <v>1106.5</v>
      </c>
      <c r="K5" s="37">
        <f t="shared" ref="K5:K7" si="2">J5/I5</f>
        <v>0.19793567314228472</v>
      </c>
      <c r="L5" s="73">
        <v>1</v>
      </c>
      <c r="O5" s="81" t="s">
        <v>70</v>
      </c>
      <c r="P5" s="78">
        <f>((2/3)*D5+(1/3)*J5)</f>
        <v>2225.9666666666667</v>
      </c>
      <c r="Q5" s="79">
        <f>P5/I5</f>
        <v>0.39819088166195604</v>
      </c>
    </row>
    <row r="6" spans="2:17" ht="20.25" customHeight="1">
      <c r="B6" s="40" t="s">
        <v>71</v>
      </c>
      <c r="C6" s="71">
        <f>'C2'!C9</f>
        <v>5231.2700000000004</v>
      </c>
      <c r="D6" s="71">
        <f>'C2'!D9</f>
        <v>2079.16</v>
      </c>
      <c r="E6" s="37">
        <f t="shared" si="0"/>
        <v>0.39744842074677844</v>
      </c>
      <c r="F6" s="73">
        <v>1</v>
      </c>
      <c r="G6" s="75"/>
      <c r="H6" s="40" t="s">
        <v>71</v>
      </c>
      <c r="I6" s="71">
        <f t="shared" si="1"/>
        <v>5231.2700000000004</v>
      </c>
      <c r="J6" s="71">
        <f>'C2'!E9</f>
        <v>238.5</v>
      </c>
      <c r="K6" s="37">
        <f t="shared" si="2"/>
        <v>4.5591223546098743E-2</v>
      </c>
      <c r="L6" s="73">
        <v>1</v>
      </c>
      <c r="O6" s="81" t="s">
        <v>71</v>
      </c>
      <c r="P6" s="78">
        <f>((2/3)*D6+(1/3)*J6)</f>
        <v>1465.6066666666666</v>
      </c>
      <c r="Q6" s="79">
        <f>P6/I6</f>
        <v>0.28016268834655189</v>
      </c>
    </row>
    <row r="7" spans="2:17" ht="20.25" customHeight="1">
      <c r="B7" s="40" t="s">
        <v>72</v>
      </c>
      <c r="C7" s="71">
        <f>'D2'!C14</f>
        <v>3580.62</v>
      </c>
      <c r="D7" s="71">
        <f>'D2'!D14</f>
        <v>1551.2</v>
      </c>
      <c r="E7" s="37">
        <f t="shared" si="0"/>
        <v>0.43322106227413132</v>
      </c>
      <c r="F7" s="73">
        <v>1</v>
      </c>
      <c r="G7" s="75"/>
      <c r="H7" s="40" t="s">
        <v>72</v>
      </c>
      <c r="I7" s="71">
        <f t="shared" si="1"/>
        <v>3580.62</v>
      </c>
      <c r="J7" s="72">
        <f>'D2'!E14</f>
        <v>254</v>
      </c>
      <c r="K7" s="77">
        <f t="shared" si="2"/>
        <v>7.0937435416212835E-2</v>
      </c>
      <c r="L7" s="73">
        <v>1</v>
      </c>
      <c r="O7" s="81" t="s">
        <v>72</v>
      </c>
      <c r="P7" s="80">
        <f>((2/3)*D7+(1/3)*J7)</f>
        <v>1118.8</v>
      </c>
      <c r="Q7" s="79">
        <f>P7/I7</f>
        <v>0.31245985332149179</v>
      </c>
    </row>
    <row r="8" spans="2:17" ht="20.25" customHeight="1">
      <c r="B8" s="41" t="s">
        <v>12</v>
      </c>
      <c r="C8" s="38">
        <f>SUM(C4:C7)</f>
        <v>18113.490000000002</v>
      </c>
      <c r="D8" s="38">
        <f>SUM(D4:D7)</f>
        <v>8268.66</v>
      </c>
      <c r="E8" s="39">
        <f>D8/C8</f>
        <v>0.45649181908069614</v>
      </c>
      <c r="F8" s="73">
        <f>1-E8</f>
        <v>0.54350818091930386</v>
      </c>
      <c r="G8" s="75"/>
      <c r="H8" s="41" t="s">
        <v>12</v>
      </c>
      <c r="I8" s="38">
        <f>SUM(I4:I7)</f>
        <v>18113.490000000002</v>
      </c>
      <c r="J8" s="38">
        <f>SUM(J4:J7)</f>
        <v>2248</v>
      </c>
      <c r="K8" s="39">
        <f>J8/I8</f>
        <v>0.12410639804918874</v>
      </c>
      <c r="L8" s="73">
        <f>1-K8</f>
        <v>0.87589360195081123</v>
      </c>
    </row>
    <row r="23" spans="4:17" ht="24.75">
      <c r="M23" s="689" t="s">
        <v>79</v>
      </c>
      <c r="N23" s="689"/>
      <c r="O23" s="689"/>
      <c r="P23" s="689"/>
    </row>
    <row r="24" spans="4:17" ht="39">
      <c r="M24" s="70" t="s">
        <v>68</v>
      </c>
      <c r="N24" s="70" t="s">
        <v>77</v>
      </c>
      <c r="O24" s="70" t="s">
        <v>297</v>
      </c>
      <c r="P24" s="70" t="s">
        <v>315</v>
      </c>
      <c r="Q24" s="70" t="s">
        <v>314</v>
      </c>
    </row>
    <row r="25" spans="4:17">
      <c r="M25" s="463" t="s">
        <v>69</v>
      </c>
      <c r="N25" s="71">
        <f>I4</f>
        <v>3711.4</v>
      </c>
      <c r="O25" s="71">
        <v>481</v>
      </c>
      <c r="P25" s="71">
        <f>J4</f>
        <v>649</v>
      </c>
      <c r="Q25" s="71">
        <f>P25-O25</f>
        <v>168</v>
      </c>
    </row>
    <row r="26" spans="4:17">
      <c r="M26" s="463" t="s">
        <v>70</v>
      </c>
      <c r="N26" s="71">
        <f t="shared" ref="N26:N28" si="3">I5</f>
        <v>5590.2</v>
      </c>
      <c r="O26" s="71">
        <v>356</v>
      </c>
      <c r="P26" s="71">
        <f t="shared" ref="P26:P28" si="4">J5</f>
        <v>1106.5</v>
      </c>
      <c r="Q26" s="71">
        <f t="shared" ref="Q26:Q29" si="5">P26-O26</f>
        <v>750.5</v>
      </c>
    </row>
    <row r="27" spans="4:17">
      <c r="M27" s="463" t="s">
        <v>71</v>
      </c>
      <c r="N27" s="71">
        <f t="shared" si="3"/>
        <v>5231.2700000000004</v>
      </c>
      <c r="O27" s="71">
        <f>P27</f>
        <v>238.5</v>
      </c>
      <c r="P27" s="71">
        <f t="shared" si="4"/>
        <v>238.5</v>
      </c>
      <c r="Q27" s="72">
        <f t="shared" si="5"/>
        <v>0</v>
      </c>
    </row>
    <row r="28" spans="4:17">
      <c r="M28" s="463" t="s">
        <v>72</v>
      </c>
      <c r="N28" s="71">
        <f t="shared" si="3"/>
        <v>3580.62</v>
      </c>
      <c r="O28" s="72">
        <f>'D2'!J34</f>
        <v>0</v>
      </c>
      <c r="P28" s="71">
        <f t="shared" si="4"/>
        <v>254</v>
      </c>
      <c r="Q28" s="71">
        <f t="shared" si="5"/>
        <v>254</v>
      </c>
    </row>
    <row r="29" spans="4:17">
      <c r="M29" s="41" t="s">
        <v>12</v>
      </c>
      <c r="N29" s="38">
        <f>SUM(N25:N28)</f>
        <v>18113.490000000002</v>
      </c>
      <c r="O29" s="38">
        <f>SUM(O25:O28)</f>
        <v>1075.5</v>
      </c>
      <c r="P29" s="38">
        <f>SUM(P25:P28)</f>
        <v>2248</v>
      </c>
      <c r="Q29" s="38">
        <f t="shared" si="5"/>
        <v>1172.5</v>
      </c>
    </row>
    <row r="32" spans="4:17" ht="58.5">
      <c r="D32" s="76" t="s">
        <v>68</v>
      </c>
      <c r="E32" s="76" t="s">
        <v>77</v>
      </c>
      <c r="F32" s="76" t="s">
        <v>297</v>
      </c>
      <c r="G32" s="76" t="s">
        <v>315</v>
      </c>
      <c r="H32" s="76" t="s">
        <v>314</v>
      </c>
    </row>
    <row r="33" spans="4:8">
      <c r="D33" s="463" t="s">
        <v>69</v>
      </c>
      <c r="E33" s="71">
        <f>C4</f>
        <v>3711.4</v>
      </c>
      <c r="F33" s="71">
        <v>1178</v>
      </c>
      <c r="G33" s="71">
        <f>D4</f>
        <v>1852.6000000000001</v>
      </c>
      <c r="H33" s="71">
        <f>G33-F33</f>
        <v>674.60000000000014</v>
      </c>
    </row>
    <row r="34" spans="4:8">
      <c r="D34" s="463" t="s">
        <v>70</v>
      </c>
      <c r="E34" s="71">
        <f t="shared" ref="E34:E36" si="6">C5</f>
        <v>5590.2</v>
      </c>
      <c r="F34" s="71">
        <v>1890</v>
      </c>
      <c r="G34" s="71">
        <f t="shared" ref="G34:G36" si="7">D5</f>
        <v>2785.7</v>
      </c>
      <c r="H34" s="71">
        <f t="shared" ref="H34:H36" si="8">G34-F34</f>
        <v>895.69999999999982</v>
      </c>
    </row>
    <row r="35" spans="4:8">
      <c r="D35" s="463" t="s">
        <v>71</v>
      </c>
      <c r="E35" s="71">
        <f t="shared" si="6"/>
        <v>5231.2700000000004</v>
      </c>
      <c r="F35" s="71">
        <v>934</v>
      </c>
      <c r="G35" s="71">
        <f t="shared" si="7"/>
        <v>2079.16</v>
      </c>
      <c r="H35" s="71">
        <f t="shared" si="8"/>
        <v>1145.1599999999999</v>
      </c>
    </row>
    <row r="36" spans="4:8">
      <c r="D36" s="463" t="s">
        <v>72</v>
      </c>
      <c r="E36" s="71">
        <f t="shared" si="6"/>
        <v>3580.62</v>
      </c>
      <c r="F36" s="71">
        <v>1079</v>
      </c>
      <c r="G36" s="71">
        <f t="shared" si="7"/>
        <v>1551.2</v>
      </c>
      <c r="H36" s="71">
        <f t="shared" si="8"/>
        <v>472.20000000000005</v>
      </c>
    </row>
    <row r="37" spans="4:8">
      <c r="D37" s="41" t="s">
        <v>12</v>
      </c>
      <c r="E37" s="38">
        <f>SUM(E33:E36)</f>
        <v>18113.490000000002</v>
      </c>
      <c r="F37" s="38">
        <f>SUM(F33:F36)</f>
        <v>5081</v>
      </c>
      <c r="G37" s="38">
        <f>SUM(G33:G36)</f>
        <v>8268.66</v>
      </c>
      <c r="H37" s="38">
        <f>SUM(H33:H36)</f>
        <v>3187.66</v>
      </c>
    </row>
  </sheetData>
  <mergeCells count="4">
    <mergeCell ref="B2:E2"/>
    <mergeCell ref="H2:K2"/>
    <mergeCell ref="O3:Q3"/>
    <mergeCell ref="M23:P2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8"/>
  <sheetViews>
    <sheetView showGridLines="0" rightToLeft="1" workbookViewId="0">
      <selection activeCell="E6" sqref="E6"/>
    </sheetView>
  </sheetViews>
  <sheetFormatPr defaultRowHeight="15"/>
  <cols>
    <col min="2" max="5" width="16" customWidth="1"/>
  </cols>
  <sheetData>
    <row r="3" spans="2:6" ht="21.75" customHeight="1">
      <c r="B3" s="70" t="s">
        <v>68</v>
      </c>
      <c r="C3" s="70" t="s">
        <v>77</v>
      </c>
      <c r="D3" s="70" t="s">
        <v>78</v>
      </c>
      <c r="E3" s="70" t="s">
        <v>64</v>
      </c>
    </row>
    <row r="4" spans="2:6" ht="18">
      <c r="B4" s="40" t="s">
        <v>69</v>
      </c>
      <c r="C4" s="71">
        <f>'A2'!C14</f>
        <v>3711.4</v>
      </c>
      <c r="D4" s="72">
        <f>'A2'!F14</f>
        <v>83.3</v>
      </c>
      <c r="E4" s="626">
        <f>D4/C4</f>
        <v>2.2444360618634477E-2</v>
      </c>
      <c r="F4" s="111">
        <v>1</v>
      </c>
    </row>
    <row r="5" spans="2:6" ht="18">
      <c r="B5" s="40" t="s">
        <v>70</v>
      </c>
      <c r="C5" s="71">
        <f>Table2[[#Totals],[طول کل
(متر)]]</f>
        <v>5590.2</v>
      </c>
      <c r="D5" s="72">
        <f>Table2[[#Totals],[لاینینگ
(متر)]]</f>
        <v>0</v>
      </c>
      <c r="E5" s="627">
        <f t="shared" ref="E5:E7" si="0">D5/C5</f>
        <v>0</v>
      </c>
      <c r="F5" s="111">
        <v>1</v>
      </c>
    </row>
    <row r="6" spans="2:6" ht="18">
      <c r="B6" s="40" t="s">
        <v>71</v>
      </c>
      <c r="C6" s="71">
        <f>'C2'!C9</f>
        <v>5231.2700000000004</v>
      </c>
      <c r="D6" s="72">
        <f>'C2'!F9</f>
        <v>210</v>
      </c>
      <c r="E6" s="627">
        <f t="shared" si="0"/>
        <v>4.0143215700967447E-2</v>
      </c>
      <c r="F6" s="111">
        <v>1</v>
      </c>
    </row>
    <row r="7" spans="2:6" ht="18">
      <c r="B7" s="40" t="s">
        <v>72</v>
      </c>
      <c r="C7" s="71">
        <f>'D2'!C14</f>
        <v>3580.62</v>
      </c>
      <c r="D7" s="72">
        <f>'D2'!F14</f>
        <v>36</v>
      </c>
      <c r="E7" s="627">
        <f t="shared" si="0"/>
        <v>1.0054124704660087E-2</v>
      </c>
      <c r="F7" s="111">
        <v>1</v>
      </c>
    </row>
    <row r="8" spans="2:6" ht="23.25" customHeight="1">
      <c r="B8" s="41" t="s">
        <v>12</v>
      </c>
      <c r="C8" s="38">
        <f>SUM(C4:C7)</f>
        <v>18113.490000000002</v>
      </c>
      <c r="D8" s="38">
        <f>SUM(D4:D7)</f>
        <v>329.3</v>
      </c>
      <c r="E8" s="39">
        <f>D8/C8</f>
        <v>1.8179820675088013E-2</v>
      </c>
      <c r="F8" s="111">
        <f>1-E8</f>
        <v>0.98182017932491195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3:N8"/>
  <sheetViews>
    <sheetView showGridLines="0" rightToLeft="1" topLeftCell="E1" zoomScale="85" zoomScaleNormal="85" workbookViewId="0">
      <selection activeCell="D7" sqref="D7"/>
    </sheetView>
  </sheetViews>
  <sheetFormatPr defaultRowHeight="15"/>
  <cols>
    <col min="3" max="5" width="25.5703125" customWidth="1"/>
    <col min="6" max="6" width="17.42578125" customWidth="1"/>
  </cols>
  <sheetData>
    <row r="3" spans="2:14" ht="44.25" customHeight="1">
      <c r="B3" s="426" t="s">
        <v>68</v>
      </c>
      <c r="C3" s="426" t="s">
        <v>282</v>
      </c>
      <c r="D3" s="426" t="s">
        <v>283</v>
      </c>
      <c r="E3" s="426" t="s">
        <v>284</v>
      </c>
      <c r="F3" s="426" t="s">
        <v>64</v>
      </c>
      <c r="G3" s="423"/>
    </row>
    <row r="4" spans="2:14" ht="24.75">
      <c r="B4" s="427" t="s">
        <v>69</v>
      </c>
      <c r="C4" s="428">
        <v>1647000</v>
      </c>
      <c r="D4" s="428">
        <v>542000</v>
      </c>
      <c r="E4" s="428">
        <v>135199</v>
      </c>
      <c r="F4" s="429">
        <f>E4/D4</f>
        <v>0.24944464944649447</v>
      </c>
      <c r="G4" s="424">
        <v>1</v>
      </c>
    </row>
    <row r="5" spans="2:14" ht="24.75">
      <c r="B5" s="427" t="s">
        <v>70</v>
      </c>
      <c r="C5" s="428">
        <v>3536000</v>
      </c>
      <c r="D5" s="428">
        <v>418579</v>
      </c>
      <c r="E5" s="428">
        <v>96000</v>
      </c>
      <c r="F5" s="429">
        <f>E5/D5</f>
        <v>0.22934738723156203</v>
      </c>
      <c r="G5" s="424">
        <v>1</v>
      </c>
      <c r="N5" s="422"/>
    </row>
    <row r="6" spans="2:14" ht="24.75">
      <c r="B6" s="427" t="s">
        <v>71</v>
      </c>
      <c r="C6" s="428">
        <v>1130000</v>
      </c>
      <c r="D6" s="428">
        <v>150000</v>
      </c>
      <c r="E6" s="428">
        <v>108000</v>
      </c>
      <c r="F6" s="429">
        <f>E6/D6</f>
        <v>0.72</v>
      </c>
      <c r="G6" s="424">
        <v>1</v>
      </c>
    </row>
    <row r="7" spans="2:14" ht="24.75">
      <c r="B7" s="427" t="s">
        <v>72</v>
      </c>
      <c r="C7" s="428">
        <v>2421000</v>
      </c>
      <c r="D7" s="428">
        <v>440000</v>
      </c>
      <c r="E7" s="428">
        <v>69408</v>
      </c>
      <c r="F7" s="429">
        <f>E7/D7</f>
        <v>0.15774545454545455</v>
      </c>
      <c r="G7" s="424">
        <v>1</v>
      </c>
    </row>
    <row r="8" spans="2:14" ht="18" customHeight="1">
      <c r="B8" s="430" t="s">
        <v>12</v>
      </c>
      <c r="C8" s="431">
        <f>SUM(C4:C7)</f>
        <v>8734000</v>
      </c>
      <c r="D8" s="431">
        <f>SUM(D4:D7)</f>
        <v>1550579</v>
      </c>
      <c r="E8" s="431">
        <f>SUM(E4:E7)</f>
        <v>408607</v>
      </c>
      <c r="F8" s="432">
        <f>E8/D8</f>
        <v>0.26351898226404458</v>
      </c>
      <c r="G8" s="425">
        <f>1-F8</f>
        <v>0.73648101773595542</v>
      </c>
    </row>
  </sheetData>
  <pageMargins left="0.7" right="0.7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D3:X21"/>
  <sheetViews>
    <sheetView showGridLines="0" rightToLeft="1" topLeftCell="D1" zoomScale="130" zoomScaleNormal="130" zoomScaleSheetLayoutView="130" workbookViewId="0">
      <selection activeCell="H6" sqref="H6"/>
    </sheetView>
  </sheetViews>
  <sheetFormatPr defaultColWidth="10" defaultRowHeight="18"/>
  <cols>
    <col min="1" max="3" width="10" style="420"/>
    <col min="4" max="4" width="17" style="420" customWidth="1"/>
    <col min="5" max="6" width="10.28515625" style="420" bestFit="1" customWidth="1"/>
    <col min="7" max="7" width="6.42578125" style="420" customWidth="1"/>
    <col min="8" max="8" width="8" style="420" customWidth="1"/>
    <col min="9" max="16" width="6.42578125" style="420" customWidth="1"/>
    <col min="17" max="18" width="12.140625" style="420" customWidth="1"/>
    <col min="19" max="20" width="10" style="420"/>
    <col min="21" max="21" width="16.85546875" style="420" customWidth="1"/>
    <col min="22" max="22" width="18.7109375" style="420" customWidth="1"/>
    <col min="23" max="24" width="15" style="420" customWidth="1"/>
    <col min="25" max="16384" width="10" style="420"/>
  </cols>
  <sheetData>
    <row r="3" spans="4:24" ht="19.5" customHeight="1">
      <c r="D3" s="659" t="s">
        <v>196</v>
      </c>
      <c r="E3" s="659" t="s">
        <v>457</v>
      </c>
      <c r="F3" s="659" t="s">
        <v>456</v>
      </c>
      <c r="G3" s="659" t="s">
        <v>458</v>
      </c>
      <c r="H3" s="659"/>
      <c r="I3" s="659" t="s">
        <v>459</v>
      </c>
      <c r="J3" s="659"/>
      <c r="K3" s="659" t="s">
        <v>462</v>
      </c>
      <c r="L3" s="659"/>
      <c r="M3" s="659" t="s">
        <v>466</v>
      </c>
      <c r="N3" s="659"/>
      <c r="O3" s="659" t="s">
        <v>468</v>
      </c>
      <c r="P3" s="659"/>
      <c r="Q3" s="659" t="s">
        <v>479</v>
      </c>
      <c r="R3" s="659"/>
    </row>
    <row r="4" spans="4:24" ht="57.75" customHeight="1">
      <c r="D4" s="659"/>
      <c r="E4" s="659"/>
      <c r="F4" s="659"/>
      <c r="G4" s="596" t="s">
        <v>460</v>
      </c>
      <c r="H4" s="596" t="s">
        <v>473</v>
      </c>
      <c r="I4" s="596" t="s">
        <v>460</v>
      </c>
      <c r="J4" s="596" t="s">
        <v>473</v>
      </c>
      <c r="K4" s="596" t="s">
        <v>460</v>
      </c>
      <c r="L4" s="596" t="s">
        <v>473</v>
      </c>
      <c r="M4" s="596" t="s">
        <v>460</v>
      </c>
      <c r="N4" s="596" t="s">
        <v>473</v>
      </c>
      <c r="O4" s="596" t="s">
        <v>460</v>
      </c>
      <c r="P4" s="596" t="s">
        <v>473</v>
      </c>
      <c r="Q4" s="596" t="s">
        <v>475</v>
      </c>
      <c r="R4" s="596" t="s">
        <v>472</v>
      </c>
      <c r="S4" s="420" t="s">
        <v>490</v>
      </c>
    </row>
    <row r="5" spans="4:24" ht="21.75" customHeight="1">
      <c r="D5" s="589" t="s">
        <v>69</v>
      </c>
      <c r="E5" s="590">
        <f t="shared" ref="E5:E7" si="0">F5/2</f>
        <v>3349</v>
      </c>
      <c r="F5" s="590">
        <v>6698</v>
      </c>
      <c r="G5" s="590">
        <v>12</v>
      </c>
      <c r="H5" s="590">
        <v>3691</v>
      </c>
      <c r="I5" s="590">
        <v>25</v>
      </c>
      <c r="J5" s="590">
        <v>487</v>
      </c>
      <c r="K5" s="590">
        <v>4</v>
      </c>
      <c r="L5" s="590">
        <v>630</v>
      </c>
      <c r="M5" s="590">
        <v>5</v>
      </c>
      <c r="N5" s="590">
        <v>534</v>
      </c>
      <c r="O5" s="590">
        <v>9</v>
      </c>
      <c r="P5" s="590">
        <v>516</v>
      </c>
      <c r="Q5" s="590">
        <f>I15</f>
        <v>787000</v>
      </c>
      <c r="R5" s="590">
        <f>F5-H5-J5-L5</f>
        <v>1890</v>
      </c>
      <c r="S5" s="590">
        <f>'مشخصات باند شرقی'!P5+'مشخصات باند غربی'!P5</f>
        <v>495627</v>
      </c>
    </row>
    <row r="6" spans="4:24" ht="21.75" customHeight="1">
      <c r="D6" s="591" t="s">
        <v>70</v>
      </c>
      <c r="E6" s="592">
        <f t="shared" si="0"/>
        <v>5085.5</v>
      </c>
      <c r="F6" s="592">
        <v>10171</v>
      </c>
      <c r="G6" s="592">
        <v>23</v>
      </c>
      <c r="H6" s="592">
        <v>5965</v>
      </c>
      <c r="I6" s="592">
        <v>43</v>
      </c>
      <c r="J6" s="592">
        <v>1184</v>
      </c>
      <c r="K6" s="592">
        <v>9</v>
      </c>
      <c r="L6" s="592">
        <v>869</v>
      </c>
      <c r="M6" s="592">
        <v>5</v>
      </c>
      <c r="N6" s="592">
        <v>707</v>
      </c>
      <c r="O6" s="592">
        <v>6</v>
      </c>
      <c r="P6" s="592">
        <v>360</v>
      </c>
      <c r="Q6" s="592">
        <f t="shared" ref="Q6:Q10" si="1">I16</f>
        <v>757579</v>
      </c>
      <c r="R6" s="592">
        <f t="shared" ref="R6:R8" si="2">F6-H6-J6-L6</f>
        <v>2153</v>
      </c>
      <c r="S6" s="590">
        <f>'مشخصات باند شرقی'!P6+'مشخصات باند غربی'!P6</f>
        <v>991446</v>
      </c>
    </row>
    <row r="7" spans="4:24" ht="21.75" customHeight="1">
      <c r="D7" s="589" t="s">
        <v>71</v>
      </c>
      <c r="E7" s="590">
        <f t="shared" si="0"/>
        <v>3445.5</v>
      </c>
      <c r="F7" s="590">
        <v>6891</v>
      </c>
      <c r="G7" s="590">
        <v>7</v>
      </c>
      <c r="H7" s="590">
        <v>5431</v>
      </c>
      <c r="I7" s="590">
        <v>11</v>
      </c>
      <c r="J7" s="590">
        <v>433</v>
      </c>
      <c r="K7" s="590">
        <v>4</v>
      </c>
      <c r="L7" s="590">
        <v>841</v>
      </c>
      <c r="M7" s="590">
        <v>0</v>
      </c>
      <c r="N7" s="590">
        <v>0</v>
      </c>
      <c r="O7" s="590">
        <v>0</v>
      </c>
      <c r="P7" s="590">
        <v>0</v>
      </c>
      <c r="Q7" s="590">
        <f t="shared" si="1"/>
        <v>413000</v>
      </c>
      <c r="R7" s="590">
        <f t="shared" si="2"/>
        <v>186</v>
      </c>
      <c r="S7" s="590">
        <f>'مشخصات باند شرقی'!P7+'مشخصات باند غربی'!P7</f>
        <v>114733</v>
      </c>
    </row>
    <row r="8" spans="4:24" ht="21.75" customHeight="1">
      <c r="D8" s="591" t="s">
        <v>72</v>
      </c>
      <c r="E8" s="592">
        <f>F8/2</f>
        <v>3045</v>
      </c>
      <c r="F8" s="592">
        <v>6090</v>
      </c>
      <c r="G8" s="592">
        <v>12</v>
      </c>
      <c r="H8" s="592">
        <v>3279</v>
      </c>
      <c r="I8" s="592">
        <v>26</v>
      </c>
      <c r="J8" s="592">
        <v>608</v>
      </c>
      <c r="K8" s="592">
        <v>12</v>
      </c>
      <c r="L8" s="592">
        <v>582</v>
      </c>
      <c r="M8" s="592">
        <v>7</v>
      </c>
      <c r="N8" s="592">
        <v>406</v>
      </c>
      <c r="O8" s="592">
        <v>2</v>
      </c>
      <c r="P8" s="592">
        <v>120</v>
      </c>
      <c r="Q8" s="592">
        <f t="shared" si="1"/>
        <v>570000</v>
      </c>
      <c r="R8" s="592">
        <f t="shared" si="2"/>
        <v>1621</v>
      </c>
      <c r="S8" s="590">
        <f>'مشخصات باند شرقی'!P8+'مشخصات باند غربی'!P8</f>
        <v>133693.6</v>
      </c>
    </row>
    <row r="9" spans="4:24" ht="21.75" customHeight="1">
      <c r="D9" s="593" t="s">
        <v>303</v>
      </c>
      <c r="E9" s="590">
        <f>F9/2</f>
        <v>6350</v>
      </c>
      <c r="F9" s="590">
        <v>12700</v>
      </c>
      <c r="G9" s="590">
        <v>3</v>
      </c>
      <c r="H9" s="590">
        <v>12700</v>
      </c>
      <c r="I9" s="590">
        <v>4</v>
      </c>
      <c r="J9" s="590">
        <v>0</v>
      </c>
      <c r="K9" s="590">
        <v>0</v>
      </c>
      <c r="L9" s="590">
        <v>0</v>
      </c>
      <c r="M9" s="590">
        <v>0</v>
      </c>
      <c r="N9" s="590">
        <v>0</v>
      </c>
      <c r="O9" s="590">
        <v>0</v>
      </c>
      <c r="P9" s="590">
        <v>0</v>
      </c>
      <c r="Q9" s="590">
        <f t="shared" si="1"/>
        <v>0</v>
      </c>
      <c r="R9" s="590">
        <v>0</v>
      </c>
      <c r="S9" s="590">
        <f>'مشخصات باند شرقی'!P9+'مشخصات باند غربی'!P9</f>
        <v>0</v>
      </c>
    </row>
    <row r="10" spans="4:24" ht="21.75" customHeight="1">
      <c r="D10" s="597" t="s">
        <v>455</v>
      </c>
      <c r="E10" s="592">
        <f>F10/2</f>
        <v>725</v>
      </c>
      <c r="F10" s="592">
        <v>1450</v>
      </c>
      <c r="G10" s="592">
        <v>0</v>
      </c>
      <c r="H10" s="592">
        <v>0</v>
      </c>
      <c r="I10" s="592">
        <v>0</v>
      </c>
      <c r="J10" s="592">
        <v>0</v>
      </c>
      <c r="K10" s="592">
        <v>4</v>
      </c>
      <c r="L10" s="592">
        <v>807</v>
      </c>
      <c r="M10" s="592">
        <v>0</v>
      </c>
      <c r="N10" s="592">
        <v>0</v>
      </c>
      <c r="O10" s="592">
        <v>1</v>
      </c>
      <c r="P10" s="592">
        <v>30</v>
      </c>
      <c r="Q10" s="592">
        <f t="shared" si="1"/>
        <v>0</v>
      </c>
      <c r="R10" s="592">
        <f>F10-L10-P10</f>
        <v>613</v>
      </c>
      <c r="S10" s="590">
        <f>'مشخصات باند شرقی'!P10+'مشخصات باند غربی'!P10</f>
        <v>0</v>
      </c>
    </row>
    <row r="11" spans="4:24" ht="21">
      <c r="D11" s="594" t="s">
        <v>278</v>
      </c>
      <c r="E11" s="595">
        <f>SUM(E5:E10)</f>
        <v>22000</v>
      </c>
      <c r="F11" s="595">
        <f>SUM(F5:F10)</f>
        <v>44000</v>
      </c>
      <c r="G11" s="595">
        <f>SUM(G5:G10)</f>
        <v>57</v>
      </c>
      <c r="H11" s="595">
        <f>SUM(H5:H10)</f>
        <v>31066</v>
      </c>
      <c r="I11" s="595">
        <f t="shared" ref="I11:N11" si="3">SUM(I5:I10)</f>
        <v>109</v>
      </c>
      <c r="J11" s="595">
        <f t="shared" si="3"/>
        <v>2712</v>
      </c>
      <c r="K11" s="595">
        <f t="shared" si="3"/>
        <v>33</v>
      </c>
      <c r="L11" s="595">
        <f t="shared" si="3"/>
        <v>3729</v>
      </c>
      <c r="M11" s="595">
        <f t="shared" si="3"/>
        <v>17</v>
      </c>
      <c r="N11" s="595">
        <f t="shared" si="3"/>
        <v>1647</v>
      </c>
      <c r="O11" s="595">
        <f t="shared" ref="O11" si="4">SUM(O5:O10)</f>
        <v>18</v>
      </c>
      <c r="P11" s="595">
        <f t="shared" ref="P11" si="5">SUM(P5:P10)</f>
        <v>1026</v>
      </c>
      <c r="Q11" s="595">
        <f t="shared" ref="Q11" si="6">SUM(Q5:Q10)</f>
        <v>2527579</v>
      </c>
      <c r="R11" s="595">
        <f>SUM(R5:R10)</f>
        <v>6463</v>
      </c>
      <c r="S11" s="588">
        <f>SUM(S5:S10)</f>
        <v>1735499.6</v>
      </c>
    </row>
    <row r="12" spans="4:24" ht="21">
      <c r="F12" s="420">
        <f>'مشخصات باند شرقی'!E11+'مشخصات باند غربی'!E11</f>
        <v>29806</v>
      </c>
      <c r="Q12" s="595">
        <f>'مشخصات باند شرقی'!P11+'مشخصات باند غربی'!P11</f>
        <v>1448267.6</v>
      </c>
    </row>
    <row r="13" spans="4:24" ht="18.75" thickBot="1">
      <c r="D13" s="660" t="s">
        <v>196</v>
      </c>
      <c r="E13" s="660" t="s">
        <v>457</v>
      </c>
      <c r="F13" s="660" t="s">
        <v>456</v>
      </c>
      <c r="G13" s="660" t="s">
        <v>468</v>
      </c>
      <c r="H13" s="660"/>
      <c r="I13" s="660" t="s">
        <v>474</v>
      </c>
      <c r="J13" s="660"/>
    </row>
    <row r="14" spans="4:24" ht="55.5">
      <c r="D14" s="660"/>
      <c r="E14" s="660"/>
      <c r="F14" s="660"/>
      <c r="G14" s="582" t="s">
        <v>460</v>
      </c>
      <c r="H14" s="582" t="s">
        <v>473</v>
      </c>
      <c r="I14" s="582" t="s">
        <v>475</v>
      </c>
      <c r="J14" s="582" t="s">
        <v>472</v>
      </c>
      <c r="V14" s="598" t="s">
        <v>476</v>
      </c>
      <c r="W14" s="599" t="s">
        <v>477</v>
      </c>
      <c r="X14" s="600" t="s">
        <v>478</v>
      </c>
    </row>
    <row r="15" spans="4:24" ht="27.75">
      <c r="D15" s="580" t="s">
        <v>69</v>
      </c>
      <c r="E15" s="421">
        <v>3339</v>
      </c>
      <c r="F15" s="421" t="s">
        <v>279</v>
      </c>
      <c r="G15" s="421">
        <v>9</v>
      </c>
      <c r="H15" s="421">
        <v>516</v>
      </c>
      <c r="I15" s="421">
        <f>خاکبرداری!D4+خاکریزی!E5</f>
        <v>787000</v>
      </c>
      <c r="J15" s="421">
        <v>1250</v>
      </c>
      <c r="V15" s="601" t="s">
        <v>458</v>
      </c>
      <c r="W15" s="602">
        <f>G11</f>
        <v>57</v>
      </c>
      <c r="X15" s="603">
        <f>H11</f>
        <v>31066</v>
      </c>
    </row>
    <row r="16" spans="4:24" ht="27.75">
      <c r="D16" s="583" t="s">
        <v>70</v>
      </c>
      <c r="E16" s="584">
        <v>5090</v>
      </c>
      <c r="F16" s="584" t="s">
        <v>288</v>
      </c>
      <c r="G16" s="584">
        <v>2</v>
      </c>
      <c r="H16" s="584">
        <v>100</v>
      </c>
      <c r="I16" s="584">
        <f>خاکبرداری!D5+خاکریزی!E6</f>
        <v>757579</v>
      </c>
      <c r="J16" s="584">
        <v>1346</v>
      </c>
      <c r="N16" s="420" t="s">
        <v>458</v>
      </c>
      <c r="O16" s="581">
        <f>H11/F11</f>
        <v>0.70604545454545453</v>
      </c>
      <c r="P16" s="588">
        <f>H11</f>
        <v>31066</v>
      </c>
      <c r="V16" s="601" t="s">
        <v>459</v>
      </c>
      <c r="W16" s="602">
        <f>I11</f>
        <v>109</v>
      </c>
      <c r="X16" s="603">
        <f>J11</f>
        <v>2712</v>
      </c>
    </row>
    <row r="17" spans="4:24" ht="27.75">
      <c r="D17" s="580" t="s">
        <v>71</v>
      </c>
      <c r="E17" s="421">
        <v>3441</v>
      </c>
      <c r="F17" s="421" t="s">
        <v>289</v>
      </c>
      <c r="G17" s="421">
        <v>2</v>
      </c>
      <c r="H17" s="421">
        <v>100</v>
      </c>
      <c r="I17" s="421">
        <f>خاکبرداری!D6+خاکریزی!E7</f>
        <v>413000</v>
      </c>
      <c r="J17" s="421">
        <v>186</v>
      </c>
      <c r="N17" s="420" t="s">
        <v>459</v>
      </c>
      <c r="O17" s="581">
        <f>J11/F11</f>
        <v>6.1636363636363635E-2</v>
      </c>
      <c r="P17" s="588">
        <f>J11</f>
        <v>2712</v>
      </c>
      <c r="V17" s="601" t="s">
        <v>462</v>
      </c>
      <c r="W17" s="602">
        <f>K11</f>
        <v>33</v>
      </c>
      <c r="X17" s="603">
        <f>L11</f>
        <v>3729</v>
      </c>
    </row>
    <row r="18" spans="4:24" ht="27.75">
      <c r="D18" s="583" t="s">
        <v>72</v>
      </c>
      <c r="E18" s="584">
        <v>3045</v>
      </c>
      <c r="F18" s="584" t="s">
        <v>280</v>
      </c>
      <c r="G18" s="584">
        <v>3</v>
      </c>
      <c r="H18" s="584">
        <v>32</v>
      </c>
      <c r="I18" s="584">
        <f>خاکبرداری!D7+خاکریزی!E8</f>
        <v>570000</v>
      </c>
      <c r="J18" s="584">
        <v>1175</v>
      </c>
      <c r="N18" s="420" t="s">
        <v>462</v>
      </c>
      <c r="O18" s="581">
        <f>L11/F11</f>
        <v>8.4750000000000006E-2</v>
      </c>
      <c r="P18" s="588">
        <f>L11</f>
        <v>3729</v>
      </c>
      <c r="V18" s="601" t="s">
        <v>468</v>
      </c>
      <c r="W18" s="602">
        <f>O11</f>
        <v>18</v>
      </c>
      <c r="X18" s="603">
        <f>P11</f>
        <v>1026</v>
      </c>
    </row>
    <row r="19" spans="4:24" ht="28.5" thickBot="1">
      <c r="D19" s="437" t="s">
        <v>303</v>
      </c>
      <c r="E19" s="421">
        <v>6350</v>
      </c>
      <c r="F19" s="421" t="s">
        <v>304</v>
      </c>
      <c r="G19" s="421">
        <v>0</v>
      </c>
      <c r="H19" s="421">
        <v>0</v>
      </c>
      <c r="I19" s="421">
        <v>0</v>
      </c>
      <c r="J19" s="421">
        <v>0</v>
      </c>
      <c r="N19" s="420" t="s">
        <v>480</v>
      </c>
      <c r="O19" s="581">
        <f>P19/F11</f>
        <v>0.14688636363636365</v>
      </c>
      <c r="P19" s="588">
        <f>R11</f>
        <v>6463</v>
      </c>
      <c r="V19" s="604" t="s">
        <v>466</v>
      </c>
      <c r="W19" s="605">
        <f>M11</f>
        <v>17</v>
      </c>
      <c r="X19" s="606">
        <f>N11</f>
        <v>1647</v>
      </c>
    </row>
    <row r="20" spans="4:24" ht="54" customHeight="1" thickBot="1">
      <c r="D20" s="585" t="s">
        <v>455</v>
      </c>
      <c r="E20" s="584">
        <v>1500</v>
      </c>
      <c r="F20" s="584">
        <v>3000</v>
      </c>
      <c r="G20" s="584">
        <v>1</v>
      </c>
      <c r="H20" s="584">
        <v>30</v>
      </c>
      <c r="I20" s="584">
        <v>0</v>
      </c>
      <c r="J20" s="584">
        <v>0</v>
      </c>
      <c r="O20" s="581">
        <f>SUM(O16:O19)</f>
        <v>0.99931818181818177</v>
      </c>
      <c r="V20" s="607" t="s">
        <v>474</v>
      </c>
      <c r="W20" s="657">
        <f>Q11</f>
        <v>2527579</v>
      </c>
      <c r="X20" s="658"/>
    </row>
    <row r="21" spans="4:24" ht="19.5">
      <c r="D21" s="586" t="s">
        <v>278</v>
      </c>
      <c r="E21" s="587">
        <f>SUM(E15:E20)</f>
        <v>22765</v>
      </c>
      <c r="F21" s="587">
        <f>F11</f>
        <v>44000</v>
      </c>
      <c r="G21" s="587">
        <f t="shared" ref="G21:J21" si="7">SUM(G15:G20)</f>
        <v>17</v>
      </c>
      <c r="H21" s="587">
        <f t="shared" si="7"/>
        <v>778</v>
      </c>
      <c r="I21" s="587">
        <f t="shared" si="7"/>
        <v>2527579</v>
      </c>
      <c r="J21" s="587">
        <f t="shared" si="7"/>
        <v>3957</v>
      </c>
    </row>
  </sheetData>
  <mergeCells count="15">
    <mergeCell ref="W20:X20"/>
    <mergeCell ref="O3:P3"/>
    <mergeCell ref="Q3:R3"/>
    <mergeCell ref="D13:D14"/>
    <mergeCell ref="E13:E14"/>
    <mergeCell ref="F13:F14"/>
    <mergeCell ref="I3:J3"/>
    <mergeCell ref="K3:L3"/>
    <mergeCell ref="M3:N3"/>
    <mergeCell ref="G13:H13"/>
    <mergeCell ref="I13:J13"/>
    <mergeCell ref="E3:E4"/>
    <mergeCell ref="F3:F4"/>
    <mergeCell ref="D3:D4"/>
    <mergeCell ref="G3:H3"/>
  </mergeCells>
  <pageMargins left="0.7" right="0.7" top="0.75" bottom="0.75" header="0.3" footer="0.3"/>
  <pageSetup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4:G9"/>
  <sheetViews>
    <sheetView showGridLines="0" rightToLeft="1" zoomScale="86" zoomScaleNormal="86" workbookViewId="0">
      <selection activeCell="E8" sqref="E8"/>
    </sheetView>
  </sheetViews>
  <sheetFormatPr defaultRowHeight="15"/>
  <cols>
    <col min="3" max="7" width="17.140625" customWidth="1"/>
  </cols>
  <sheetData>
    <row r="4" spans="3:7" ht="57" customHeight="1">
      <c r="C4" s="35" t="s">
        <v>68</v>
      </c>
      <c r="D4" s="35" t="s">
        <v>65</v>
      </c>
      <c r="E4" s="35" t="s">
        <v>66</v>
      </c>
      <c r="F4" s="35" t="s">
        <v>67</v>
      </c>
      <c r="G4" s="35" t="s">
        <v>64</v>
      </c>
    </row>
    <row r="5" spans="3:7" ht="18">
      <c r="C5" s="40" t="s">
        <v>69</v>
      </c>
      <c r="D5" s="36">
        <v>513000</v>
      </c>
      <c r="E5" s="36">
        <v>245000</v>
      </c>
      <c r="F5" s="230">
        <v>0</v>
      </c>
      <c r="G5" s="37">
        <f>F5/E5</f>
        <v>0</v>
      </c>
    </row>
    <row r="6" spans="3:7" ht="18">
      <c r="C6" s="40" t="s">
        <v>70</v>
      </c>
      <c r="D6" s="36">
        <v>666000</v>
      </c>
      <c r="E6" s="36">
        <v>339000</v>
      </c>
      <c r="F6" s="230">
        <v>0</v>
      </c>
      <c r="G6" s="37">
        <f>F6/E6</f>
        <v>0</v>
      </c>
    </row>
    <row r="7" spans="3:7" ht="18">
      <c r="C7" s="40" t="s">
        <v>71</v>
      </c>
      <c r="D7" s="36">
        <v>193000</v>
      </c>
      <c r="E7" s="36">
        <v>263000</v>
      </c>
      <c r="F7" s="230">
        <v>0</v>
      </c>
      <c r="G7" s="37">
        <f>F7/E7</f>
        <v>0</v>
      </c>
    </row>
    <row r="8" spans="3:7" ht="18">
      <c r="C8" s="40" t="s">
        <v>72</v>
      </c>
      <c r="D8" s="36">
        <v>410000</v>
      </c>
      <c r="E8" s="36">
        <v>130000</v>
      </c>
      <c r="F8" s="230">
        <v>0</v>
      </c>
      <c r="G8" s="37">
        <f>F8/E8</f>
        <v>0</v>
      </c>
    </row>
    <row r="9" spans="3:7" ht="23.25" customHeight="1">
      <c r="C9" s="41" t="s">
        <v>12</v>
      </c>
      <c r="D9" s="38">
        <f>SUM(D5:D8)</f>
        <v>1782000</v>
      </c>
      <c r="E9" s="38">
        <f>SUM(E5:E8)</f>
        <v>977000</v>
      </c>
      <c r="F9" s="231">
        <f>SUM(F5:F8)</f>
        <v>0</v>
      </c>
      <c r="G9" s="232">
        <f>F9/E9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V25"/>
  <sheetViews>
    <sheetView showGridLines="0" rightToLeft="1" topLeftCell="J8" zoomScale="85" zoomScaleNormal="85" workbookViewId="0">
      <selection activeCell="L13" sqref="L13"/>
    </sheetView>
  </sheetViews>
  <sheetFormatPr defaultRowHeight="18"/>
  <cols>
    <col min="1" max="11" width="9.140625" style="164"/>
    <col min="12" max="12" width="18.42578125" style="164" bestFit="1" customWidth="1"/>
    <col min="13" max="13" width="14" style="214" customWidth="1"/>
    <col min="14" max="15" width="14" style="164" customWidth="1"/>
    <col min="16" max="16" width="14" style="198" customWidth="1"/>
    <col min="17" max="20" width="9.140625" style="164"/>
    <col min="21" max="21" width="14.42578125" style="164" customWidth="1"/>
    <col min="22" max="22" width="14.42578125" style="213" customWidth="1"/>
    <col min="23" max="26" width="14.42578125" style="164" customWidth="1"/>
    <col min="27" max="16384" width="9.140625" style="164"/>
  </cols>
  <sheetData>
    <row r="1" spans="3:22" ht="75" customHeight="1">
      <c r="C1" s="205"/>
      <c r="D1" s="205"/>
      <c r="E1" s="205"/>
      <c r="F1" s="205"/>
      <c r="G1" s="205"/>
      <c r="H1" s="693" t="s">
        <v>191</v>
      </c>
      <c r="I1" s="694"/>
    </row>
    <row r="2" spans="3:22" s="167" customFormat="1" ht="18.75" thickBot="1">
      <c r="C2" s="205"/>
      <c r="D2" s="205"/>
      <c r="E2" s="205"/>
      <c r="F2" s="205"/>
      <c r="G2" s="205"/>
      <c r="H2" s="199" t="s">
        <v>70</v>
      </c>
      <c r="I2" s="203" t="s">
        <v>71</v>
      </c>
      <c r="M2" s="214"/>
      <c r="P2" s="198"/>
      <c r="V2" s="213"/>
    </row>
    <row r="3" spans="3:22" ht="24" customHeight="1" thickBot="1">
      <c r="C3" s="206"/>
      <c r="D3" s="205"/>
      <c r="E3" s="205"/>
      <c r="F3" s="205"/>
      <c r="G3" s="205"/>
      <c r="H3" s="200">
        <v>234579</v>
      </c>
      <c r="I3" s="204">
        <v>92519</v>
      </c>
      <c r="L3" s="215" t="s">
        <v>190</v>
      </c>
      <c r="M3" s="216" t="s">
        <v>69</v>
      </c>
      <c r="N3" s="217" t="s">
        <v>70</v>
      </c>
      <c r="O3" s="217" t="s">
        <v>71</v>
      </c>
      <c r="P3" s="218" t="s">
        <v>72</v>
      </c>
    </row>
    <row r="4" spans="3:22" ht="22.5">
      <c r="D4" s="205"/>
      <c r="E4" s="692"/>
      <c r="F4" s="205"/>
      <c r="G4" s="692"/>
      <c r="L4" s="219" t="s">
        <v>183</v>
      </c>
      <c r="M4" s="220">
        <v>0</v>
      </c>
      <c r="N4" s="221">
        <v>30000</v>
      </c>
      <c r="O4" s="221">
        <v>0</v>
      </c>
      <c r="P4" s="222">
        <v>1424</v>
      </c>
    </row>
    <row r="5" spans="3:22" ht="22.5">
      <c r="D5" s="205"/>
      <c r="E5" s="692"/>
      <c r="F5" s="205"/>
      <c r="G5" s="692"/>
      <c r="L5" s="219" t="s">
        <v>184</v>
      </c>
      <c r="M5" s="220">
        <v>0</v>
      </c>
      <c r="N5" s="221">
        <v>18857</v>
      </c>
      <c r="O5" s="221">
        <v>0</v>
      </c>
      <c r="P5" s="222">
        <v>6772</v>
      </c>
    </row>
    <row r="6" spans="3:22" ht="22.5">
      <c r="D6" s="692"/>
      <c r="E6" s="692"/>
      <c r="F6" s="692"/>
      <c r="G6" s="205"/>
      <c r="L6" s="219" t="s">
        <v>167</v>
      </c>
      <c r="M6" s="220">
        <v>18695</v>
      </c>
      <c r="N6" s="221">
        <v>30000</v>
      </c>
      <c r="O6" s="221">
        <v>0</v>
      </c>
      <c r="P6" s="222">
        <v>600</v>
      </c>
    </row>
    <row r="7" spans="3:22" ht="22.5">
      <c r="D7" s="692"/>
      <c r="E7" s="692"/>
      <c r="F7" s="692"/>
      <c r="G7" s="205"/>
      <c r="L7" s="219" t="s">
        <v>168</v>
      </c>
      <c r="M7" s="220">
        <v>0</v>
      </c>
      <c r="N7" s="221">
        <v>126035</v>
      </c>
      <c r="O7" s="221">
        <v>0</v>
      </c>
      <c r="P7" s="222">
        <v>250</v>
      </c>
    </row>
    <row r="8" spans="3:22" ht="22.5">
      <c r="D8" s="205"/>
      <c r="E8" s="692"/>
      <c r="F8" s="205"/>
      <c r="G8" s="205"/>
      <c r="L8" s="219" t="s">
        <v>169</v>
      </c>
      <c r="M8" s="220">
        <v>3661</v>
      </c>
      <c r="N8" s="221">
        <v>19750</v>
      </c>
      <c r="O8" s="221">
        <v>0</v>
      </c>
      <c r="P8" s="222">
        <v>1850</v>
      </c>
    </row>
    <row r="9" spans="3:22" ht="22.5">
      <c r="L9" s="219" t="s">
        <v>170</v>
      </c>
      <c r="M9" s="220">
        <v>0</v>
      </c>
      <c r="N9" s="221">
        <v>2698</v>
      </c>
      <c r="O9" s="221">
        <v>0</v>
      </c>
      <c r="P9" s="222">
        <v>20995</v>
      </c>
    </row>
    <row r="10" spans="3:22" ht="22.5">
      <c r="L10" s="219" t="s">
        <v>171</v>
      </c>
      <c r="M10" s="220">
        <v>0</v>
      </c>
      <c r="N10" s="221">
        <v>64623</v>
      </c>
      <c r="O10" s="221">
        <v>0</v>
      </c>
      <c r="P10" s="222">
        <v>2779</v>
      </c>
    </row>
    <row r="11" spans="3:22" ht="22.5">
      <c r="L11" s="219" t="s">
        <v>185</v>
      </c>
      <c r="M11" s="220">
        <v>3067</v>
      </c>
      <c r="N11" s="221">
        <v>3644</v>
      </c>
      <c r="O11" s="221">
        <v>0</v>
      </c>
      <c r="P11" s="222">
        <v>3321</v>
      </c>
    </row>
    <row r="12" spans="3:22" ht="22.5">
      <c r="L12" s="219" t="s">
        <v>186</v>
      </c>
      <c r="M12" s="220">
        <v>6900</v>
      </c>
      <c r="N12" s="221">
        <v>3490</v>
      </c>
      <c r="O12" s="221">
        <v>6552</v>
      </c>
      <c r="P12" s="222">
        <v>0</v>
      </c>
    </row>
    <row r="13" spans="3:22" ht="22.5">
      <c r="L13" s="219" t="s">
        <v>187</v>
      </c>
      <c r="M13" s="220">
        <v>28006</v>
      </c>
      <c r="N13" s="221">
        <v>0</v>
      </c>
      <c r="O13" s="221">
        <v>13126</v>
      </c>
      <c r="P13" s="222">
        <v>710</v>
      </c>
    </row>
    <row r="14" spans="3:22" ht="22.5">
      <c r="L14" s="219" t="s">
        <v>188</v>
      </c>
      <c r="M14" s="220">
        <v>200</v>
      </c>
      <c r="N14" s="221">
        <v>0</v>
      </c>
      <c r="O14" s="221">
        <v>750</v>
      </c>
      <c r="P14" s="222">
        <v>0</v>
      </c>
    </row>
    <row r="15" spans="3:22" ht="22.5">
      <c r="I15" s="164">
        <f>خاکبرداری!E4</f>
        <v>135199</v>
      </c>
      <c r="L15" s="223" t="s">
        <v>189</v>
      </c>
      <c r="M15" s="224">
        <v>0</v>
      </c>
      <c r="N15" s="225">
        <v>0</v>
      </c>
      <c r="O15" s="225">
        <v>4961</v>
      </c>
      <c r="P15" s="226">
        <v>0</v>
      </c>
    </row>
    <row r="16" spans="3:22" ht="39" customHeight="1">
      <c r="I16" s="164" t="e">
        <f>I15-#REF!</f>
        <v>#REF!</v>
      </c>
      <c r="L16" s="227" t="s">
        <v>193</v>
      </c>
      <c r="M16" s="228">
        <v>135199</v>
      </c>
      <c r="N16" s="228">
        <v>449466</v>
      </c>
      <c r="O16" s="228">
        <v>108432</v>
      </c>
      <c r="P16" s="228">
        <v>69408</v>
      </c>
    </row>
    <row r="18" spans="2:4">
      <c r="B18" s="695" t="s">
        <v>165</v>
      </c>
      <c r="C18" s="695"/>
      <c r="D18" s="695"/>
    </row>
    <row r="19" spans="2:4">
      <c r="B19" s="201"/>
      <c r="C19" s="95" t="s">
        <v>70</v>
      </c>
      <c r="D19" s="95" t="s">
        <v>71</v>
      </c>
    </row>
    <row r="20" spans="2:4" ht="30">
      <c r="B20" s="202" t="s">
        <v>166</v>
      </c>
      <c r="C20" s="201">
        <v>350775</v>
      </c>
      <c r="D20" s="201">
        <v>74326</v>
      </c>
    </row>
    <row r="21" spans="2:4">
      <c r="B21" s="201" t="s">
        <v>167</v>
      </c>
      <c r="C21" s="201">
        <v>326225</v>
      </c>
      <c r="D21" s="201">
        <v>74888</v>
      </c>
    </row>
    <row r="22" spans="2:4">
      <c r="B22" s="201" t="s">
        <v>168</v>
      </c>
      <c r="C22" s="201">
        <v>422651</v>
      </c>
      <c r="D22" s="201">
        <v>74888</v>
      </c>
    </row>
    <row r="23" spans="2:4">
      <c r="B23" s="201" t="s">
        <v>169</v>
      </c>
      <c r="C23" s="201">
        <v>440049</v>
      </c>
      <c r="D23" s="691">
        <v>74889</v>
      </c>
    </row>
    <row r="24" spans="2:4">
      <c r="B24" s="201" t="s">
        <v>170</v>
      </c>
      <c r="C24" s="201">
        <v>440049</v>
      </c>
      <c r="D24" s="691"/>
    </row>
    <row r="25" spans="2:4">
      <c r="B25" s="201" t="s">
        <v>171</v>
      </c>
      <c r="C25" s="201">
        <v>449465</v>
      </c>
      <c r="D25" s="201">
        <v>74889</v>
      </c>
    </row>
  </sheetData>
  <mergeCells count="8">
    <mergeCell ref="D23:D24"/>
    <mergeCell ref="D6:D7"/>
    <mergeCell ref="E6:E8"/>
    <mergeCell ref="H1:I1"/>
    <mergeCell ref="E4:E5"/>
    <mergeCell ref="F6:F7"/>
    <mergeCell ref="G4:G5"/>
    <mergeCell ref="B18:D1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B30"/>
  <sheetViews>
    <sheetView showGridLines="0" rightToLeft="1" zoomScale="70" zoomScaleNormal="70" workbookViewId="0">
      <selection activeCell="F6" sqref="F6"/>
    </sheetView>
  </sheetViews>
  <sheetFormatPr defaultRowHeight="18.75"/>
  <cols>
    <col min="1" max="9" width="15.7109375" customWidth="1"/>
    <col min="10" max="13" width="12.85546875" customWidth="1"/>
    <col min="18" max="18" width="25" style="2" hidden="1" customWidth="1"/>
    <col min="21" max="21" width="13.85546875" customWidth="1"/>
    <col min="22" max="25" width="12" customWidth="1"/>
  </cols>
  <sheetData>
    <row r="1" spans="1:28" ht="24" customHeight="1">
      <c r="A1" s="707" t="s">
        <v>190</v>
      </c>
      <c r="B1" s="705" t="s">
        <v>69</v>
      </c>
      <c r="C1" s="705"/>
      <c r="D1" s="705" t="s">
        <v>70</v>
      </c>
      <c r="E1" s="705"/>
      <c r="F1" s="705" t="s">
        <v>71</v>
      </c>
      <c r="G1" s="705"/>
      <c r="H1" s="705" t="s">
        <v>72</v>
      </c>
      <c r="I1" s="706"/>
    </row>
    <row r="2" spans="1:28" ht="24.75" thickBot="1">
      <c r="A2" s="708"/>
      <c r="B2" s="233" t="s">
        <v>52</v>
      </c>
      <c r="C2" s="233" t="s">
        <v>53</v>
      </c>
      <c r="D2" s="233" t="s">
        <v>52</v>
      </c>
      <c r="E2" s="233" t="s">
        <v>53</v>
      </c>
      <c r="F2" s="233" t="s">
        <v>52</v>
      </c>
      <c r="G2" s="233" t="s">
        <v>53</v>
      </c>
      <c r="H2" s="233" t="s">
        <v>52</v>
      </c>
      <c r="I2" s="234" t="s">
        <v>53</v>
      </c>
    </row>
    <row r="3" spans="1:28" ht="22.5">
      <c r="A3" s="239" t="s">
        <v>183</v>
      </c>
      <c r="B3" s="241">
        <v>48</v>
      </c>
      <c r="C3" s="242">
        <v>17</v>
      </c>
      <c r="D3" s="241">
        <v>82</v>
      </c>
      <c r="E3" s="242">
        <v>0</v>
      </c>
      <c r="F3" s="241">
        <v>86</v>
      </c>
      <c r="G3" s="242">
        <v>0</v>
      </c>
      <c r="H3" s="241">
        <v>45.5</v>
      </c>
      <c r="I3" s="247">
        <v>0</v>
      </c>
    </row>
    <row r="4" spans="1:28" ht="22.5">
      <c r="A4" s="219" t="s">
        <v>184</v>
      </c>
      <c r="B4" s="243">
        <v>103</v>
      </c>
      <c r="C4" s="244">
        <v>0</v>
      </c>
      <c r="D4" s="243">
        <v>144</v>
      </c>
      <c r="E4" s="244">
        <v>0</v>
      </c>
      <c r="F4" s="243">
        <v>53</v>
      </c>
      <c r="G4" s="244">
        <v>0</v>
      </c>
      <c r="H4" s="243">
        <v>97</v>
      </c>
      <c r="I4" s="248">
        <v>0</v>
      </c>
    </row>
    <row r="5" spans="1:28" ht="22.5">
      <c r="A5" s="219" t="s">
        <v>167</v>
      </c>
      <c r="B5" s="243">
        <v>28</v>
      </c>
      <c r="C5" s="244">
        <v>34</v>
      </c>
      <c r="D5" s="243">
        <v>98</v>
      </c>
      <c r="E5" s="244">
        <v>0</v>
      </c>
      <c r="F5" s="243">
        <v>39</v>
      </c>
      <c r="G5" s="244">
        <v>100</v>
      </c>
      <c r="H5" s="243">
        <v>77.5</v>
      </c>
      <c r="I5" s="248">
        <v>0</v>
      </c>
    </row>
    <row r="6" spans="1:28" ht="22.5">
      <c r="A6" s="219" t="s">
        <v>168</v>
      </c>
      <c r="B6" s="243">
        <v>83</v>
      </c>
      <c r="C6" s="244">
        <v>0</v>
      </c>
      <c r="D6" s="243">
        <v>146</v>
      </c>
      <c r="E6" s="244">
        <v>0</v>
      </c>
      <c r="F6" s="243">
        <v>67</v>
      </c>
      <c r="G6" s="244">
        <v>115</v>
      </c>
      <c r="H6" s="243">
        <v>85.5</v>
      </c>
      <c r="I6" s="248">
        <v>0</v>
      </c>
    </row>
    <row r="7" spans="1:28" ht="22.5">
      <c r="A7" s="219" t="s">
        <v>169</v>
      </c>
      <c r="B7" s="243">
        <v>57</v>
      </c>
      <c r="C7" s="244">
        <v>46</v>
      </c>
      <c r="D7" s="243">
        <v>180</v>
      </c>
      <c r="E7" s="244">
        <v>38</v>
      </c>
      <c r="F7" s="250">
        <v>0</v>
      </c>
      <c r="G7" s="244">
        <v>0</v>
      </c>
      <c r="H7" s="243">
        <v>90.5</v>
      </c>
      <c r="I7" s="248">
        <v>0</v>
      </c>
    </row>
    <row r="8" spans="1:28" ht="22.5">
      <c r="A8" s="219" t="s">
        <v>170</v>
      </c>
      <c r="B8" s="243">
        <v>21</v>
      </c>
      <c r="C8" s="244">
        <v>0</v>
      </c>
      <c r="D8" s="243">
        <v>127</v>
      </c>
      <c r="E8" s="244">
        <v>36</v>
      </c>
      <c r="F8" s="243">
        <v>26</v>
      </c>
      <c r="G8" s="244">
        <v>16</v>
      </c>
      <c r="H8" s="243">
        <v>64</v>
      </c>
      <c r="I8" s="248">
        <v>0</v>
      </c>
      <c r="L8">
        <f>(2*B15/3)+(C15/3)</f>
        <v>572</v>
      </c>
      <c r="N8">
        <f>(2*D15/3)+(E15/3)</f>
        <v>1182.6666666666665</v>
      </c>
      <c r="P8">
        <f>(2*F15/3)+(G15/3)</f>
        <v>482.33333333333331</v>
      </c>
    </row>
    <row r="9" spans="1:28" ht="22.5">
      <c r="A9" s="219" t="s">
        <v>171</v>
      </c>
      <c r="B9" s="243">
        <v>15</v>
      </c>
      <c r="C9" s="244">
        <v>0</v>
      </c>
      <c r="D9" s="243">
        <v>94</v>
      </c>
      <c r="E9" s="244">
        <v>24</v>
      </c>
      <c r="F9" s="243">
        <v>38</v>
      </c>
      <c r="G9" s="244">
        <v>0</v>
      </c>
      <c r="H9" s="243">
        <v>60</v>
      </c>
      <c r="I9" s="248">
        <v>0</v>
      </c>
    </row>
    <row r="10" spans="1:28" ht="22.5">
      <c r="A10" s="219" t="s">
        <v>185</v>
      </c>
      <c r="B10" s="243">
        <v>67</v>
      </c>
      <c r="C10" s="244">
        <v>30</v>
      </c>
      <c r="D10" s="243">
        <v>191</v>
      </c>
      <c r="E10" s="244">
        <v>92</v>
      </c>
      <c r="F10" s="243">
        <v>52</v>
      </c>
      <c r="G10" s="244">
        <v>0</v>
      </c>
      <c r="H10" s="243">
        <v>84</v>
      </c>
      <c r="I10" s="248">
        <v>0</v>
      </c>
      <c r="P10">
        <f>(2*H15/3)+(I15/3)</f>
        <v>598.66666666666663</v>
      </c>
    </row>
    <row r="11" spans="1:28" ht="23.25" thickBot="1">
      <c r="A11" s="219" t="s">
        <v>186</v>
      </c>
      <c r="B11" s="243">
        <v>47</v>
      </c>
      <c r="C11" s="244">
        <v>117</v>
      </c>
      <c r="D11" s="243">
        <v>166</v>
      </c>
      <c r="E11" s="244">
        <v>3</v>
      </c>
      <c r="F11" s="243">
        <v>69</v>
      </c>
      <c r="G11" s="244">
        <v>0</v>
      </c>
      <c r="H11" s="243">
        <v>102</v>
      </c>
      <c r="I11" s="248">
        <v>0</v>
      </c>
    </row>
    <row r="12" spans="1:28" ht="23.25" thickBot="1">
      <c r="A12" s="219" t="s">
        <v>187</v>
      </c>
      <c r="B12" s="243">
        <v>54</v>
      </c>
      <c r="C12" s="244">
        <v>41</v>
      </c>
      <c r="D12" s="243">
        <v>177</v>
      </c>
      <c r="E12" s="244">
        <v>9</v>
      </c>
      <c r="F12" s="243">
        <v>53</v>
      </c>
      <c r="G12" s="244">
        <v>0</v>
      </c>
      <c r="H12" s="243">
        <v>77</v>
      </c>
      <c r="I12" s="248">
        <v>0</v>
      </c>
      <c r="U12" s="696" t="s">
        <v>293</v>
      </c>
      <c r="V12" s="697"/>
      <c r="W12" s="697"/>
      <c r="X12" s="697"/>
      <c r="Y12" s="697"/>
      <c r="Z12" s="698"/>
    </row>
    <row r="13" spans="1:28" ht="22.5" customHeight="1" thickBot="1">
      <c r="A13" s="219" t="s">
        <v>188</v>
      </c>
      <c r="B13" s="243">
        <v>76</v>
      </c>
      <c r="C13" s="244">
        <v>93</v>
      </c>
      <c r="D13" s="243">
        <v>101</v>
      </c>
      <c r="E13" s="244">
        <v>0</v>
      </c>
      <c r="F13" s="243">
        <v>54</v>
      </c>
      <c r="G13" s="244">
        <v>0</v>
      </c>
      <c r="H13" s="243">
        <v>59</v>
      </c>
      <c r="I13" s="248">
        <v>0</v>
      </c>
      <c r="L13">
        <v>53</v>
      </c>
      <c r="M13">
        <v>85</v>
      </c>
      <c r="N13">
        <v>176.5</v>
      </c>
      <c r="O13">
        <v>30</v>
      </c>
      <c r="U13" s="457" t="s">
        <v>190</v>
      </c>
      <c r="V13" s="458" t="s">
        <v>69</v>
      </c>
      <c r="W13" s="458" t="s">
        <v>70</v>
      </c>
      <c r="X13" s="458" t="s">
        <v>71</v>
      </c>
      <c r="Y13" s="458" t="s">
        <v>72</v>
      </c>
      <c r="Z13" s="459" t="s">
        <v>12</v>
      </c>
    </row>
    <row r="14" spans="1:28" ht="25.5" thickBot="1">
      <c r="A14" s="240" t="s">
        <v>189</v>
      </c>
      <c r="B14" s="245">
        <v>48</v>
      </c>
      <c r="C14" s="246">
        <v>44</v>
      </c>
      <c r="D14" s="245">
        <v>110</v>
      </c>
      <c r="E14" s="246">
        <v>114</v>
      </c>
      <c r="F14" s="245">
        <v>71</v>
      </c>
      <c r="G14" s="246">
        <v>0</v>
      </c>
      <c r="H14" s="245">
        <v>56</v>
      </c>
      <c r="I14" s="249">
        <v>0</v>
      </c>
      <c r="U14" s="293" t="s">
        <v>183</v>
      </c>
      <c r="V14" s="460">
        <v>3</v>
      </c>
      <c r="W14" s="460">
        <v>17</v>
      </c>
      <c r="X14" s="460">
        <v>20</v>
      </c>
      <c r="Y14" s="460">
        <v>48</v>
      </c>
      <c r="Z14" s="461">
        <f>SUM(V14:Y14)</f>
        <v>88</v>
      </c>
      <c r="AA14">
        <v>53</v>
      </c>
      <c r="AB14">
        <f>(2*Z14/3)+(AA14/3)</f>
        <v>76.333333333333329</v>
      </c>
    </row>
    <row r="15" spans="1:28" ht="39.75" thickBot="1">
      <c r="A15" s="235" t="s">
        <v>192</v>
      </c>
      <c r="B15" s="236">
        <f>SUM(B3:B14)</f>
        <v>647</v>
      </c>
      <c r="C15" s="237">
        <f t="shared" ref="C15:H15" si="0">SUM(C3:C14)</f>
        <v>422</v>
      </c>
      <c r="D15" s="237">
        <f t="shared" si="0"/>
        <v>1616</v>
      </c>
      <c r="E15" s="237">
        <f t="shared" si="0"/>
        <v>316</v>
      </c>
      <c r="F15" s="237">
        <f t="shared" si="0"/>
        <v>608</v>
      </c>
      <c r="G15" s="237">
        <f t="shared" si="0"/>
        <v>231</v>
      </c>
      <c r="H15" s="237">
        <f t="shared" si="0"/>
        <v>898</v>
      </c>
      <c r="I15" s="238">
        <f>SUM(I3:I14)</f>
        <v>0</v>
      </c>
      <c r="J15" s="229"/>
      <c r="U15" s="294" t="s">
        <v>184</v>
      </c>
      <c r="V15" s="451">
        <v>126</v>
      </c>
      <c r="W15" s="451">
        <v>126</v>
      </c>
      <c r="X15" s="451">
        <v>66</v>
      </c>
      <c r="Y15" s="451">
        <v>69</v>
      </c>
      <c r="Z15" s="462">
        <f t="shared" ref="Z15:Z25" si="1">SUM(V15:Y15)</f>
        <v>387</v>
      </c>
      <c r="AA15">
        <v>85</v>
      </c>
      <c r="AB15">
        <f t="shared" ref="AB15:AB16" si="2">(2*Z15/3)+(AA15/3)</f>
        <v>286.33333333333331</v>
      </c>
    </row>
    <row r="16" spans="1:28" ht="25.5" thickBot="1">
      <c r="P16">
        <v>53</v>
      </c>
      <c r="U16" s="294" t="s">
        <v>167</v>
      </c>
      <c r="V16" s="451">
        <v>27</v>
      </c>
      <c r="W16" s="451">
        <v>143</v>
      </c>
      <c r="X16" s="451">
        <v>96</v>
      </c>
      <c r="Y16" s="451">
        <v>65</v>
      </c>
      <c r="Z16" s="462">
        <f t="shared" si="1"/>
        <v>331</v>
      </c>
      <c r="AA16">
        <v>176.5</v>
      </c>
      <c r="AB16">
        <f t="shared" si="2"/>
        <v>279.5</v>
      </c>
    </row>
    <row r="17" spans="1:28" ht="41.25" thickBot="1">
      <c r="A17" s="699" t="s">
        <v>195</v>
      </c>
      <c r="B17" s="700"/>
      <c r="C17" s="700"/>
      <c r="D17" s="700"/>
      <c r="E17" s="700"/>
      <c r="F17" s="700"/>
      <c r="G17" s="700"/>
      <c r="H17" s="700"/>
      <c r="I17" s="700"/>
      <c r="J17" s="700"/>
      <c r="K17" s="700"/>
      <c r="L17" s="700"/>
      <c r="M17" s="701"/>
      <c r="P17">
        <v>85</v>
      </c>
      <c r="U17" s="294" t="s">
        <v>168</v>
      </c>
      <c r="V17" s="451">
        <v>20</v>
      </c>
      <c r="W17" s="451">
        <v>24</v>
      </c>
      <c r="X17" s="451">
        <v>11</v>
      </c>
      <c r="Y17" s="451">
        <v>11</v>
      </c>
      <c r="Z17" s="462">
        <f t="shared" si="1"/>
        <v>66</v>
      </c>
      <c r="AA17">
        <v>30</v>
      </c>
      <c r="AB17">
        <f>(2*Z17/3)+(AA17/3)</f>
        <v>54</v>
      </c>
    </row>
    <row r="18" spans="1:28" s="251" customFormat="1" ht="30.75" customHeight="1" thickBot="1">
      <c r="A18" s="261" t="s">
        <v>196</v>
      </c>
      <c r="B18" s="262" t="s">
        <v>183</v>
      </c>
      <c r="C18" s="262" t="s">
        <v>184</v>
      </c>
      <c r="D18" s="262" t="s">
        <v>167</v>
      </c>
      <c r="E18" s="262" t="s">
        <v>168</v>
      </c>
      <c r="F18" s="262" t="s">
        <v>169</v>
      </c>
      <c r="G18" s="262" t="s">
        <v>170</v>
      </c>
      <c r="H18" s="262" t="s">
        <v>171</v>
      </c>
      <c r="I18" s="262" t="s">
        <v>185</v>
      </c>
      <c r="J18" s="262" t="s">
        <v>186</v>
      </c>
      <c r="K18" s="262" t="s">
        <v>187</v>
      </c>
      <c r="L18" s="262" t="s">
        <v>188</v>
      </c>
      <c r="M18" s="263" t="s">
        <v>189</v>
      </c>
      <c r="R18" s="8"/>
      <c r="U18" s="294" t="s">
        <v>169</v>
      </c>
      <c r="V18" s="451"/>
      <c r="W18" s="451"/>
      <c r="X18" s="452"/>
      <c r="Y18" s="451"/>
      <c r="Z18" s="462">
        <f t="shared" si="1"/>
        <v>0</v>
      </c>
    </row>
    <row r="19" spans="1:28" s="251" customFormat="1" ht="30.75" customHeight="1">
      <c r="A19" s="252" t="s">
        <v>69</v>
      </c>
      <c r="B19" s="271">
        <f>B27-R27</f>
        <v>33</v>
      </c>
      <c r="C19" s="271">
        <f>C27-B27</f>
        <v>39</v>
      </c>
      <c r="D19" s="271">
        <f>D27-C27</f>
        <v>0</v>
      </c>
      <c r="E19" s="271">
        <f>E27-D27</f>
        <v>19</v>
      </c>
      <c r="F19" s="271">
        <f t="shared" ref="F19:M19" si="3">F27-E27</f>
        <v>-501</v>
      </c>
      <c r="G19" s="271">
        <f t="shared" si="3"/>
        <v>0</v>
      </c>
      <c r="H19" s="271">
        <f t="shared" si="3"/>
        <v>0</v>
      </c>
      <c r="I19" s="271">
        <f t="shared" si="3"/>
        <v>0</v>
      </c>
      <c r="J19" s="271">
        <f t="shared" si="3"/>
        <v>0</v>
      </c>
      <c r="K19" s="271">
        <f t="shared" si="3"/>
        <v>0</v>
      </c>
      <c r="L19" s="271">
        <f t="shared" si="3"/>
        <v>0</v>
      </c>
      <c r="M19" s="272">
        <f t="shared" si="3"/>
        <v>0</v>
      </c>
      <c r="R19" s="8"/>
      <c r="U19" s="294" t="s">
        <v>170</v>
      </c>
      <c r="V19" s="451"/>
      <c r="W19" s="451"/>
      <c r="X19" s="451"/>
      <c r="Y19" s="451"/>
      <c r="Z19" s="462">
        <f t="shared" si="1"/>
        <v>0</v>
      </c>
    </row>
    <row r="20" spans="1:28" s="251" customFormat="1" ht="30.75" customHeight="1">
      <c r="A20" s="253" t="s">
        <v>70</v>
      </c>
      <c r="B20" s="273">
        <f t="shared" ref="B20:B22" si="4">B28-R28</f>
        <v>20</v>
      </c>
      <c r="C20" s="273">
        <f t="shared" ref="C20:M20" si="5">C28-B28</f>
        <v>45</v>
      </c>
      <c r="D20" s="273">
        <f>D28-C28</f>
        <v>176.5</v>
      </c>
      <c r="E20" s="273">
        <f t="shared" si="5"/>
        <v>138.5</v>
      </c>
      <c r="F20" s="273">
        <f t="shared" si="5"/>
        <v>-700</v>
      </c>
      <c r="G20" s="273">
        <f t="shared" si="5"/>
        <v>0</v>
      </c>
      <c r="H20" s="273">
        <f t="shared" si="5"/>
        <v>0</v>
      </c>
      <c r="I20" s="273">
        <f>I28-H28</f>
        <v>0</v>
      </c>
      <c r="J20" s="273">
        <f t="shared" si="5"/>
        <v>0</v>
      </c>
      <c r="K20" s="273">
        <f t="shared" si="5"/>
        <v>0</v>
      </c>
      <c r="L20" s="273">
        <f t="shared" si="5"/>
        <v>0</v>
      </c>
      <c r="M20" s="274">
        <f t="shared" si="5"/>
        <v>0</v>
      </c>
      <c r="R20" s="8"/>
      <c r="U20" s="294" t="s">
        <v>171</v>
      </c>
      <c r="V20" s="451"/>
      <c r="W20" s="451"/>
      <c r="X20" s="451"/>
      <c r="Y20" s="451"/>
      <c r="Z20" s="462">
        <f t="shared" si="1"/>
        <v>0</v>
      </c>
    </row>
    <row r="21" spans="1:28" s="251" customFormat="1" ht="30.75" customHeight="1">
      <c r="A21" s="253" t="s">
        <v>71</v>
      </c>
      <c r="B21" s="273">
        <f t="shared" si="4"/>
        <v>0</v>
      </c>
      <c r="C21" s="273">
        <f t="shared" ref="C21:M21" si="6">C29-B29</f>
        <v>1</v>
      </c>
      <c r="D21" s="273">
        <f t="shared" si="6"/>
        <v>0</v>
      </c>
      <c r="E21" s="273">
        <f t="shared" si="6"/>
        <v>0</v>
      </c>
      <c r="F21" s="273">
        <f t="shared" si="6"/>
        <v>-220</v>
      </c>
      <c r="G21" s="273">
        <f t="shared" si="6"/>
        <v>0</v>
      </c>
      <c r="H21" s="273">
        <f t="shared" si="6"/>
        <v>0</v>
      </c>
      <c r="I21" s="273">
        <f t="shared" si="6"/>
        <v>0</v>
      </c>
      <c r="J21" s="273">
        <f t="shared" si="6"/>
        <v>0</v>
      </c>
      <c r="K21" s="273">
        <f t="shared" si="6"/>
        <v>0</v>
      </c>
      <c r="L21" s="273">
        <f t="shared" si="6"/>
        <v>0</v>
      </c>
      <c r="M21" s="274">
        <f t="shared" si="6"/>
        <v>0</v>
      </c>
      <c r="R21" s="8"/>
      <c r="U21" s="294" t="s">
        <v>185</v>
      </c>
      <c r="V21" s="451"/>
      <c r="W21" s="451"/>
      <c r="X21" s="451"/>
      <c r="Y21" s="451"/>
      <c r="Z21" s="454">
        <f t="shared" si="1"/>
        <v>0</v>
      </c>
    </row>
    <row r="22" spans="1:28" s="251" customFormat="1" ht="30.75" customHeight="1" thickBot="1">
      <c r="A22" s="267" t="s">
        <v>72</v>
      </c>
      <c r="B22" s="275">
        <f t="shared" si="4"/>
        <v>0</v>
      </c>
      <c r="C22" s="275">
        <f t="shared" ref="C22:M22" si="7">C30-B30</f>
        <v>0</v>
      </c>
      <c r="D22" s="275">
        <f t="shared" si="7"/>
        <v>0</v>
      </c>
      <c r="E22" s="275">
        <f t="shared" si="7"/>
        <v>64</v>
      </c>
      <c r="F22" s="275">
        <f t="shared" si="7"/>
        <v>-64</v>
      </c>
      <c r="G22" s="275">
        <f t="shared" si="7"/>
        <v>0</v>
      </c>
      <c r="H22" s="275">
        <f t="shared" si="7"/>
        <v>0</v>
      </c>
      <c r="I22" s="275">
        <f t="shared" si="7"/>
        <v>0</v>
      </c>
      <c r="J22" s="275">
        <f t="shared" si="7"/>
        <v>0</v>
      </c>
      <c r="K22" s="275">
        <f t="shared" si="7"/>
        <v>0</v>
      </c>
      <c r="L22" s="275">
        <f t="shared" si="7"/>
        <v>0</v>
      </c>
      <c r="M22" s="276">
        <f t="shared" si="7"/>
        <v>0</v>
      </c>
      <c r="R22" s="8"/>
      <c r="U22" s="294" t="s">
        <v>186</v>
      </c>
      <c r="V22" s="451"/>
      <c r="W22" s="451"/>
      <c r="X22" s="451"/>
      <c r="Y22" s="451"/>
      <c r="Z22" s="454">
        <f t="shared" si="1"/>
        <v>0</v>
      </c>
    </row>
    <row r="23" spans="1:28" ht="33" thickBot="1">
      <c r="A23" s="268" t="s">
        <v>198</v>
      </c>
      <c r="B23" s="269">
        <f>SUM(B19:B22)</f>
        <v>53</v>
      </c>
      <c r="C23" s="269">
        <f t="shared" ref="C23:M23" si="8">SUM(C19:C22)</f>
        <v>85</v>
      </c>
      <c r="D23" s="450">
        <f>SUM(D19:D22)</f>
        <v>176.5</v>
      </c>
      <c r="E23" s="269">
        <f t="shared" si="8"/>
        <v>221.5</v>
      </c>
      <c r="F23" s="269">
        <f t="shared" si="8"/>
        <v>-1485</v>
      </c>
      <c r="G23" s="269">
        <f t="shared" si="8"/>
        <v>0</v>
      </c>
      <c r="H23" s="269">
        <f t="shared" si="8"/>
        <v>0</v>
      </c>
      <c r="I23" s="269">
        <f t="shared" si="8"/>
        <v>0</v>
      </c>
      <c r="J23" s="269">
        <f t="shared" si="8"/>
        <v>0</v>
      </c>
      <c r="K23" s="269">
        <f t="shared" si="8"/>
        <v>0</v>
      </c>
      <c r="L23" s="269">
        <f t="shared" si="8"/>
        <v>0</v>
      </c>
      <c r="M23" s="270">
        <f t="shared" si="8"/>
        <v>0</v>
      </c>
      <c r="U23" s="294" t="s">
        <v>187</v>
      </c>
      <c r="V23" s="451"/>
      <c r="W23" s="451"/>
      <c r="X23" s="451"/>
      <c r="Y23" s="451"/>
      <c r="Z23" s="453">
        <f t="shared" si="1"/>
        <v>0</v>
      </c>
    </row>
    <row r="24" spans="1:28" ht="25.5" thickBot="1">
      <c r="U24" s="294" t="s">
        <v>188</v>
      </c>
      <c r="V24" s="451"/>
      <c r="W24" s="451"/>
      <c r="X24" s="451"/>
      <c r="Y24" s="451"/>
      <c r="Z24" s="453">
        <f t="shared" si="1"/>
        <v>0</v>
      </c>
    </row>
    <row r="25" spans="1:28" ht="41.25" thickBot="1">
      <c r="A25" s="702" t="s">
        <v>194</v>
      </c>
      <c r="B25" s="703"/>
      <c r="C25" s="703"/>
      <c r="D25" s="703"/>
      <c r="E25" s="703"/>
      <c r="F25" s="703"/>
      <c r="G25" s="703"/>
      <c r="H25" s="703"/>
      <c r="I25" s="703"/>
      <c r="J25" s="703"/>
      <c r="K25" s="703"/>
      <c r="L25" s="703"/>
      <c r="M25" s="704"/>
      <c r="U25" s="295" t="s">
        <v>189</v>
      </c>
      <c r="V25" s="455"/>
      <c r="W25" s="455"/>
      <c r="X25" s="455"/>
      <c r="Y25" s="455"/>
      <c r="Z25" s="456">
        <f t="shared" si="1"/>
        <v>0</v>
      </c>
    </row>
    <row r="26" spans="1:28" ht="27" thickBot="1">
      <c r="A26" s="264" t="s">
        <v>79</v>
      </c>
      <c r="B26" s="265" t="s">
        <v>183</v>
      </c>
      <c r="C26" s="265" t="s">
        <v>184</v>
      </c>
      <c r="D26" s="265" t="s">
        <v>167</v>
      </c>
      <c r="E26" s="265" t="s">
        <v>168</v>
      </c>
      <c r="F26" s="265" t="s">
        <v>169</v>
      </c>
      <c r="G26" s="265" t="s">
        <v>170</v>
      </c>
      <c r="H26" s="265" t="s">
        <v>171</v>
      </c>
      <c r="I26" s="265" t="s">
        <v>185</v>
      </c>
      <c r="J26" s="265" t="s">
        <v>186</v>
      </c>
      <c r="K26" s="265" t="s">
        <v>187</v>
      </c>
      <c r="L26" s="265" t="s">
        <v>188</v>
      </c>
      <c r="M26" s="266" t="s">
        <v>189</v>
      </c>
      <c r="R26" s="2" t="s">
        <v>197</v>
      </c>
      <c r="U26" s="296" t="s">
        <v>200</v>
      </c>
      <c r="V26" s="236">
        <f>SUM(V14:V25)</f>
        <v>176</v>
      </c>
      <c r="W26" s="237">
        <f t="shared" ref="W26:X26" si="9">SUM(W14:W25)</f>
        <v>310</v>
      </c>
      <c r="X26" s="237">
        <f t="shared" si="9"/>
        <v>193</v>
      </c>
      <c r="Y26" s="292">
        <f>SUM(Y14:Y25)</f>
        <v>193</v>
      </c>
    </row>
    <row r="27" spans="1:28" ht="30">
      <c r="A27" s="252" t="s">
        <v>69</v>
      </c>
      <c r="B27" s="255">
        <f>30+234+109+50+20</f>
        <v>443</v>
      </c>
      <c r="C27" s="255">
        <v>482</v>
      </c>
      <c r="D27" s="255">
        <v>482</v>
      </c>
      <c r="E27" s="255">
        <v>501</v>
      </c>
      <c r="F27" s="255"/>
      <c r="G27" s="255"/>
      <c r="H27" s="255"/>
      <c r="I27" s="255"/>
      <c r="J27" s="255"/>
      <c r="K27" s="255"/>
      <c r="L27" s="255"/>
      <c r="M27" s="256"/>
      <c r="R27" s="2">
        <f>176+234</f>
        <v>410</v>
      </c>
    </row>
    <row r="28" spans="1:28" ht="30">
      <c r="A28" s="253" t="s">
        <v>70</v>
      </c>
      <c r="B28" s="257">
        <v>340</v>
      </c>
      <c r="C28" s="257">
        <v>385</v>
      </c>
      <c r="D28" s="257">
        <v>561.5</v>
      </c>
      <c r="E28" s="257">
        <v>700</v>
      </c>
      <c r="F28" s="257"/>
      <c r="G28" s="257"/>
      <c r="H28" s="257"/>
      <c r="I28" s="257"/>
      <c r="J28" s="257"/>
      <c r="K28" s="257"/>
      <c r="L28" s="257"/>
      <c r="M28" s="258"/>
      <c r="R28" s="2">
        <v>320</v>
      </c>
    </row>
    <row r="29" spans="1:28" ht="30">
      <c r="A29" s="253" t="s">
        <v>71</v>
      </c>
      <c r="B29" s="257">
        <v>219</v>
      </c>
      <c r="C29" s="257">
        <v>220</v>
      </c>
      <c r="D29" s="257">
        <v>220</v>
      </c>
      <c r="E29" s="257">
        <v>220</v>
      </c>
      <c r="F29" s="257"/>
      <c r="G29" s="257"/>
      <c r="H29" s="257"/>
      <c r="I29" s="257"/>
      <c r="J29" s="257"/>
      <c r="K29" s="257"/>
      <c r="L29" s="257"/>
      <c r="M29" s="258"/>
      <c r="R29" s="2">
        <v>219</v>
      </c>
    </row>
    <row r="30" spans="1:28" ht="30.75" thickBot="1">
      <c r="A30" s="254" t="s">
        <v>72</v>
      </c>
      <c r="B30" s="259">
        <v>0</v>
      </c>
      <c r="C30" s="259">
        <v>0</v>
      </c>
      <c r="D30" s="259">
        <v>0</v>
      </c>
      <c r="E30" s="259">
        <v>64</v>
      </c>
      <c r="F30" s="259"/>
      <c r="G30" s="259"/>
      <c r="H30" s="259"/>
      <c r="I30" s="259"/>
      <c r="J30" s="259"/>
      <c r="K30" s="259"/>
      <c r="L30" s="259"/>
      <c r="M30" s="260"/>
      <c r="R30" s="2">
        <v>0</v>
      </c>
    </row>
  </sheetData>
  <mergeCells count="8">
    <mergeCell ref="U12:Z12"/>
    <mergeCell ref="A17:M17"/>
    <mergeCell ref="A25:M25"/>
    <mergeCell ref="B1:C1"/>
    <mergeCell ref="D1:E1"/>
    <mergeCell ref="F1:G1"/>
    <mergeCell ref="H1:I1"/>
    <mergeCell ref="A1:A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2:G12"/>
  <sheetViews>
    <sheetView showGridLines="0" rightToLeft="1" workbookViewId="0">
      <selection activeCell="E6" sqref="E6"/>
    </sheetView>
  </sheetViews>
  <sheetFormatPr defaultRowHeight="18"/>
  <cols>
    <col min="1" max="2" width="9.140625" style="161"/>
    <col min="3" max="7" width="20.42578125" style="161" customWidth="1"/>
    <col min="8" max="16384" width="9.140625" style="161"/>
  </cols>
  <sheetData>
    <row r="2" spans="3:7">
      <c r="C2" s="161" t="s">
        <v>81</v>
      </c>
      <c r="D2" s="161" t="s">
        <v>160</v>
      </c>
      <c r="E2" s="161" t="s">
        <v>161</v>
      </c>
      <c r="F2" s="161" t="s">
        <v>162</v>
      </c>
      <c r="G2" s="161" t="s">
        <v>163</v>
      </c>
    </row>
    <row r="3" spans="3:7">
      <c r="C3" s="166" t="s">
        <v>130</v>
      </c>
      <c r="D3" s="162">
        <v>34901461097.5</v>
      </c>
      <c r="E3" s="162">
        <v>41213583935</v>
      </c>
      <c r="F3" s="163">
        <v>38148672756</v>
      </c>
      <c r="G3" s="163">
        <v>19687190437</v>
      </c>
    </row>
    <row r="4" spans="3:7">
      <c r="C4" s="166" t="s">
        <v>87</v>
      </c>
      <c r="D4" s="162">
        <f>خاکبرداری!E4</f>
        <v>135199</v>
      </c>
      <c r="E4" s="163">
        <f>خاکبرداری!E5</f>
        <v>96000</v>
      </c>
      <c r="F4" s="163">
        <f>خاکبرداری!E6</f>
        <v>108000</v>
      </c>
      <c r="G4" s="163">
        <f>خاکبرداری!E7</f>
        <v>69408</v>
      </c>
    </row>
    <row r="5" spans="3:7">
      <c r="C5" s="166" t="s">
        <v>89</v>
      </c>
      <c r="D5" s="163"/>
      <c r="E5" s="163"/>
      <c r="F5" s="163"/>
      <c r="G5" s="163"/>
    </row>
    <row r="6" spans="3:7">
      <c r="C6" s="166" t="s">
        <v>154</v>
      </c>
      <c r="D6" s="163">
        <f>حفاری!P4</f>
        <v>1451.3999999999999</v>
      </c>
      <c r="E6" s="163">
        <f>حفاری!P5</f>
        <v>2225.9666666666667</v>
      </c>
      <c r="F6" s="163">
        <f>حفاری!P6</f>
        <v>1465.6066666666666</v>
      </c>
      <c r="G6" s="163">
        <f>حفاری!P7</f>
        <v>1118.8</v>
      </c>
    </row>
    <row r="7" spans="3:7">
      <c r="C7" s="166" t="s">
        <v>155</v>
      </c>
      <c r="D7" s="163">
        <v>0</v>
      </c>
      <c r="E7" s="163"/>
      <c r="F7" s="163">
        <f>لاینینگ!D6</f>
        <v>210</v>
      </c>
      <c r="G7" s="163"/>
    </row>
    <row r="8" spans="3:7">
      <c r="C8" s="166" t="s">
        <v>156</v>
      </c>
      <c r="D8" s="163">
        <v>0</v>
      </c>
      <c r="E8" s="163"/>
      <c r="F8" s="163">
        <v>21600000000</v>
      </c>
      <c r="G8" s="163"/>
    </row>
    <row r="9" spans="3:7">
      <c r="C9" s="166" t="s">
        <v>157</v>
      </c>
      <c r="D9" s="163">
        <v>0</v>
      </c>
      <c r="E9" s="163"/>
      <c r="F9" s="163"/>
      <c r="G9" s="163"/>
    </row>
    <row r="10" spans="3:7">
      <c r="C10" s="166" t="s">
        <v>158</v>
      </c>
      <c r="D10" s="163">
        <v>0</v>
      </c>
      <c r="E10" s="163"/>
      <c r="F10" s="163"/>
      <c r="G10" s="163">
        <v>74</v>
      </c>
    </row>
    <row r="11" spans="3:7">
      <c r="C11" s="166" t="s">
        <v>136</v>
      </c>
      <c r="D11" s="163">
        <v>0</v>
      </c>
      <c r="E11" s="163"/>
      <c r="F11" s="163"/>
      <c r="G11" s="163"/>
    </row>
    <row r="12" spans="3:7">
      <c r="C12" s="166" t="s">
        <v>159</v>
      </c>
      <c r="D12" s="163">
        <v>0</v>
      </c>
      <c r="E12" s="163">
        <v>4494443652</v>
      </c>
      <c r="F12" s="163"/>
      <c r="G12" s="163">
        <v>645294453.38800001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C2:F14"/>
  <sheetViews>
    <sheetView showGridLines="0" rightToLeft="1" zoomScale="85" zoomScaleNormal="85" workbookViewId="0">
      <selection activeCell="E5" sqref="E5"/>
    </sheetView>
  </sheetViews>
  <sheetFormatPr defaultColWidth="20" defaultRowHeight="48" customHeight="1"/>
  <cols>
    <col min="1" max="2" width="20" style="168"/>
    <col min="3" max="3" width="28.7109375" style="168" bestFit="1" customWidth="1"/>
    <col min="4" max="16384" width="20" style="168"/>
  </cols>
  <sheetData>
    <row r="2" spans="3:6" ht="48" customHeight="1" thickBot="1">
      <c r="C2" s="194" t="s">
        <v>179</v>
      </c>
      <c r="D2" s="194" t="s">
        <v>181</v>
      </c>
      <c r="E2" s="194" t="s">
        <v>77</v>
      </c>
      <c r="F2" s="194" t="s">
        <v>180</v>
      </c>
    </row>
    <row r="3" spans="3:6" ht="48" customHeight="1" thickTop="1">
      <c r="C3" s="169" t="s">
        <v>87</v>
      </c>
      <c r="D3" s="170" t="s">
        <v>172</v>
      </c>
      <c r="E3" s="171">
        <f>خاکبرداری!D8</f>
        <v>1550579</v>
      </c>
      <c r="F3" s="172">
        <f>خاکبرداری!E8</f>
        <v>408607</v>
      </c>
    </row>
    <row r="4" spans="3:6" ht="48" customHeight="1">
      <c r="C4" s="173" t="s">
        <v>173</v>
      </c>
      <c r="D4" s="174" t="s">
        <v>172</v>
      </c>
      <c r="E4" s="175">
        <f>خاکریزی!E9</f>
        <v>977000</v>
      </c>
      <c r="F4" s="176">
        <f>خاکریزی!F9</f>
        <v>0</v>
      </c>
    </row>
    <row r="5" spans="3:6" ht="48" customHeight="1">
      <c r="C5" s="177" t="s">
        <v>174</v>
      </c>
      <c r="D5" s="178" t="s">
        <v>175</v>
      </c>
      <c r="E5" s="179">
        <f>حفاری!C8+'West Alborz Tunnel'!C13</f>
        <v>24513.49</v>
      </c>
      <c r="F5" s="180">
        <f>SUM(حفاری!P4:P7)+'West Alborz Tunnel'!C14</f>
        <v>6261.7733333333335</v>
      </c>
    </row>
    <row r="6" spans="3:6" ht="48" customHeight="1">
      <c r="C6" s="181" t="s">
        <v>155</v>
      </c>
      <c r="D6" s="182" t="s">
        <v>175</v>
      </c>
      <c r="E6" s="183">
        <f>E5</f>
        <v>24513.49</v>
      </c>
      <c r="F6" s="184">
        <f>لاینینگ!D8</f>
        <v>329.3</v>
      </c>
    </row>
    <row r="7" spans="3:6" ht="48" customHeight="1">
      <c r="C7" s="185" t="s">
        <v>176</v>
      </c>
      <c r="D7" s="186" t="s">
        <v>175</v>
      </c>
      <c r="E7" s="187">
        <v>12800</v>
      </c>
      <c r="F7" s="184">
        <v>0</v>
      </c>
    </row>
    <row r="8" spans="3:6" ht="48" customHeight="1">
      <c r="C8" s="188" t="s">
        <v>156</v>
      </c>
      <c r="D8" s="189" t="s">
        <v>177</v>
      </c>
      <c r="E8" s="190">
        <v>1</v>
      </c>
      <c r="F8" s="184">
        <v>0</v>
      </c>
    </row>
    <row r="9" spans="3:6" ht="48" customHeight="1" thickBot="1">
      <c r="C9" s="191" t="s">
        <v>178</v>
      </c>
      <c r="D9" s="192" t="s">
        <v>172</v>
      </c>
      <c r="E9" s="193">
        <v>582000</v>
      </c>
      <c r="F9" s="184">
        <v>0</v>
      </c>
    </row>
    <row r="10" spans="3:6" ht="48" customHeight="1" thickTop="1">
      <c r="C10" s="195" t="s">
        <v>182</v>
      </c>
      <c r="D10" s="195" t="s">
        <v>90</v>
      </c>
      <c r="E10" s="196">
        <v>1</v>
      </c>
      <c r="F10" s="197">
        <f>'WBS-با البرز شرقی'!D4</f>
        <v>0.29953269652835435</v>
      </c>
    </row>
    <row r="11" spans="3:6" ht="48" customHeight="1">
      <c r="C11" s="195" t="s">
        <v>69</v>
      </c>
      <c r="D11" s="195" t="s">
        <v>90</v>
      </c>
      <c r="E11" s="196">
        <v>1</v>
      </c>
      <c r="F11" s="197">
        <f>'کل منطقه 2 - با البرز شرقی'!C5</f>
        <v>0.15804783423547611</v>
      </c>
    </row>
    <row r="12" spans="3:6" ht="48" customHeight="1">
      <c r="C12" s="195" t="s">
        <v>70</v>
      </c>
      <c r="D12" s="195" t="s">
        <v>90</v>
      </c>
      <c r="E12" s="196">
        <v>1</v>
      </c>
      <c r="F12" s="197">
        <f>'کل منطقه 2 - با البرز شرقی'!C6</f>
        <v>0.17321833779945736</v>
      </c>
    </row>
    <row r="13" spans="3:6" ht="48" customHeight="1">
      <c r="C13" s="195" t="s">
        <v>71</v>
      </c>
      <c r="D13" s="195" t="s">
        <v>90</v>
      </c>
      <c r="E13" s="196">
        <v>1</v>
      </c>
      <c r="F13" s="197">
        <f>'کل منطقه 2 - با البرز شرقی'!C7</f>
        <v>0.16247984498168871</v>
      </c>
    </row>
    <row r="14" spans="3:6" ht="48" customHeight="1">
      <c r="C14" s="195" t="s">
        <v>72</v>
      </c>
      <c r="D14" s="195" t="s">
        <v>90</v>
      </c>
      <c r="E14" s="196">
        <v>1</v>
      </c>
      <c r="F14" s="197">
        <f>'کل منطقه 2 - با البرز شرقی'!C8</f>
        <v>7.3889695718438633E-2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D6:I22"/>
  <sheetViews>
    <sheetView showGridLines="0" rightToLeft="1" showWhiteSpace="0" topLeftCell="D4" zoomScaleNormal="100" workbookViewId="0">
      <selection activeCell="F13" sqref="F13"/>
    </sheetView>
  </sheetViews>
  <sheetFormatPr defaultRowHeight="15"/>
  <cols>
    <col min="4" max="6" width="21.5703125" customWidth="1"/>
    <col min="7" max="7" width="16.5703125" style="434" customWidth="1"/>
    <col min="8" max="8" width="14" style="116" customWidth="1"/>
    <col min="9" max="9" width="12" style="116" bestFit="1" customWidth="1"/>
  </cols>
  <sheetData>
    <row r="6" spans="4:9" ht="19.5">
      <c r="D6" s="82" t="s">
        <v>81</v>
      </c>
      <c r="E6" s="82" t="s">
        <v>77</v>
      </c>
      <c r="F6" s="82" t="s">
        <v>78</v>
      </c>
      <c r="G6" s="709" t="s">
        <v>90</v>
      </c>
      <c r="H6" s="709"/>
    </row>
    <row r="7" spans="4:9" ht="19.5">
      <c r="D7" s="83" t="s">
        <v>82</v>
      </c>
      <c r="E7" s="84">
        <f>حفاری!C8</f>
        <v>18113.490000000002</v>
      </c>
      <c r="F7" s="84">
        <f>حفاری!D8</f>
        <v>8268.66</v>
      </c>
      <c r="G7" s="433">
        <f>F7/E7</f>
        <v>0.45649181908069614</v>
      </c>
      <c r="H7" s="277">
        <v>1</v>
      </c>
      <c r="I7" s="278" t="s">
        <v>83</v>
      </c>
    </row>
    <row r="8" spans="4:9" ht="19.5">
      <c r="D8" s="85" t="s">
        <v>84</v>
      </c>
      <c r="E8" s="86">
        <f>حفاری!I8</f>
        <v>18113.490000000002</v>
      </c>
      <c r="F8" s="86">
        <f>حفاری!J8</f>
        <v>2248</v>
      </c>
      <c r="G8" s="433">
        <f t="shared" ref="G8:G11" si="0">F8/E8</f>
        <v>0.12410639804918874</v>
      </c>
      <c r="H8" s="277">
        <v>1</v>
      </c>
      <c r="I8" s="278" t="s">
        <v>85</v>
      </c>
    </row>
    <row r="9" spans="4:9" ht="19.5">
      <c r="D9" s="85" t="s">
        <v>199</v>
      </c>
      <c r="E9" s="86">
        <f>لاینینگ!C8</f>
        <v>18113.490000000002</v>
      </c>
      <c r="F9" s="86">
        <f>لاینینگ!D8</f>
        <v>329.3</v>
      </c>
      <c r="G9" s="433">
        <f t="shared" si="0"/>
        <v>1.8179820675088013E-2</v>
      </c>
      <c r="H9" s="277">
        <v>1</v>
      </c>
      <c r="I9" s="278" t="s">
        <v>54</v>
      </c>
    </row>
    <row r="10" spans="4:9" ht="19.5">
      <c r="D10" s="85" t="s">
        <v>86</v>
      </c>
      <c r="E10" s="87">
        <f>خاکبرداری!D8</f>
        <v>1550579</v>
      </c>
      <c r="F10" s="87">
        <f>خاکبرداری!E8</f>
        <v>408607</v>
      </c>
      <c r="G10" s="433">
        <f t="shared" si="0"/>
        <v>0.26351898226404458</v>
      </c>
      <c r="H10" s="277">
        <v>1</v>
      </c>
      <c r="I10" s="278" t="s">
        <v>87</v>
      </c>
    </row>
    <row r="11" spans="4:9" ht="19.5">
      <c r="D11" s="88" t="s">
        <v>88</v>
      </c>
      <c r="E11" s="89">
        <f>خاکریزی!E9</f>
        <v>977000</v>
      </c>
      <c r="F11" s="90">
        <v>0</v>
      </c>
      <c r="G11" s="433">
        <f t="shared" si="0"/>
        <v>0</v>
      </c>
      <c r="H11" s="277">
        <v>1</v>
      </c>
      <c r="I11" s="278" t="s">
        <v>89</v>
      </c>
    </row>
    <row r="17" spans="4:8" ht="44.25" customHeight="1">
      <c r="D17" s="82" t="s">
        <v>81</v>
      </c>
      <c r="E17" s="82" t="s">
        <v>77</v>
      </c>
      <c r="F17" s="76" t="s">
        <v>296</v>
      </c>
      <c r="G17" s="76" t="s">
        <v>313</v>
      </c>
      <c r="H17" s="76" t="s">
        <v>314</v>
      </c>
    </row>
    <row r="18" spans="4:8" ht="19.5">
      <c r="D18" s="83" t="s">
        <v>82</v>
      </c>
      <c r="E18" s="84">
        <f>E7</f>
        <v>18113.490000000002</v>
      </c>
      <c r="F18" s="84">
        <v>5082</v>
      </c>
      <c r="G18" s="84">
        <f>F7</f>
        <v>8268.66</v>
      </c>
      <c r="H18" s="86">
        <f>G18-F18</f>
        <v>3186.66</v>
      </c>
    </row>
    <row r="19" spans="4:8" ht="19.5">
      <c r="D19" s="85" t="s">
        <v>84</v>
      </c>
      <c r="E19" s="86">
        <f t="shared" ref="E19:E21" si="1">E8</f>
        <v>18113.490000000002</v>
      </c>
      <c r="F19" s="86">
        <v>1057</v>
      </c>
      <c r="G19" s="86">
        <f t="shared" ref="G19:G22" si="2">F8</f>
        <v>2248</v>
      </c>
      <c r="H19" s="86">
        <f t="shared" ref="H19:H22" si="3">G19-F19</f>
        <v>1191</v>
      </c>
    </row>
    <row r="20" spans="4:8" ht="19.5">
      <c r="D20" s="85" t="s">
        <v>199</v>
      </c>
      <c r="E20" s="86">
        <f t="shared" si="1"/>
        <v>18113.490000000002</v>
      </c>
      <c r="F20" s="86">
        <v>210</v>
      </c>
      <c r="G20" s="86">
        <f t="shared" si="2"/>
        <v>329.3</v>
      </c>
      <c r="H20" s="507">
        <f t="shared" si="3"/>
        <v>119.30000000000001</v>
      </c>
    </row>
    <row r="21" spans="4:8" ht="19.5">
      <c r="D21" s="85" t="s">
        <v>86</v>
      </c>
      <c r="E21" s="87">
        <f t="shared" si="1"/>
        <v>1550579</v>
      </c>
      <c r="F21" s="87">
        <f>G21</f>
        <v>408607</v>
      </c>
      <c r="G21" s="87">
        <f t="shared" si="2"/>
        <v>408607</v>
      </c>
      <c r="H21" s="507">
        <f>G21-F21</f>
        <v>0</v>
      </c>
    </row>
    <row r="22" spans="4:8" ht="19.5">
      <c r="D22" s="88" t="s">
        <v>88</v>
      </c>
      <c r="E22" s="89">
        <f>E11</f>
        <v>977000</v>
      </c>
      <c r="F22" s="90">
        <v>0</v>
      </c>
      <c r="G22" s="90">
        <f t="shared" si="2"/>
        <v>0</v>
      </c>
      <c r="H22" s="90">
        <f t="shared" si="3"/>
        <v>0</v>
      </c>
    </row>
  </sheetData>
  <mergeCells count="1">
    <mergeCell ref="G6:H6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D2:F20"/>
  <sheetViews>
    <sheetView showGridLines="0" rightToLeft="1" zoomScaleNormal="100" workbookViewId="0">
      <selection activeCell="A4" sqref="A1:XFD1048576"/>
    </sheetView>
  </sheetViews>
  <sheetFormatPr defaultRowHeight="22.5"/>
  <cols>
    <col min="1" max="3" width="9.140625" style="213"/>
    <col min="4" max="6" width="19" style="1" customWidth="1"/>
    <col min="7" max="16384" width="9.140625" style="213"/>
  </cols>
  <sheetData>
    <row r="2" spans="4:6" ht="23.25" thickBot="1"/>
    <row r="3" spans="4:6" ht="27" customHeight="1">
      <c r="D3" s="712" t="s">
        <v>245</v>
      </c>
      <c r="E3" s="710" t="s">
        <v>425</v>
      </c>
      <c r="F3" s="711"/>
    </row>
    <row r="4" spans="4:6" ht="27" customHeight="1" thickBot="1">
      <c r="D4" s="713"/>
      <c r="E4" s="556" t="s">
        <v>423</v>
      </c>
      <c r="F4" s="557" t="s">
        <v>424</v>
      </c>
    </row>
    <row r="5" spans="4:6" ht="27" customHeight="1">
      <c r="D5" s="544" t="s">
        <v>426</v>
      </c>
      <c r="E5" s="545">
        <f>Table5[[#This Row],[وزن تدقیق شده فیزیکی]]</f>
        <v>2.0100000000000003E-2</v>
      </c>
      <c r="F5" s="546">
        <f>'WBS-بدون البرز شرقی'!E5</f>
        <v>2.6435986159169554E-2</v>
      </c>
    </row>
    <row r="6" spans="4:6" ht="27" customHeight="1">
      <c r="D6" s="219" t="s">
        <v>427</v>
      </c>
      <c r="E6" s="547">
        <f>'WBS-با البرز شرقی'!E11</f>
        <v>3.0000000000000002E-2</v>
      </c>
      <c r="F6" s="548">
        <f>'WBS-بدون البرز شرقی'!E10</f>
        <v>4.1522491349480974E-2</v>
      </c>
    </row>
    <row r="7" spans="4:6" ht="27" customHeight="1">
      <c r="D7" s="549" t="s">
        <v>69</v>
      </c>
      <c r="E7" s="547">
        <f>'WBS-با البرز شرقی'!E16</f>
        <v>0.1003</v>
      </c>
      <c r="F7" s="548">
        <f>'WBS-بدون البرز شرقی'!E15</f>
        <v>0.13882352941176473</v>
      </c>
    </row>
    <row r="8" spans="4:6" ht="27" customHeight="1">
      <c r="D8" s="549" t="s">
        <v>70</v>
      </c>
      <c r="E8" s="547">
        <f>'WBS-با البرز شرقی'!E27</f>
        <v>0.11049999999999999</v>
      </c>
      <c r="F8" s="548">
        <f>'WBS-بدون البرز شرقی'!E26</f>
        <v>0.15294117647058825</v>
      </c>
    </row>
    <row r="9" spans="4:6" ht="27" customHeight="1">
      <c r="D9" s="549" t="s">
        <v>71</v>
      </c>
      <c r="E9" s="547">
        <f>'WBS-با البرز شرقی'!E38</f>
        <v>0.11459999999999999</v>
      </c>
      <c r="F9" s="548">
        <f>'WBS-بدون البرز شرقی'!E37</f>
        <v>0.15861591695501731</v>
      </c>
    </row>
    <row r="10" spans="4:6" ht="27" customHeight="1">
      <c r="D10" s="549" t="s">
        <v>72</v>
      </c>
      <c r="E10" s="547">
        <f>'WBS-با البرز شرقی'!E49</f>
        <v>8.8099999999999998E-2</v>
      </c>
      <c r="F10" s="548">
        <f>'WBS-بدون البرز شرقی'!E48</f>
        <v>0.12193771626297578</v>
      </c>
    </row>
    <row r="11" spans="4:6" ht="27" customHeight="1">
      <c r="D11" s="219" t="s">
        <v>125</v>
      </c>
      <c r="E11" s="547">
        <f>'WBS-با البرز شرقی'!E67</f>
        <v>0.19369999999999996</v>
      </c>
      <c r="F11" s="548">
        <f>'WBS-بدون البرز شرقی'!E65</f>
        <v>0.26809688581314883</v>
      </c>
    </row>
    <row r="12" spans="4:6" ht="27" customHeight="1">
      <c r="D12" s="219" t="s">
        <v>428</v>
      </c>
      <c r="E12" s="547">
        <f>'WBS-با البرز شرقی'!E66</f>
        <v>0.26640000000000003</v>
      </c>
      <c r="F12" s="550" t="s">
        <v>422</v>
      </c>
    </row>
    <row r="13" spans="4:6" ht="27" customHeight="1">
      <c r="D13" s="219" t="s">
        <v>429</v>
      </c>
      <c r="E13" s="547">
        <f>'WBS-با البرز شرقی'!E63</f>
        <v>1.67E-2</v>
      </c>
      <c r="F13" s="548">
        <f>'WBS-بدون البرز شرقی'!E62</f>
        <v>2.3114186851211076E-2</v>
      </c>
    </row>
    <row r="14" spans="4:6" ht="27" customHeight="1">
      <c r="D14" s="219" t="s">
        <v>430</v>
      </c>
      <c r="E14" s="547">
        <f>'WBS-با البرز شرقی'!E61</f>
        <v>3.4300000000000004E-2</v>
      </c>
      <c r="F14" s="548">
        <f>'WBS-بدون البرز شرقی'!E60</f>
        <v>4.7474048442906584E-2</v>
      </c>
    </row>
    <row r="15" spans="4:6" ht="27" customHeight="1" thickBot="1">
      <c r="D15" s="223" t="s">
        <v>432</v>
      </c>
      <c r="E15" s="551">
        <f>'WBS-با البرز شرقی'!E80</f>
        <v>2.53E-2</v>
      </c>
      <c r="F15" s="552">
        <f>'WBS-بدون البرز شرقی'!E78</f>
        <v>2.1038062283737027E-2</v>
      </c>
    </row>
    <row r="16" spans="4:6" ht="27" customHeight="1" thickBot="1">
      <c r="D16" s="553" t="s">
        <v>12</v>
      </c>
      <c r="E16" s="554">
        <f>SUM(E5:E15)</f>
        <v>1</v>
      </c>
      <c r="F16" s="555">
        <f>SUM(F5:F15)</f>
        <v>1</v>
      </c>
    </row>
    <row r="17" spans="4:6" ht="8.25" customHeight="1"/>
    <row r="18" spans="4:6" ht="27" customHeight="1">
      <c r="D18" s="714" t="s">
        <v>431</v>
      </c>
      <c r="E18" s="714"/>
      <c r="F18" s="714"/>
    </row>
    <row r="19" spans="4:6" ht="27" customHeight="1">
      <c r="D19" s="714"/>
      <c r="E19" s="714"/>
      <c r="F19" s="714"/>
    </row>
    <row r="20" spans="4:6" ht="27" customHeight="1">
      <c r="D20" s="714"/>
      <c r="E20" s="714"/>
      <c r="F20" s="714"/>
    </row>
  </sheetData>
  <mergeCells count="3">
    <mergeCell ref="E3:F3"/>
    <mergeCell ref="D3:D4"/>
    <mergeCell ref="D18:F20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F4:I56"/>
  <sheetViews>
    <sheetView showGridLines="0" rightToLeft="1" topLeftCell="A7" zoomScaleNormal="100" zoomScaleSheetLayoutView="100" workbookViewId="0">
      <selection activeCell="F10" sqref="F10"/>
    </sheetView>
  </sheetViews>
  <sheetFormatPr defaultRowHeight="15"/>
  <cols>
    <col min="6" max="6" width="24.140625" bestFit="1" customWidth="1"/>
    <col min="7" max="7" width="15.140625" bestFit="1" customWidth="1"/>
    <col min="8" max="8" width="22.5703125" bestFit="1" customWidth="1"/>
    <col min="9" max="9" width="27.7109375" bestFit="1" customWidth="1"/>
  </cols>
  <sheetData>
    <row r="4" spans="6:9" ht="15.75" thickBot="1"/>
    <row r="5" spans="6:9" ht="27" customHeight="1" thickBot="1">
      <c r="F5" s="480" t="s">
        <v>308</v>
      </c>
      <c r="G5" s="481" t="s">
        <v>305</v>
      </c>
      <c r="H5" s="481" t="s">
        <v>306</v>
      </c>
      <c r="I5" s="482" t="s">
        <v>311</v>
      </c>
    </row>
    <row r="6" spans="6:9" ht="27" customHeight="1">
      <c r="F6" s="499" t="s">
        <v>103</v>
      </c>
      <c r="G6" s="483">
        <f>'WBS-با البرز شرقی'!D17</f>
        <v>0.53</v>
      </c>
      <c r="H6" s="483">
        <f>'WBS-بدون البرز شرقی'!E16</f>
        <v>1.6608996539792388E-3</v>
      </c>
      <c r="I6" s="484">
        <f>H6/$H$16</f>
        <v>1.196410767696909E-2</v>
      </c>
    </row>
    <row r="7" spans="6:9" ht="27" customHeight="1">
      <c r="F7" s="499" t="s">
        <v>104</v>
      </c>
      <c r="G7" s="485">
        <f>'WBS-با البرز شرقی'!D18</f>
        <v>0.24944464944649447</v>
      </c>
      <c r="H7" s="485">
        <f>'WBS-بدون البرز شرقی'!E17</f>
        <v>2.0346020761245677E-2</v>
      </c>
      <c r="I7" s="484">
        <f t="shared" ref="I7:I15" si="0">H7/$H$16</f>
        <v>0.14656031904287137</v>
      </c>
    </row>
    <row r="8" spans="6:9" ht="27" customHeight="1">
      <c r="F8" s="499" t="s">
        <v>105</v>
      </c>
      <c r="G8" s="486">
        <f>'WBS-با البرز شرقی'!D19</f>
        <v>0</v>
      </c>
      <c r="H8" s="485">
        <f>'WBS-بدون البرز شرقی'!E18</f>
        <v>4.0138408304498273E-3</v>
      </c>
      <c r="I8" s="484">
        <f t="shared" si="0"/>
        <v>2.8913260219341971E-2</v>
      </c>
    </row>
    <row r="9" spans="6:9" ht="27" customHeight="1">
      <c r="F9" s="499" t="s">
        <v>106</v>
      </c>
      <c r="G9" s="485">
        <f>'WBS-با البرز شرقی'!D20</f>
        <v>0.39106536616910054</v>
      </c>
      <c r="H9" s="485">
        <f>'WBS-بدون البرز شرقی'!E19</f>
        <v>3.9446366782006928E-2</v>
      </c>
      <c r="I9" s="484">
        <f t="shared" si="0"/>
        <v>0.28414755732801594</v>
      </c>
    </row>
    <row r="10" spans="6:9" ht="27" customHeight="1">
      <c r="F10" s="499" t="s">
        <v>107</v>
      </c>
      <c r="G10" s="485">
        <f>'WBS-با البرز شرقی'!D21</f>
        <v>2.2444360618634477E-2</v>
      </c>
      <c r="H10" s="485">
        <f>'WBS-بدون البرز شرقی'!E20</f>
        <v>2.4913494809688588E-2</v>
      </c>
      <c r="I10" s="484">
        <f t="shared" si="0"/>
        <v>0.1794616151545364</v>
      </c>
    </row>
    <row r="11" spans="6:9" ht="27" customHeight="1">
      <c r="F11" s="499" t="s">
        <v>108</v>
      </c>
      <c r="G11" s="485">
        <f>'WBS-با البرز شرقی'!D22</f>
        <v>0</v>
      </c>
      <c r="H11" s="485">
        <f>'WBS-بدون البرز شرقی'!E21</f>
        <v>2.7681660899653984E-2</v>
      </c>
      <c r="I11" s="484">
        <f t="shared" si="0"/>
        <v>0.19940179461615154</v>
      </c>
    </row>
    <row r="12" spans="6:9" ht="27" customHeight="1">
      <c r="F12" s="499" t="s">
        <v>109</v>
      </c>
      <c r="G12" s="486">
        <f>'WBS-با البرز شرقی'!D23</f>
        <v>0</v>
      </c>
      <c r="H12" s="485">
        <f>'WBS-بدون البرز شرقی'!E22</f>
        <v>5.5363321799307963E-4</v>
      </c>
      <c r="I12" s="484">
        <f t="shared" si="0"/>
        <v>3.9880358923230306E-3</v>
      </c>
    </row>
    <row r="13" spans="6:9" ht="27" customHeight="1">
      <c r="F13" s="499" t="s">
        <v>110</v>
      </c>
      <c r="G13" s="486">
        <f>'WBS-با البرز شرقی'!D24</f>
        <v>0</v>
      </c>
      <c r="H13" s="485">
        <f>'WBS-بدون البرز شرقی'!E23</f>
        <v>1.2733564013840832E-2</v>
      </c>
      <c r="I13" s="484">
        <f t="shared" si="0"/>
        <v>9.1724825523429712E-2</v>
      </c>
    </row>
    <row r="14" spans="6:9" ht="27" customHeight="1">
      <c r="F14" s="499" t="s">
        <v>111</v>
      </c>
      <c r="G14" s="486">
        <f>'WBS-با البرز شرقی'!D25</f>
        <v>0</v>
      </c>
      <c r="H14" s="485">
        <f>'WBS-بدون البرز شرقی'!E24</f>
        <v>8.3044982698961939E-4</v>
      </c>
      <c r="I14" s="484">
        <f t="shared" si="0"/>
        <v>5.982053838484545E-3</v>
      </c>
    </row>
    <row r="15" spans="6:9" ht="27" customHeight="1" thickBot="1">
      <c r="F15" s="499" t="s">
        <v>112</v>
      </c>
      <c r="G15" s="487">
        <f>'WBS-با البرز شرقی'!D26</f>
        <v>0</v>
      </c>
      <c r="H15" s="488">
        <f>'WBS-بدون البرز شرقی'!E25</f>
        <v>6.6435986159169551E-3</v>
      </c>
      <c r="I15" s="489">
        <f t="shared" si="0"/>
        <v>4.785643070787636E-2</v>
      </c>
    </row>
    <row r="16" spans="6:9" ht="27" customHeight="1" thickBot="1">
      <c r="F16" s="715" t="s">
        <v>12</v>
      </c>
      <c r="G16" s="716"/>
      <c r="H16" s="490">
        <f>SUM(H6:H15)</f>
        <v>0.13882352941176473</v>
      </c>
      <c r="I16" s="491">
        <f>SUM(I6:I15)</f>
        <v>1</v>
      </c>
    </row>
    <row r="17" spans="6:9" ht="27" customHeight="1" thickBot="1"/>
    <row r="18" spans="6:9" ht="21.75" thickBot="1">
      <c r="F18" s="480" t="s">
        <v>309</v>
      </c>
      <c r="G18" s="481" t="s">
        <v>305</v>
      </c>
      <c r="H18" s="481" t="s">
        <v>306</v>
      </c>
      <c r="I18" s="482" t="s">
        <v>311</v>
      </c>
    </row>
    <row r="19" spans="6:9" ht="24.75">
      <c r="F19" s="499" t="s">
        <v>103</v>
      </c>
      <c r="G19" s="483">
        <f>'WBS-با البرز شرقی'!D28</f>
        <v>0.53</v>
      </c>
      <c r="H19" s="483">
        <f>'WBS-بدون البرز شرقی'!E27</f>
        <v>1.6608996539792388E-3</v>
      </c>
      <c r="I19" s="484">
        <f>H19/$H$29</f>
        <v>1.085972850678733E-2</v>
      </c>
    </row>
    <row r="20" spans="6:9" ht="24.75">
      <c r="F20" s="499" t="s">
        <v>104</v>
      </c>
      <c r="G20" s="485">
        <f>'WBS-با البرز شرقی'!D29</f>
        <v>0.22934738723156203</v>
      </c>
      <c r="H20" s="485">
        <f>'WBS-بدون البرز شرقی'!E28</f>
        <v>1.3148788927335642E-2</v>
      </c>
      <c r="I20" s="484">
        <f t="shared" ref="I20:I28" si="1">H20/$H$29</f>
        <v>8.5972850678733032E-2</v>
      </c>
    </row>
    <row r="21" spans="6:9" ht="24.75">
      <c r="F21" s="499" t="s">
        <v>105</v>
      </c>
      <c r="G21" s="486">
        <f>'WBS-با البرز شرقی'!D30</f>
        <v>0</v>
      </c>
      <c r="H21" s="485">
        <f>'WBS-بدون البرز شرقی'!E29</f>
        <v>1.7993079584775087E-3</v>
      </c>
      <c r="I21" s="484">
        <f t="shared" si="1"/>
        <v>1.1764705882352941E-2</v>
      </c>
    </row>
    <row r="22" spans="6:9" ht="24.75">
      <c r="F22" s="499" t="s">
        <v>106</v>
      </c>
      <c r="G22" s="485">
        <f>'WBS-با البرز شرقی'!D31</f>
        <v>0.39819088166195604</v>
      </c>
      <c r="H22" s="485">
        <f>'WBS-بدون البرز شرقی'!E30</f>
        <v>5.674740484429066E-2</v>
      </c>
      <c r="I22" s="484">
        <f t="shared" si="1"/>
        <v>0.37104072398190041</v>
      </c>
    </row>
    <row r="23" spans="6:9" ht="24.75">
      <c r="F23" s="499" t="s">
        <v>107</v>
      </c>
      <c r="G23" s="485">
        <f>'WBS-با البرز شرقی'!D32</f>
        <v>0</v>
      </c>
      <c r="H23" s="485">
        <f>'WBS-بدون البرز شرقی'!E31</f>
        <v>3.584775086505191E-2</v>
      </c>
      <c r="I23" s="484">
        <f t="shared" si="1"/>
        <v>0.23438914027149324</v>
      </c>
    </row>
    <row r="24" spans="6:9" ht="24.75">
      <c r="F24" s="499" t="s">
        <v>108</v>
      </c>
      <c r="G24" s="485">
        <f>'WBS-با البرز شرقی'!D33</f>
        <v>0</v>
      </c>
      <c r="H24" s="485">
        <f>'WBS-بدون البرز شرقی'!E32</f>
        <v>1.5086505190311419E-2</v>
      </c>
      <c r="I24" s="484">
        <f t="shared" si="1"/>
        <v>9.864253393665158E-2</v>
      </c>
    </row>
    <row r="25" spans="6:9" ht="24.75">
      <c r="F25" s="499" t="s">
        <v>109</v>
      </c>
      <c r="G25" s="486">
        <f>'WBS-با البرز شرقی'!D34</f>
        <v>0</v>
      </c>
      <c r="H25" s="485">
        <f>'WBS-بدون البرز شرقی'!E33</f>
        <v>2.9065743944636678E-3</v>
      </c>
      <c r="I25" s="484">
        <f t="shared" si="1"/>
        <v>1.9004524886877826E-2</v>
      </c>
    </row>
    <row r="26" spans="6:9" ht="24.75">
      <c r="F26" s="499" t="s">
        <v>110</v>
      </c>
      <c r="G26" s="486">
        <f>'WBS-با البرز شرقی'!D35</f>
        <v>0</v>
      </c>
      <c r="H26" s="485">
        <f>'WBS-بدون البرز شرقی'!E34</f>
        <v>1.7854671280276818E-2</v>
      </c>
      <c r="I26" s="484">
        <f>H26/$H$29</f>
        <v>0.1167420814479638</v>
      </c>
    </row>
    <row r="27" spans="6:9" ht="24.75">
      <c r="F27" s="499" t="s">
        <v>111</v>
      </c>
      <c r="G27" s="486">
        <f>'WBS-با البرز شرقی'!D36</f>
        <v>0</v>
      </c>
      <c r="H27" s="485">
        <f>'WBS-بدون البرز شرقی'!E35</f>
        <v>1.2456747404844292E-3</v>
      </c>
      <c r="I27" s="484">
        <f t="shared" si="1"/>
        <v>8.1447963800904983E-3</v>
      </c>
    </row>
    <row r="28" spans="6:9" ht="25.5" thickBot="1">
      <c r="F28" s="499" t="s">
        <v>112</v>
      </c>
      <c r="G28" s="487">
        <f>'WBS-با البرز شرقی'!D37</f>
        <v>0</v>
      </c>
      <c r="H28" s="488">
        <f>'WBS-بدون البرز شرقی'!E36</f>
        <v>6.6435986159169551E-3</v>
      </c>
      <c r="I28" s="489">
        <f t="shared" si="1"/>
        <v>4.343891402714932E-2</v>
      </c>
    </row>
    <row r="29" spans="6:9" ht="27" thickBot="1">
      <c r="F29" s="715" t="s">
        <v>12</v>
      </c>
      <c r="G29" s="716"/>
      <c r="H29" s="490">
        <f>SUM(H19:H28)</f>
        <v>0.15294117647058825</v>
      </c>
      <c r="I29" s="491">
        <f>SUM(I19:I28)</f>
        <v>1</v>
      </c>
    </row>
    <row r="30" spans="6:9" ht="15.75" thickBot="1"/>
    <row r="31" spans="6:9" ht="21.75" thickBot="1">
      <c r="F31" s="480" t="s">
        <v>307</v>
      </c>
      <c r="G31" s="481" t="s">
        <v>305</v>
      </c>
      <c r="H31" s="481" t="s">
        <v>306</v>
      </c>
      <c r="I31" s="482" t="s">
        <v>311</v>
      </c>
    </row>
    <row r="32" spans="6:9" ht="24.75">
      <c r="F32" s="499" t="s">
        <v>103</v>
      </c>
      <c r="G32" s="483">
        <f>'WBS-با البرز شرقی'!D39</f>
        <v>0.53</v>
      </c>
      <c r="H32" s="483">
        <f>'WBS-بدون البرز شرقی'!E38</f>
        <v>1.6608996539792388E-3</v>
      </c>
      <c r="I32" s="484">
        <f>H32/$H$42</f>
        <v>1.0471204188481674E-2</v>
      </c>
    </row>
    <row r="33" spans="6:9" ht="24.75">
      <c r="F33" s="499" t="s">
        <v>104</v>
      </c>
      <c r="G33" s="485">
        <f>'WBS-با البرز شرقی'!D40</f>
        <v>0.72</v>
      </c>
      <c r="H33" s="485">
        <f>'WBS-بدون البرز شرقی'!E39</f>
        <v>4.4290657439446371E-3</v>
      </c>
      <c r="I33" s="484">
        <f t="shared" ref="I33:I41" si="2">H33/$H$42</f>
        <v>2.7923211169284468E-2</v>
      </c>
    </row>
    <row r="34" spans="6:9" ht="24.75">
      <c r="F34" s="499" t="s">
        <v>105</v>
      </c>
      <c r="G34" s="486">
        <f>'WBS-با البرز شرقی'!D41</f>
        <v>0</v>
      </c>
      <c r="H34" s="485">
        <f>'WBS-بدون البرز شرقی'!E40</f>
        <v>1.1072664359861593E-3</v>
      </c>
      <c r="I34" s="484">
        <f t="shared" si="2"/>
        <v>6.9808027923211171E-3</v>
      </c>
    </row>
    <row r="35" spans="6:9" ht="24.75">
      <c r="F35" s="499" t="s">
        <v>106</v>
      </c>
      <c r="G35" s="485">
        <f>'WBS-با البرز شرقی'!D42</f>
        <v>0.28016268834655189</v>
      </c>
      <c r="H35" s="485">
        <f>'WBS-بدون البرز شرقی'!E41</f>
        <v>6.7543252595155714E-2</v>
      </c>
      <c r="I35" s="484">
        <f t="shared" si="2"/>
        <v>0.42582897033158812</v>
      </c>
    </row>
    <row r="36" spans="6:9" ht="24.75">
      <c r="F36" s="499" t="s">
        <v>107</v>
      </c>
      <c r="G36" s="485">
        <f>'WBS-با البرز شرقی'!D43</f>
        <v>4.0143215700967447E-2</v>
      </c>
      <c r="H36" s="485">
        <f>'WBS-بدون البرز شرقی'!E42</f>
        <v>4.2629757785467133E-2</v>
      </c>
      <c r="I36" s="484">
        <f t="shared" si="2"/>
        <v>0.26876090750436299</v>
      </c>
    </row>
    <row r="37" spans="6:9" ht="24.75">
      <c r="F37" s="499" t="s">
        <v>108</v>
      </c>
      <c r="G37" s="485">
        <f>'WBS-با البرز شرقی'!D44</f>
        <v>4.02E-2</v>
      </c>
      <c r="H37" s="485">
        <f>'WBS-بدون البرز شرقی'!E43</f>
        <v>2.6574394463667821E-2</v>
      </c>
      <c r="I37" s="484">
        <f t="shared" si="2"/>
        <v>0.16753926701570679</v>
      </c>
    </row>
    <row r="38" spans="6:9" ht="24.75">
      <c r="F38" s="499" t="s">
        <v>109</v>
      </c>
      <c r="G38" s="486">
        <f>'WBS-با البرز شرقی'!D45</f>
        <v>0</v>
      </c>
      <c r="H38" s="485">
        <f>'WBS-بدون البرز شرقی'!E44</f>
        <v>6.9204152249134957E-4</v>
      </c>
      <c r="I38" s="484">
        <f t="shared" si="2"/>
        <v>4.3630017452006981E-3</v>
      </c>
    </row>
    <row r="39" spans="6:9" ht="24.75">
      <c r="F39" s="499" t="s">
        <v>110</v>
      </c>
      <c r="G39" s="486">
        <f>'WBS-با البرز شرقی'!D46</f>
        <v>0</v>
      </c>
      <c r="H39" s="485">
        <f>'WBS-بدون البرز شرقی'!E45</f>
        <v>5.9515570934256063E-3</v>
      </c>
      <c r="I39" s="484">
        <f t="shared" si="2"/>
        <v>3.7521815008726006E-2</v>
      </c>
    </row>
    <row r="40" spans="6:9" ht="24.75">
      <c r="F40" s="499" t="s">
        <v>111</v>
      </c>
      <c r="G40" s="486">
        <f>'WBS-با البرز شرقی'!D47</f>
        <v>0</v>
      </c>
      <c r="H40" s="485">
        <f>'WBS-بدون البرز شرقی'!E46</f>
        <v>1.3840830449826991E-3</v>
      </c>
      <c r="I40" s="484">
        <f t="shared" si="2"/>
        <v>8.7260034904013961E-3</v>
      </c>
    </row>
    <row r="41" spans="6:9" ht="25.5" thickBot="1">
      <c r="F41" s="499" t="s">
        <v>112</v>
      </c>
      <c r="G41" s="487">
        <f>'WBS-با البرز شرقی'!D48</f>
        <v>0</v>
      </c>
      <c r="H41" s="488">
        <f>'WBS-بدون البرز شرقی'!E47</f>
        <v>6.6435986159169551E-3</v>
      </c>
      <c r="I41" s="489">
        <f t="shared" si="2"/>
        <v>4.1884816753926697E-2</v>
      </c>
    </row>
    <row r="42" spans="6:9" ht="27" thickBot="1">
      <c r="F42" s="715" t="s">
        <v>12</v>
      </c>
      <c r="G42" s="716"/>
      <c r="H42" s="490">
        <f>SUM(H32:H41)</f>
        <v>0.15861591695501731</v>
      </c>
      <c r="I42" s="491">
        <f>SUM(I32:I41)</f>
        <v>1</v>
      </c>
    </row>
    <row r="43" spans="6:9" ht="15.75" thickBot="1"/>
    <row r="44" spans="6:9" ht="21.75" thickBot="1">
      <c r="F44" s="492" t="s">
        <v>310</v>
      </c>
      <c r="G44" s="493" t="s">
        <v>305</v>
      </c>
      <c r="H44" s="493" t="s">
        <v>306</v>
      </c>
      <c r="I44" s="494" t="s">
        <v>312</v>
      </c>
    </row>
    <row r="45" spans="6:9" ht="24.75">
      <c r="F45" s="497" t="s">
        <v>103</v>
      </c>
      <c r="G45" s="498">
        <f>'WBS-با البرز شرقی'!D50</f>
        <v>0.52</v>
      </c>
      <c r="H45" s="498">
        <f>'WBS-بدون البرز شرقی'!E49</f>
        <v>1.6608996539792388E-3</v>
      </c>
      <c r="I45" s="484">
        <f>H45/$H$56</f>
        <v>1.362088535754824E-2</v>
      </c>
    </row>
    <row r="46" spans="6:9" ht="24.75">
      <c r="F46" s="499" t="s">
        <v>104</v>
      </c>
      <c r="G46" s="485">
        <f>'WBS-با البرز شرقی'!D51</f>
        <v>0.15774545454545455</v>
      </c>
      <c r="H46" s="485">
        <f>'WBS-بدون البرز شرقی'!E50</f>
        <v>7.1972318339100349E-3</v>
      </c>
      <c r="I46" s="484">
        <f t="shared" ref="I46:I55" si="3">H46/$H$56</f>
        <v>5.9023836549375708E-2</v>
      </c>
    </row>
    <row r="47" spans="6:9" ht="24.75">
      <c r="F47" s="499" t="s">
        <v>105</v>
      </c>
      <c r="G47" s="486">
        <f>'WBS-با البرز شرقی'!D52</f>
        <v>0</v>
      </c>
      <c r="H47" s="485">
        <f>'WBS-بدون البرز شرقی'!E51</f>
        <v>9.6885813148788955E-4</v>
      </c>
      <c r="I47" s="484">
        <f t="shared" si="3"/>
        <v>7.9455164585698086E-3</v>
      </c>
    </row>
    <row r="48" spans="6:9" ht="24.75">
      <c r="F48" s="499" t="s">
        <v>106</v>
      </c>
      <c r="G48" s="485">
        <f>'WBS-با البرز شرقی'!D53</f>
        <v>0.31245985332149179</v>
      </c>
      <c r="H48" s="485">
        <f>'WBS-بدون البرز شرقی'!E52</f>
        <v>2.0484429065743947E-2</v>
      </c>
      <c r="I48" s="484">
        <f t="shared" si="3"/>
        <v>0.16799091940976166</v>
      </c>
    </row>
    <row r="49" spans="6:9" ht="24.75">
      <c r="F49" s="499" t="s">
        <v>107</v>
      </c>
      <c r="G49" s="485">
        <f>'WBS-با البرز شرقی'!D54</f>
        <v>0</v>
      </c>
      <c r="H49" s="485">
        <f>'WBS-بدون البرز شرقی'!E53</f>
        <v>1.2871972318339104E-2</v>
      </c>
      <c r="I49" s="484">
        <f t="shared" si="3"/>
        <v>0.10556186152099889</v>
      </c>
    </row>
    <row r="50" spans="6:9" ht="24.75">
      <c r="F50" s="499" t="s">
        <v>108</v>
      </c>
      <c r="G50" s="485">
        <f>'WBS-با البرز شرقی'!D55</f>
        <v>0</v>
      </c>
      <c r="H50" s="485">
        <f>'WBS-بدون البرز شرقی'!E54</f>
        <v>2.1453287197231836E-2</v>
      </c>
      <c r="I50" s="484">
        <f t="shared" si="3"/>
        <v>0.17593643586833146</v>
      </c>
    </row>
    <row r="51" spans="6:9" ht="24.75">
      <c r="F51" s="499" t="s">
        <v>109</v>
      </c>
      <c r="G51" s="486">
        <f>'WBS-با البرز شرقی'!D56</f>
        <v>0</v>
      </c>
      <c r="H51" s="485">
        <f>'WBS-بدون البرز شرقی'!E55</f>
        <v>2.7681660899653982E-4</v>
      </c>
      <c r="I51" s="484">
        <f t="shared" si="3"/>
        <v>2.2701475595913734E-3</v>
      </c>
    </row>
    <row r="52" spans="6:9" ht="24.75">
      <c r="F52" s="499" t="s">
        <v>110</v>
      </c>
      <c r="G52" s="486">
        <f>'WBS-با البرز شرقی'!D57</f>
        <v>0.03</v>
      </c>
      <c r="H52" s="485">
        <f>'WBS-بدون البرز شرقی'!E56</f>
        <v>2.0346020761245677E-2</v>
      </c>
      <c r="I52" s="484">
        <f t="shared" si="3"/>
        <v>0.16685584562996597</v>
      </c>
    </row>
    <row r="53" spans="6:9" ht="24.75">
      <c r="F53" s="499" t="s">
        <v>111</v>
      </c>
      <c r="G53" s="486">
        <f>'WBS-با البرز شرقی'!D58</f>
        <v>0</v>
      </c>
      <c r="H53" s="485">
        <f>'WBS-بدون البرز شرقی'!E57</f>
        <v>4.152249134948097E-4</v>
      </c>
      <c r="I53" s="484">
        <f t="shared" si="3"/>
        <v>3.4052213393870601E-3</v>
      </c>
    </row>
    <row r="54" spans="6:9" ht="24.75">
      <c r="F54" s="499" t="s">
        <v>116</v>
      </c>
      <c r="G54" s="486">
        <f>'WBS-با البرز شرقی'!D59</f>
        <v>0</v>
      </c>
      <c r="H54" s="485">
        <f>'WBS-بدون البرز شرقی'!E58</f>
        <v>2.3114186851211076E-2</v>
      </c>
      <c r="I54" s="484">
        <f t="shared" si="3"/>
        <v>0.1895573212258797</v>
      </c>
    </row>
    <row r="55" spans="6:9" ht="25.5" thickBot="1">
      <c r="F55" s="500" t="s">
        <v>112</v>
      </c>
      <c r="G55" s="501">
        <f>'WBS-با البرز شرقی'!D60</f>
        <v>0</v>
      </c>
      <c r="H55" s="502">
        <f>'WBS-بدون البرز شرقی'!E59</f>
        <v>1.3148788927335642E-2</v>
      </c>
      <c r="I55" s="503">
        <f t="shared" si="3"/>
        <v>0.10783200908059025</v>
      </c>
    </row>
    <row r="56" spans="6:9" ht="27" thickBot="1">
      <c r="F56" s="717" t="s">
        <v>12</v>
      </c>
      <c r="G56" s="718"/>
      <c r="H56" s="495">
        <f>SUM(H45:H55)</f>
        <v>0.12193771626297578</v>
      </c>
      <c r="I56" s="496">
        <f>SUM(I45:I55)</f>
        <v>1.0000000000000002</v>
      </c>
    </row>
  </sheetData>
  <mergeCells count="4">
    <mergeCell ref="F16:G16"/>
    <mergeCell ref="F29:G29"/>
    <mergeCell ref="F42:G42"/>
    <mergeCell ref="F56:G56"/>
  </mergeCells>
  <pageMargins left="0.7" right="0.7" top="0.75" bottom="0.75" header="0.3" footer="0.3"/>
  <pageSetup orientation="portrait" r:id="rId1"/>
  <rowBreaks count="1" manualBreakCount="1">
    <brk id="30" min="5" max="8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U36"/>
  <sheetViews>
    <sheetView showGridLines="0" rightToLeft="1" topLeftCell="AH24" zoomScaleNormal="100" workbookViewId="0">
      <selection activeCell="AU36" sqref="AU36"/>
    </sheetView>
  </sheetViews>
  <sheetFormatPr defaultRowHeight="19.5"/>
  <cols>
    <col min="1" max="1" width="8.7109375" style="306" customWidth="1"/>
    <col min="2" max="2" width="5.5703125" style="306" bestFit="1" customWidth="1"/>
    <col min="3" max="3" width="17.140625" style="306" bestFit="1" customWidth="1"/>
    <col min="4" max="4" width="18.140625" style="306" bestFit="1" customWidth="1"/>
    <col min="5" max="5" width="13.5703125" style="306" bestFit="1" customWidth="1"/>
    <col min="6" max="6" width="12.28515625" style="306" bestFit="1" customWidth="1"/>
    <col min="7" max="7" width="11.42578125" style="306" bestFit="1" customWidth="1"/>
    <col min="8" max="8" width="9.5703125" style="306" bestFit="1" customWidth="1"/>
    <col min="9" max="9" width="18.85546875" style="306" bestFit="1" customWidth="1"/>
    <col min="10" max="10" width="8.42578125" style="306" bestFit="1" customWidth="1"/>
    <col min="11" max="11" width="11.28515625" style="306" bestFit="1" customWidth="1"/>
    <col min="12" max="12" width="6.28515625" style="306" bestFit="1" customWidth="1"/>
    <col min="13" max="13" width="6.5703125" style="306" bestFit="1" customWidth="1"/>
    <col min="14" max="14" width="7.7109375" style="306" bestFit="1" customWidth="1"/>
    <col min="15" max="15" width="7.42578125" style="306" bestFit="1" customWidth="1"/>
    <col min="16" max="16" width="8.140625" style="306" bestFit="1" customWidth="1"/>
    <col min="17" max="17" width="24.5703125" style="306" bestFit="1" customWidth="1"/>
    <col min="18" max="18" width="6.85546875" style="306" bestFit="1" customWidth="1"/>
    <col min="19" max="19" width="7.42578125" style="306" bestFit="1" customWidth="1"/>
    <col min="20" max="20" width="8.5703125" style="306" bestFit="1" customWidth="1"/>
    <col min="21" max="21" width="7.5703125" style="306" bestFit="1" customWidth="1"/>
    <col min="22" max="22" width="8.5703125" style="306" bestFit="1" customWidth="1"/>
    <col min="23" max="23" width="8.28515625" style="306" bestFit="1" customWidth="1"/>
    <col min="24" max="24" width="8" style="306" bestFit="1" customWidth="1"/>
    <col min="25" max="25" width="7" style="306" bestFit="1" customWidth="1"/>
    <col min="26" max="26" width="8.140625" style="306" bestFit="1" customWidth="1"/>
    <col min="27" max="27" width="8.28515625" style="306" bestFit="1" customWidth="1"/>
    <col min="28" max="28" width="10.85546875" style="306" bestFit="1" customWidth="1"/>
    <col min="29" max="29" width="26.42578125" style="306" bestFit="1" customWidth="1"/>
    <col min="30" max="30" width="14.140625" style="306" bestFit="1" customWidth="1"/>
    <col min="31" max="31" width="30.7109375" style="306" bestFit="1" customWidth="1"/>
    <col min="32" max="35" width="9.140625" style="306"/>
    <col min="36" max="36" width="5.5703125" style="306" bestFit="1" customWidth="1"/>
    <col min="37" max="37" width="17.140625" style="306" bestFit="1" customWidth="1"/>
    <col min="38" max="38" width="9.85546875" style="306" bestFit="1" customWidth="1"/>
    <col min="39" max="39" width="8.5703125" style="306" bestFit="1" customWidth="1"/>
    <col min="40" max="40" width="13" style="306" customWidth="1"/>
    <col min="41" max="42" width="8.85546875" style="306" bestFit="1" customWidth="1"/>
    <col min="43" max="43" width="7.5703125" style="306" bestFit="1" customWidth="1"/>
    <col min="44" max="44" width="7.7109375" style="306" bestFit="1" customWidth="1"/>
    <col min="45" max="45" width="7.85546875" style="306" bestFit="1" customWidth="1"/>
    <col min="46" max="46" width="9.7109375" style="306" bestFit="1" customWidth="1"/>
    <col min="47" max="47" width="8.140625" style="306" bestFit="1" customWidth="1"/>
    <col min="48" max="16384" width="9.140625" style="306"/>
  </cols>
  <sheetData>
    <row r="1" spans="1:46" ht="19.5" customHeight="1">
      <c r="B1" s="742" t="s">
        <v>300</v>
      </c>
      <c r="C1" s="742"/>
      <c r="D1" s="742"/>
      <c r="E1" s="742"/>
      <c r="F1" s="742"/>
      <c r="G1" s="742"/>
      <c r="H1" s="742"/>
      <c r="I1" s="368"/>
      <c r="J1" s="368"/>
    </row>
    <row r="2" spans="1:46" ht="19.5" customHeight="1">
      <c r="B2" s="742"/>
      <c r="C2" s="742"/>
      <c r="D2" s="742"/>
      <c r="E2" s="742"/>
      <c r="F2" s="742"/>
      <c r="G2" s="742"/>
      <c r="H2" s="742"/>
      <c r="I2" s="368"/>
      <c r="J2" s="368"/>
    </row>
    <row r="3" spans="1:46" ht="20.25" customHeight="1" thickBot="1">
      <c r="B3" s="743"/>
      <c r="C3" s="743"/>
      <c r="D3" s="743"/>
      <c r="E3" s="743"/>
      <c r="F3" s="743"/>
      <c r="G3" s="743"/>
      <c r="H3" s="743"/>
      <c r="I3" s="369"/>
      <c r="J3" s="369"/>
    </row>
    <row r="4" spans="1:46" ht="19.5" customHeight="1">
      <c r="B4" s="739" t="s">
        <v>206</v>
      </c>
      <c r="C4" s="740"/>
      <c r="D4" s="740"/>
      <c r="E4" s="740"/>
      <c r="F4" s="740" t="s">
        <v>207</v>
      </c>
      <c r="G4" s="740"/>
      <c r="H4" s="740"/>
      <c r="I4" s="740" t="s">
        <v>208</v>
      </c>
      <c r="J4" s="740" t="s">
        <v>209</v>
      </c>
      <c r="K4" s="740"/>
      <c r="L4" s="740"/>
      <c r="M4" s="740"/>
      <c r="N4" s="740"/>
      <c r="O4" s="740"/>
      <c r="P4" s="740"/>
      <c r="Q4" s="740" t="s">
        <v>210</v>
      </c>
      <c r="R4" s="740" t="s">
        <v>211</v>
      </c>
      <c r="S4" s="740"/>
      <c r="T4" s="740" t="s">
        <v>212</v>
      </c>
      <c r="U4" s="740"/>
      <c r="V4" s="740"/>
      <c r="W4" s="740"/>
      <c r="X4" s="740"/>
      <c r="Y4" s="740"/>
      <c r="Z4" s="740"/>
      <c r="AA4" s="740"/>
      <c r="AB4" s="719" t="s">
        <v>213</v>
      </c>
      <c r="AC4" s="720"/>
      <c r="AD4" s="721"/>
      <c r="AE4" s="722" t="s">
        <v>214</v>
      </c>
    </row>
    <row r="5" spans="1:46" ht="19.5" customHeight="1">
      <c r="B5" s="741"/>
      <c r="C5" s="725"/>
      <c r="D5" s="725"/>
      <c r="E5" s="725"/>
      <c r="F5" s="725"/>
      <c r="G5" s="725"/>
      <c r="H5" s="725"/>
      <c r="I5" s="725"/>
      <c r="J5" s="725"/>
      <c r="K5" s="725"/>
      <c r="L5" s="725"/>
      <c r="M5" s="725"/>
      <c r="N5" s="725"/>
      <c r="O5" s="725"/>
      <c r="P5" s="725"/>
      <c r="Q5" s="725"/>
      <c r="R5" s="725"/>
      <c r="S5" s="725"/>
      <c r="T5" s="725" t="s">
        <v>215</v>
      </c>
      <c r="U5" s="725"/>
      <c r="V5" s="725"/>
      <c r="W5" s="725"/>
      <c r="X5" s="725" t="s">
        <v>216</v>
      </c>
      <c r="Y5" s="725"/>
      <c r="Z5" s="725" t="s">
        <v>217</v>
      </c>
      <c r="AA5" s="725"/>
      <c r="AB5" s="726" t="s">
        <v>218</v>
      </c>
      <c r="AC5" s="726" t="s">
        <v>219</v>
      </c>
      <c r="AD5" s="726" t="s">
        <v>220</v>
      </c>
      <c r="AE5" s="723"/>
    </row>
    <row r="6" spans="1:46" ht="19.5" customHeight="1">
      <c r="B6" s="741"/>
      <c r="C6" s="725"/>
      <c r="D6" s="725"/>
      <c r="E6" s="725"/>
      <c r="F6" s="725"/>
      <c r="G6" s="725"/>
      <c r="H6" s="725"/>
      <c r="I6" s="725"/>
      <c r="J6" s="725"/>
      <c r="K6" s="725"/>
      <c r="L6" s="725"/>
      <c r="M6" s="725"/>
      <c r="N6" s="725"/>
      <c r="O6" s="725"/>
      <c r="P6" s="725"/>
      <c r="Q6" s="725"/>
      <c r="R6" s="725"/>
      <c r="S6" s="725"/>
      <c r="T6" s="725" t="s">
        <v>218</v>
      </c>
      <c r="U6" s="725"/>
      <c r="V6" s="725" t="s">
        <v>221</v>
      </c>
      <c r="W6" s="725"/>
      <c r="X6" s="725"/>
      <c r="Y6" s="725"/>
      <c r="Z6" s="725"/>
      <c r="AA6" s="725"/>
      <c r="AB6" s="727"/>
      <c r="AC6" s="727"/>
      <c r="AD6" s="727"/>
      <c r="AE6" s="723"/>
    </row>
    <row r="7" spans="1:46" ht="85.5">
      <c r="B7" s="307" t="s">
        <v>11</v>
      </c>
      <c r="C7" s="308" t="s">
        <v>222</v>
      </c>
      <c r="D7" s="308" t="s">
        <v>223</v>
      </c>
      <c r="E7" s="308" t="s">
        <v>224</v>
      </c>
      <c r="F7" s="308" t="s">
        <v>221</v>
      </c>
      <c r="G7" s="308" t="s">
        <v>225</v>
      </c>
      <c r="H7" s="308" t="s">
        <v>226</v>
      </c>
      <c r="I7" s="725"/>
      <c r="J7" s="308" t="s">
        <v>227</v>
      </c>
      <c r="K7" s="308" t="s">
        <v>228</v>
      </c>
      <c r="L7" s="308" t="s">
        <v>229</v>
      </c>
      <c r="M7" s="308" t="s">
        <v>230</v>
      </c>
      <c r="N7" s="308" t="s">
        <v>231</v>
      </c>
      <c r="O7" s="308" t="s">
        <v>232</v>
      </c>
      <c r="P7" s="308" t="s">
        <v>233</v>
      </c>
      <c r="Q7" s="725"/>
      <c r="R7" s="308" t="s">
        <v>218</v>
      </c>
      <c r="S7" s="308" t="s">
        <v>221</v>
      </c>
      <c r="T7" s="308" t="s">
        <v>234</v>
      </c>
      <c r="U7" s="308" t="s">
        <v>235</v>
      </c>
      <c r="V7" s="308" t="s">
        <v>234</v>
      </c>
      <c r="W7" s="308" t="s">
        <v>235</v>
      </c>
      <c r="X7" s="308" t="s">
        <v>234</v>
      </c>
      <c r="Y7" s="308" t="s">
        <v>235</v>
      </c>
      <c r="Z7" s="308" t="s">
        <v>234</v>
      </c>
      <c r="AA7" s="308" t="s">
        <v>235</v>
      </c>
      <c r="AB7" s="728"/>
      <c r="AC7" s="728"/>
      <c r="AD7" s="728"/>
      <c r="AE7" s="724"/>
    </row>
    <row r="8" spans="1:46">
      <c r="A8" s="309"/>
      <c r="B8" s="734">
        <v>1</v>
      </c>
      <c r="C8" s="735" t="s">
        <v>236</v>
      </c>
      <c r="D8" s="735">
        <v>2667</v>
      </c>
      <c r="E8" s="737">
        <v>1744657</v>
      </c>
      <c r="F8" s="310" t="s">
        <v>237</v>
      </c>
      <c r="G8" s="310" t="s">
        <v>298</v>
      </c>
      <c r="H8" s="311">
        <v>176810</v>
      </c>
      <c r="I8" s="312">
        <f>E8-H8</f>
        <v>1567847</v>
      </c>
      <c r="J8" s="313">
        <v>164826</v>
      </c>
      <c r="K8" s="313"/>
      <c r="L8" s="313">
        <v>0</v>
      </c>
      <c r="M8" s="313">
        <v>632</v>
      </c>
      <c r="N8" s="313"/>
      <c r="O8" s="313">
        <v>864</v>
      </c>
      <c r="P8" s="313">
        <f>SUM(J8:O8)</f>
        <v>166322</v>
      </c>
      <c r="Q8" s="313"/>
      <c r="R8" s="313">
        <v>0</v>
      </c>
      <c r="S8" s="313">
        <v>569</v>
      </c>
      <c r="T8" s="313">
        <f>0.06*0.625*E8</f>
        <v>65424.637499999997</v>
      </c>
      <c r="U8" s="313">
        <v>39000</v>
      </c>
      <c r="V8" s="313">
        <v>78669</v>
      </c>
      <c r="W8" s="313">
        <v>45901</v>
      </c>
      <c r="X8" s="313">
        <v>75171</v>
      </c>
      <c r="Y8" s="313">
        <v>60000</v>
      </c>
      <c r="Z8" s="313">
        <f>T8+V8-X8</f>
        <v>68922.637500000012</v>
      </c>
      <c r="AA8" s="313">
        <f>U8+W8-Y8</f>
        <v>24901</v>
      </c>
      <c r="AB8" s="313">
        <v>165366</v>
      </c>
      <c r="AC8" s="313">
        <v>131</v>
      </c>
      <c r="AD8" s="313">
        <f>SUM(AB8:AC8)</f>
        <v>165497</v>
      </c>
      <c r="AE8" s="314">
        <v>92746</v>
      </c>
    </row>
    <row r="9" spans="1:46" s="319" customFormat="1">
      <c r="A9" s="315"/>
      <c r="B9" s="734"/>
      <c r="C9" s="736"/>
      <c r="D9" s="736"/>
      <c r="E9" s="738"/>
      <c r="F9" s="316" t="s">
        <v>239</v>
      </c>
      <c r="G9" s="316" t="s">
        <v>238</v>
      </c>
      <c r="H9" s="317">
        <v>53797</v>
      </c>
      <c r="I9" s="312">
        <v>0</v>
      </c>
      <c r="J9" s="317">
        <v>0</v>
      </c>
      <c r="K9" s="317"/>
      <c r="L9" s="317">
        <v>0</v>
      </c>
      <c r="M9" s="317">
        <v>0</v>
      </c>
      <c r="N9" s="317">
        <v>0</v>
      </c>
      <c r="O9" s="317">
        <v>0</v>
      </c>
      <c r="P9" s="317">
        <f t="shared" ref="P9:P14" si="0">SUM(J9:O9)</f>
        <v>0</v>
      </c>
      <c r="Q9" s="317"/>
      <c r="R9" s="317">
        <v>0</v>
      </c>
      <c r="S9" s="317">
        <v>1789</v>
      </c>
      <c r="T9" s="317">
        <v>0</v>
      </c>
      <c r="U9" s="317">
        <v>0</v>
      </c>
      <c r="V9" s="317">
        <v>24208</v>
      </c>
      <c r="W9" s="317">
        <v>14525</v>
      </c>
      <c r="X9" s="317">
        <v>0</v>
      </c>
      <c r="Y9" s="317">
        <v>0</v>
      </c>
      <c r="Z9" s="317">
        <f t="shared" ref="Z9:AA15" si="1">T9+V9-X9</f>
        <v>24208</v>
      </c>
      <c r="AA9" s="317">
        <f t="shared" si="1"/>
        <v>14525</v>
      </c>
      <c r="AB9" s="317">
        <v>0</v>
      </c>
      <c r="AC9" s="317">
        <v>0</v>
      </c>
      <c r="AD9" s="317">
        <f t="shared" ref="AD9:AD15" si="2">SUM(AB9:AC9)</f>
        <v>0</v>
      </c>
      <c r="AE9" s="318">
        <v>0</v>
      </c>
    </row>
    <row r="10" spans="1:46">
      <c r="A10" s="320"/>
      <c r="B10" s="741">
        <v>2</v>
      </c>
      <c r="C10" s="726" t="s">
        <v>240</v>
      </c>
      <c r="D10" s="726">
        <v>2668</v>
      </c>
      <c r="E10" s="744">
        <v>1870373</v>
      </c>
      <c r="F10" s="308" t="s">
        <v>237</v>
      </c>
      <c r="G10" s="308" t="s">
        <v>241</v>
      </c>
      <c r="H10" s="321">
        <v>319369</v>
      </c>
      <c r="I10" s="322">
        <f>E10-H10</f>
        <v>1551004</v>
      </c>
      <c r="J10" s="321">
        <v>192535</v>
      </c>
      <c r="K10" s="321"/>
      <c r="L10" s="321">
        <v>0</v>
      </c>
      <c r="M10" s="321">
        <v>0</v>
      </c>
      <c r="N10" s="321"/>
      <c r="O10" s="321"/>
      <c r="P10" s="321">
        <f t="shared" si="0"/>
        <v>192535</v>
      </c>
      <c r="Q10" s="321"/>
      <c r="R10" s="321">
        <v>4407</v>
      </c>
      <c r="S10" s="321">
        <v>16175</v>
      </c>
      <c r="T10" s="321">
        <f>0.06*0.625*E10</f>
        <v>70138.987500000003</v>
      </c>
      <c r="U10" s="321">
        <f>0.06*0.375*E10</f>
        <v>42083.392500000002</v>
      </c>
      <c r="V10" s="321">
        <v>151028</v>
      </c>
      <c r="W10" s="321">
        <v>86156</v>
      </c>
      <c r="X10" s="321">
        <v>193219</v>
      </c>
      <c r="Y10" s="321">
        <v>20000</v>
      </c>
      <c r="Z10" s="321">
        <f t="shared" si="1"/>
        <v>27947.987499999988</v>
      </c>
      <c r="AA10" s="321">
        <f t="shared" si="1"/>
        <v>108239.3925</v>
      </c>
      <c r="AB10" s="321">
        <v>192535</v>
      </c>
      <c r="AC10" s="321">
        <v>0</v>
      </c>
      <c r="AD10" s="321">
        <f t="shared" si="2"/>
        <v>192535</v>
      </c>
      <c r="AE10" s="323">
        <v>61830</v>
      </c>
    </row>
    <row r="11" spans="1:46" s="319" customFormat="1">
      <c r="B11" s="741"/>
      <c r="C11" s="728"/>
      <c r="D11" s="728"/>
      <c r="E11" s="745"/>
      <c r="F11" s="324" t="s">
        <v>239</v>
      </c>
      <c r="G11" s="324" t="s">
        <v>241</v>
      </c>
      <c r="H11" s="325">
        <v>136545</v>
      </c>
      <c r="I11" s="322">
        <v>0</v>
      </c>
      <c r="J11" s="325">
        <v>0</v>
      </c>
      <c r="K11" s="325"/>
      <c r="L11" s="325">
        <v>0</v>
      </c>
      <c r="M11" s="325">
        <v>0</v>
      </c>
      <c r="N11" s="325">
        <v>0</v>
      </c>
      <c r="O11" s="325">
        <v>0</v>
      </c>
      <c r="P11" s="325">
        <f t="shared" si="0"/>
        <v>0</v>
      </c>
      <c r="Q11" s="325"/>
      <c r="R11" s="325">
        <v>0</v>
      </c>
      <c r="S11" s="325">
        <v>23786</v>
      </c>
      <c r="T11" s="325">
        <v>0</v>
      </c>
      <c r="U11" s="325">
        <v>0</v>
      </c>
      <c r="V11" s="325">
        <v>61445</v>
      </c>
      <c r="W11" s="325">
        <v>36867</v>
      </c>
      <c r="X11" s="325">
        <v>0</v>
      </c>
      <c r="Y11" s="325">
        <v>0</v>
      </c>
      <c r="Z11" s="325">
        <f t="shared" si="1"/>
        <v>61445</v>
      </c>
      <c r="AA11" s="325">
        <f t="shared" si="1"/>
        <v>36867</v>
      </c>
      <c r="AB11" s="325">
        <v>0</v>
      </c>
      <c r="AC11" s="325">
        <v>0</v>
      </c>
      <c r="AD11" s="325">
        <f t="shared" si="2"/>
        <v>0</v>
      </c>
      <c r="AE11" s="326">
        <v>0</v>
      </c>
    </row>
    <row r="12" spans="1:46">
      <c r="B12" s="729">
        <v>3</v>
      </c>
      <c r="C12" s="730" t="s">
        <v>242</v>
      </c>
      <c r="D12" s="730">
        <v>2910</v>
      </c>
      <c r="E12" s="732">
        <v>1917032</v>
      </c>
      <c r="F12" s="327" t="s">
        <v>237</v>
      </c>
      <c r="G12" s="327" t="s">
        <v>241</v>
      </c>
      <c r="H12" s="328">
        <v>346407</v>
      </c>
      <c r="I12" s="329">
        <f>E12-H12</f>
        <v>1570625</v>
      </c>
      <c r="J12" s="328">
        <v>134484</v>
      </c>
      <c r="K12" s="328"/>
      <c r="L12" s="328"/>
      <c r="M12" s="328"/>
      <c r="N12" s="328"/>
      <c r="O12" s="328">
        <v>20484</v>
      </c>
      <c r="P12" s="328">
        <f t="shared" si="0"/>
        <v>154968</v>
      </c>
      <c r="Q12" s="328"/>
      <c r="R12" s="328">
        <v>0</v>
      </c>
      <c r="S12" s="328">
        <v>13946</v>
      </c>
      <c r="T12" s="313">
        <f>0.06*0.625*E12</f>
        <v>71888.7</v>
      </c>
      <c r="U12" s="328">
        <f>0.06*0.375*E12</f>
        <v>43133.22</v>
      </c>
      <c r="V12" s="328">
        <v>154883</v>
      </c>
      <c r="W12" s="328">
        <v>93530</v>
      </c>
      <c r="X12" s="328">
        <v>89745</v>
      </c>
      <c r="Y12" s="328">
        <v>93530</v>
      </c>
      <c r="Z12" s="328">
        <f t="shared" si="1"/>
        <v>137026.70000000001</v>
      </c>
      <c r="AA12" s="328">
        <f t="shared" si="1"/>
        <v>43133.22</v>
      </c>
      <c r="AB12" s="328">
        <v>134484</v>
      </c>
      <c r="AC12" s="328">
        <v>0</v>
      </c>
      <c r="AD12" s="328">
        <f t="shared" si="2"/>
        <v>134484</v>
      </c>
      <c r="AE12" s="330">
        <v>123098</v>
      </c>
    </row>
    <row r="13" spans="1:46" s="319" customFormat="1">
      <c r="B13" s="729"/>
      <c r="C13" s="731"/>
      <c r="D13" s="731"/>
      <c r="E13" s="733"/>
      <c r="F13" s="331" t="s">
        <v>239</v>
      </c>
      <c r="G13" s="331" t="s">
        <v>241</v>
      </c>
      <c r="H13" s="332">
        <v>157947</v>
      </c>
      <c r="I13" s="329">
        <v>0</v>
      </c>
      <c r="J13" s="332">
        <v>0</v>
      </c>
      <c r="K13" s="332"/>
      <c r="L13" s="332">
        <v>0</v>
      </c>
      <c r="M13" s="332">
        <v>0</v>
      </c>
      <c r="N13" s="332">
        <v>0</v>
      </c>
      <c r="O13" s="332">
        <v>0</v>
      </c>
      <c r="P13" s="332">
        <f t="shared" si="0"/>
        <v>0</v>
      </c>
      <c r="Q13" s="332"/>
      <c r="R13" s="332">
        <v>0</v>
      </c>
      <c r="S13" s="332">
        <v>20920</v>
      </c>
      <c r="T13" s="332">
        <v>0</v>
      </c>
      <c r="U13" s="332">
        <v>0</v>
      </c>
      <c r="V13" s="332">
        <v>64109</v>
      </c>
      <c r="W13" s="332">
        <v>38670</v>
      </c>
      <c r="X13" s="332">
        <v>0</v>
      </c>
      <c r="Y13" s="332">
        <v>23470</v>
      </c>
      <c r="Z13" s="332">
        <f t="shared" si="1"/>
        <v>64109</v>
      </c>
      <c r="AA13" s="332">
        <f t="shared" si="1"/>
        <v>15200</v>
      </c>
      <c r="AB13" s="332">
        <v>0</v>
      </c>
      <c r="AC13" s="332">
        <v>0</v>
      </c>
      <c r="AD13" s="332">
        <f t="shared" si="2"/>
        <v>0</v>
      </c>
      <c r="AE13" s="333">
        <v>0</v>
      </c>
    </row>
    <row r="14" spans="1:46" ht="39">
      <c r="B14" s="741">
        <v>4</v>
      </c>
      <c r="C14" s="726" t="s">
        <v>243</v>
      </c>
      <c r="D14" s="726">
        <v>2883</v>
      </c>
      <c r="E14" s="744">
        <v>1870000</v>
      </c>
      <c r="F14" s="308" t="s">
        <v>237</v>
      </c>
      <c r="G14" s="308" t="s">
        <v>299</v>
      </c>
      <c r="H14" s="321">
        <v>119086</v>
      </c>
      <c r="I14" s="322">
        <f>E14-H14</f>
        <v>1750914</v>
      </c>
      <c r="J14" s="321">
        <v>105497</v>
      </c>
      <c r="K14" s="321"/>
      <c r="L14" s="321">
        <v>0</v>
      </c>
      <c r="M14" s="321">
        <v>0</v>
      </c>
      <c r="N14" s="321">
        <v>4488</v>
      </c>
      <c r="O14" s="321">
        <v>0</v>
      </c>
      <c r="P14" s="321">
        <f t="shared" si="0"/>
        <v>109985</v>
      </c>
      <c r="Q14" s="321"/>
      <c r="R14" s="321">
        <v>37400</v>
      </c>
      <c r="S14" s="321">
        <v>11946</v>
      </c>
      <c r="T14" s="321">
        <f>0.06*0.625*E14</f>
        <v>70125</v>
      </c>
      <c r="U14" s="321">
        <f>0.06*0.375*E14</f>
        <v>42075</v>
      </c>
      <c r="V14" s="321">
        <v>55254</v>
      </c>
      <c r="W14" s="321">
        <v>28964</v>
      </c>
      <c r="X14" s="321">
        <v>55254</v>
      </c>
      <c r="Y14" s="321">
        <v>10000</v>
      </c>
      <c r="Z14" s="321">
        <f t="shared" si="1"/>
        <v>70125</v>
      </c>
      <c r="AA14" s="321">
        <f t="shared" si="1"/>
        <v>61039</v>
      </c>
      <c r="AB14" s="321">
        <v>106205</v>
      </c>
      <c r="AC14" s="321">
        <v>0</v>
      </c>
      <c r="AD14" s="321">
        <f t="shared" si="2"/>
        <v>106205</v>
      </c>
      <c r="AE14" s="323">
        <v>182882</v>
      </c>
    </row>
    <row r="15" spans="1:46" s="319" customFormat="1" ht="20.25" thickBot="1">
      <c r="B15" s="746"/>
      <c r="C15" s="727"/>
      <c r="D15" s="727"/>
      <c r="E15" s="747"/>
      <c r="F15" s="334" t="s">
        <v>239</v>
      </c>
      <c r="G15" s="334" t="s">
        <v>241</v>
      </c>
      <c r="H15" s="335">
        <v>46160</v>
      </c>
      <c r="I15" s="336">
        <v>0</v>
      </c>
      <c r="J15" s="335">
        <v>0</v>
      </c>
      <c r="K15" s="335"/>
      <c r="L15" s="335">
        <v>0</v>
      </c>
      <c r="M15" s="335">
        <v>0</v>
      </c>
      <c r="N15" s="335">
        <v>0</v>
      </c>
      <c r="O15" s="335">
        <v>0</v>
      </c>
      <c r="P15" s="335"/>
      <c r="Q15" s="335"/>
      <c r="R15" s="335">
        <v>0</v>
      </c>
      <c r="S15" s="335">
        <v>9505</v>
      </c>
      <c r="T15" s="335">
        <v>0</v>
      </c>
      <c r="U15" s="335">
        <v>0</v>
      </c>
      <c r="V15" s="335">
        <v>19117</v>
      </c>
      <c r="W15" s="335">
        <v>11470</v>
      </c>
      <c r="X15" s="335">
        <v>15755</v>
      </c>
      <c r="Y15" s="335">
        <v>0</v>
      </c>
      <c r="Z15" s="335">
        <f>T15+V15-X15</f>
        <v>3362</v>
      </c>
      <c r="AA15" s="335">
        <f t="shared" si="1"/>
        <v>11470</v>
      </c>
      <c r="AB15" s="335">
        <v>0</v>
      </c>
      <c r="AC15" s="335">
        <v>0</v>
      </c>
      <c r="AD15" s="335">
        <f t="shared" si="2"/>
        <v>0</v>
      </c>
      <c r="AE15" s="337">
        <v>0</v>
      </c>
      <c r="AI15" s="306"/>
      <c r="AJ15" s="306"/>
      <c r="AK15" s="306"/>
      <c r="AL15" s="306"/>
      <c r="AM15" s="306"/>
      <c r="AN15" s="306"/>
      <c r="AO15" s="306"/>
      <c r="AP15" s="508"/>
      <c r="AQ15" s="508"/>
      <c r="AR15" s="508"/>
      <c r="AS15" s="508"/>
      <c r="AT15" s="508"/>
    </row>
    <row r="16" spans="1:46" ht="20.25" thickBot="1">
      <c r="B16" s="748" t="s">
        <v>12</v>
      </c>
      <c r="C16" s="749"/>
      <c r="D16" s="749"/>
      <c r="E16" s="338">
        <f>SUM(E8:E15)</f>
        <v>7402062</v>
      </c>
      <c r="F16" s="339"/>
      <c r="G16" s="339"/>
      <c r="H16" s="338">
        <f>SUM(H8:H15)</f>
        <v>1356121</v>
      </c>
      <c r="I16" s="338">
        <f>SUM(I8:I15)</f>
        <v>6440390</v>
      </c>
      <c r="J16" s="338">
        <f>SUM(J8:J15)</f>
        <v>597342</v>
      </c>
      <c r="K16" s="338">
        <f>SUM(K8:K15)</f>
        <v>0</v>
      </c>
      <c r="L16" s="338">
        <f t="shared" ref="L16:AE16" si="3">SUM(L8:L15)</f>
        <v>0</v>
      </c>
      <c r="M16" s="338">
        <f t="shared" si="3"/>
        <v>632</v>
      </c>
      <c r="N16" s="338">
        <f t="shared" si="3"/>
        <v>4488</v>
      </c>
      <c r="O16" s="338">
        <f t="shared" si="3"/>
        <v>21348</v>
      </c>
      <c r="P16" s="338">
        <f t="shared" si="3"/>
        <v>623810</v>
      </c>
      <c r="Q16" s="338">
        <f t="shared" si="3"/>
        <v>0</v>
      </c>
      <c r="R16" s="338">
        <f t="shared" si="3"/>
        <v>41807</v>
      </c>
      <c r="S16" s="338">
        <f t="shared" si="3"/>
        <v>98636</v>
      </c>
      <c r="T16" s="338">
        <f t="shared" si="3"/>
        <v>277577.32500000001</v>
      </c>
      <c r="U16" s="338">
        <f t="shared" si="3"/>
        <v>166291.61249999999</v>
      </c>
      <c r="V16" s="338">
        <f t="shared" si="3"/>
        <v>608713</v>
      </c>
      <c r="W16" s="338">
        <f t="shared" si="3"/>
        <v>356083</v>
      </c>
      <c r="X16" s="338">
        <f t="shared" si="3"/>
        <v>429144</v>
      </c>
      <c r="Y16" s="338">
        <f t="shared" si="3"/>
        <v>207000</v>
      </c>
      <c r="Z16" s="338">
        <f t="shared" si="3"/>
        <v>457146.32500000001</v>
      </c>
      <c r="AA16" s="338">
        <f t="shared" si="3"/>
        <v>315374.61250000005</v>
      </c>
      <c r="AB16" s="338">
        <f t="shared" si="3"/>
        <v>598590</v>
      </c>
      <c r="AC16" s="338">
        <f t="shared" si="3"/>
        <v>131</v>
      </c>
      <c r="AD16" s="338">
        <f t="shared" si="3"/>
        <v>598721</v>
      </c>
      <c r="AE16" s="340">
        <f t="shared" si="3"/>
        <v>460556</v>
      </c>
      <c r="AP16" s="509"/>
      <c r="AQ16" s="509"/>
      <c r="AR16" s="509"/>
      <c r="AS16" s="509"/>
      <c r="AT16" s="509"/>
    </row>
    <row r="21" spans="2:47" ht="20.25" thickBot="1"/>
    <row r="22" spans="2:47" ht="46.5" customHeight="1" thickBot="1">
      <c r="B22" s="469" t="s">
        <v>11</v>
      </c>
      <c r="C22" s="470" t="s">
        <v>222</v>
      </c>
      <c r="D22" s="470" t="s">
        <v>301</v>
      </c>
      <c r="E22" s="470" t="s">
        <v>235</v>
      </c>
      <c r="F22" s="470" t="s">
        <v>256</v>
      </c>
      <c r="G22" s="471" t="s">
        <v>12</v>
      </c>
    </row>
    <row r="23" spans="2:47">
      <c r="B23" s="750">
        <v>1</v>
      </c>
      <c r="C23" s="736" t="s">
        <v>236</v>
      </c>
      <c r="D23" s="757">
        <v>-1496</v>
      </c>
      <c r="E23" s="757">
        <v>17264</v>
      </c>
      <c r="F23" s="757">
        <v>-15150</v>
      </c>
      <c r="G23" s="753">
        <f>SUM(D23:F24)</f>
        <v>618</v>
      </c>
    </row>
    <row r="24" spans="2:47">
      <c r="B24" s="734"/>
      <c r="C24" s="751"/>
      <c r="D24" s="758"/>
      <c r="E24" s="758"/>
      <c r="F24" s="758"/>
      <c r="G24" s="754"/>
    </row>
    <row r="25" spans="2:47" ht="20.25" thickBot="1">
      <c r="B25" s="741">
        <v>2</v>
      </c>
      <c r="C25" s="725" t="s">
        <v>240</v>
      </c>
      <c r="D25" s="755">
        <v>41152</v>
      </c>
      <c r="E25" s="755">
        <v>66023</v>
      </c>
      <c r="F25" s="755">
        <v>-23757</v>
      </c>
      <c r="G25" s="756">
        <f t="shared" ref="G25" si="4">SUM(D25:F26)</f>
        <v>83418</v>
      </c>
    </row>
    <row r="26" spans="2:47">
      <c r="B26" s="741"/>
      <c r="C26" s="725"/>
      <c r="D26" s="755"/>
      <c r="E26" s="755"/>
      <c r="F26" s="755"/>
      <c r="G26" s="756"/>
      <c r="AJ26" s="739" t="s">
        <v>206</v>
      </c>
      <c r="AK26" s="740"/>
      <c r="AL26" s="740"/>
      <c r="AM26" s="740" t="s">
        <v>316</v>
      </c>
      <c r="AN26" s="740"/>
      <c r="AO26" s="740"/>
      <c r="AP26" s="740"/>
      <c r="AQ26" s="740" t="s">
        <v>320</v>
      </c>
      <c r="AR26" s="740"/>
      <c r="AS26" s="740"/>
      <c r="AT26" s="740"/>
      <c r="AU26" s="773"/>
    </row>
    <row r="27" spans="2:47" ht="39.75" thickBot="1">
      <c r="B27" s="729">
        <v>3</v>
      </c>
      <c r="C27" s="752" t="s">
        <v>242</v>
      </c>
      <c r="D27" s="765">
        <v>-2619</v>
      </c>
      <c r="E27" s="765">
        <v>19380</v>
      </c>
      <c r="F27" s="765">
        <v>78615</v>
      </c>
      <c r="G27" s="762">
        <f t="shared" ref="G27" si="5">SUM(D27:F28)</f>
        <v>95376</v>
      </c>
      <c r="AJ27" s="513" t="s">
        <v>11</v>
      </c>
      <c r="AK27" s="514" t="s">
        <v>222</v>
      </c>
      <c r="AL27" s="514" t="s">
        <v>224</v>
      </c>
      <c r="AM27" s="514" t="s">
        <v>221</v>
      </c>
      <c r="AN27" s="514" t="s">
        <v>225</v>
      </c>
      <c r="AO27" s="514" t="s">
        <v>226</v>
      </c>
      <c r="AP27" s="514" t="s">
        <v>317</v>
      </c>
      <c r="AQ27" s="514" t="s">
        <v>255</v>
      </c>
      <c r="AR27" s="514" t="s">
        <v>235</v>
      </c>
      <c r="AS27" s="514" t="s">
        <v>256</v>
      </c>
      <c r="AT27" s="514" t="s">
        <v>318</v>
      </c>
      <c r="AU27" s="515" t="s">
        <v>319</v>
      </c>
    </row>
    <row r="28" spans="2:47" ht="20.100000000000001" customHeight="1">
      <c r="B28" s="729"/>
      <c r="C28" s="752"/>
      <c r="D28" s="765"/>
      <c r="E28" s="765"/>
      <c r="F28" s="765"/>
      <c r="G28" s="762"/>
      <c r="AJ28" s="750">
        <v>1</v>
      </c>
      <c r="AK28" s="736" t="s">
        <v>236</v>
      </c>
      <c r="AL28" s="738">
        <v>1744657</v>
      </c>
      <c r="AM28" s="505" t="s">
        <v>321</v>
      </c>
      <c r="AN28" s="505" t="s">
        <v>298</v>
      </c>
      <c r="AO28" s="512">
        <v>176810</v>
      </c>
      <c r="AP28" s="766">
        <f>SUM(AO28:AO29)</f>
        <v>233333</v>
      </c>
      <c r="AQ28" s="766">
        <v>-7485</v>
      </c>
      <c r="AR28" s="766">
        <v>736</v>
      </c>
      <c r="AS28" s="766">
        <v>-13923</v>
      </c>
      <c r="AT28" s="766">
        <v>41264</v>
      </c>
      <c r="AU28" s="774">
        <f>SUM(AQ28:AT29)</f>
        <v>20592</v>
      </c>
    </row>
    <row r="29" spans="2:47" ht="20.100000000000001" customHeight="1">
      <c r="B29" s="741">
        <v>4</v>
      </c>
      <c r="C29" s="725" t="s">
        <v>243</v>
      </c>
      <c r="D29" s="755">
        <v>18890</v>
      </c>
      <c r="E29" s="755">
        <v>34616</v>
      </c>
      <c r="F29" s="755">
        <v>10333</v>
      </c>
      <c r="G29" s="756">
        <f t="shared" ref="G29" si="6">SUM(D29:F30)</f>
        <v>63839</v>
      </c>
      <c r="AJ29" s="734"/>
      <c r="AK29" s="751"/>
      <c r="AL29" s="772"/>
      <c r="AM29" s="316" t="s">
        <v>322</v>
      </c>
      <c r="AN29" s="316" t="s">
        <v>241</v>
      </c>
      <c r="AO29" s="317">
        <v>56523</v>
      </c>
      <c r="AP29" s="767"/>
      <c r="AQ29" s="767"/>
      <c r="AR29" s="767"/>
      <c r="AS29" s="767"/>
      <c r="AT29" s="767"/>
      <c r="AU29" s="775"/>
    </row>
    <row r="30" spans="2:47" ht="20.100000000000001" customHeight="1" thickBot="1">
      <c r="B30" s="746"/>
      <c r="C30" s="726"/>
      <c r="D30" s="763"/>
      <c r="E30" s="763"/>
      <c r="F30" s="763"/>
      <c r="G30" s="764"/>
      <c r="AJ30" s="741">
        <v>2</v>
      </c>
      <c r="AK30" s="725" t="s">
        <v>240</v>
      </c>
      <c r="AL30" s="759">
        <v>1870373</v>
      </c>
      <c r="AM30" s="504" t="s">
        <v>323</v>
      </c>
      <c r="AN30" s="504" t="s">
        <v>241</v>
      </c>
      <c r="AO30" s="321">
        <v>319369</v>
      </c>
      <c r="AP30" s="759">
        <f>SUM(AO30:AO31)</f>
        <v>464148</v>
      </c>
      <c r="AQ30" s="759">
        <v>37540</v>
      </c>
      <c r="AR30" s="759">
        <v>68247</v>
      </c>
      <c r="AS30" s="759">
        <v>-20052</v>
      </c>
      <c r="AT30" s="759">
        <v>37000</v>
      </c>
      <c r="AU30" s="776">
        <f t="shared" ref="AU30" si="7">SUM(AQ30:AT31)</f>
        <v>122735</v>
      </c>
    </row>
    <row r="31" spans="2:47" ht="20.100000000000001" customHeight="1" thickBot="1">
      <c r="B31" s="760" t="s">
        <v>198</v>
      </c>
      <c r="C31" s="761"/>
      <c r="D31" s="472">
        <f>SUM(D23:D30)</f>
        <v>55927</v>
      </c>
      <c r="E31" s="472">
        <f t="shared" ref="E31:F31" si="8">SUM(E23:E30)</f>
        <v>137283</v>
      </c>
      <c r="F31" s="472">
        <f t="shared" si="8"/>
        <v>50041</v>
      </c>
      <c r="G31" s="473">
        <f>SUM(G23:G30)</f>
        <v>243251</v>
      </c>
      <c r="AJ31" s="741"/>
      <c r="AK31" s="725"/>
      <c r="AL31" s="759"/>
      <c r="AM31" s="324" t="s">
        <v>324</v>
      </c>
      <c r="AN31" s="324" t="s">
        <v>241</v>
      </c>
      <c r="AO31" s="325">
        <v>144779</v>
      </c>
      <c r="AP31" s="759"/>
      <c r="AQ31" s="759"/>
      <c r="AR31" s="759"/>
      <c r="AS31" s="759"/>
      <c r="AT31" s="759"/>
      <c r="AU31" s="776"/>
    </row>
    <row r="32" spans="2:47" ht="20.100000000000001" customHeight="1">
      <c r="AJ32" s="729">
        <v>3</v>
      </c>
      <c r="AK32" s="752" t="s">
        <v>242</v>
      </c>
      <c r="AL32" s="768">
        <v>1917032</v>
      </c>
      <c r="AM32" s="506" t="s">
        <v>325</v>
      </c>
      <c r="AN32" s="506" t="s">
        <v>299</v>
      </c>
      <c r="AO32" s="328">
        <v>369528</v>
      </c>
      <c r="AP32" s="768">
        <f>SUM(AO32:AO33)</f>
        <v>527475</v>
      </c>
      <c r="AQ32" s="768">
        <v>-1396</v>
      </c>
      <c r="AR32" s="768">
        <v>25623</v>
      </c>
      <c r="AS32" s="768">
        <v>89019</v>
      </c>
      <c r="AT32" s="768">
        <v>20000</v>
      </c>
      <c r="AU32" s="777">
        <f t="shared" ref="AU32" si="9">SUM(AQ32:AT33)</f>
        <v>133246</v>
      </c>
    </row>
    <row r="33" spans="36:47" ht="20.100000000000001" customHeight="1">
      <c r="AJ33" s="729"/>
      <c r="AK33" s="752"/>
      <c r="AL33" s="768"/>
      <c r="AM33" s="331" t="s">
        <v>326</v>
      </c>
      <c r="AN33" s="331" t="s">
        <v>241</v>
      </c>
      <c r="AO33" s="332">
        <v>157947</v>
      </c>
      <c r="AP33" s="768"/>
      <c r="AQ33" s="768"/>
      <c r="AR33" s="768"/>
      <c r="AS33" s="768"/>
      <c r="AT33" s="768"/>
      <c r="AU33" s="777"/>
    </row>
    <row r="34" spans="36:47" ht="20.100000000000001" customHeight="1">
      <c r="AJ34" s="741">
        <v>4</v>
      </c>
      <c r="AK34" s="725" t="s">
        <v>243</v>
      </c>
      <c r="AL34" s="759">
        <v>1870000</v>
      </c>
      <c r="AM34" s="504" t="s">
        <v>323</v>
      </c>
      <c r="AN34" s="504" t="s">
        <v>299</v>
      </c>
      <c r="AO34" s="321">
        <v>119086</v>
      </c>
      <c r="AP34" s="759">
        <f t="shared" ref="AP34" si="10">SUM(AO34:AO35)</f>
        <v>165246</v>
      </c>
      <c r="AQ34" s="759">
        <v>18890</v>
      </c>
      <c r="AR34" s="759">
        <v>34616</v>
      </c>
      <c r="AS34" s="759">
        <v>10333</v>
      </c>
      <c r="AT34" s="778">
        <v>0</v>
      </c>
      <c r="AU34" s="776">
        <f t="shared" ref="AU34" si="11">SUM(AQ34:AT35)</f>
        <v>63839</v>
      </c>
    </row>
    <row r="35" spans="36:47" ht="20.100000000000001" customHeight="1" thickBot="1">
      <c r="AJ35" s="770"/>
      <c r="AK35" s="771"/>
      <c r="AL35" s="769"/>
      <c r="AM35" s="510" t="s">
        <v>327</v>
      </c>
      <c r="AN35" s="510" t="s">
        <v>241</v>
      </c>
      <c r="AO35" s="511">
        <v>46160</v>
      </c>
      <c r="AP35" s="769"/>
      <c r="AQ35" s="769"/>
      <c r="AR35" s="769"/>
      <c r="AS35" s="769"/>
      <c r="AT35" s="779"/>
      <c r="AU35" s="780"/>
    </row>
    <row r="36" spans="36:47" ht="20.25" thickBot="1">
      <c r="AJ36" s="748" t="s">
        <v>12</v>
      </c>
      <c r="AK36" s="749"/>
      <c r="AL36" s="338">
        <f>SUM(AL28:AL35)</f>
        <v>7402062</v>
      </c>
      <c r="AM36" s="339"/>
      <c r="AN36" s="339"/>
      <c r="AO36" s="338">
        <f>SUM(AO28:AO35)</f>
        <v>1390202</v>
      </c>
      <c r="AP36" s="338">
        <f>SUM(AP28:AP35)</f>
        <v>1390202</v>
      </c>
      <c r="AQ36" s="338">
        <f t="shared" ref="AQ36:AU36" si="12">SUM(AQ28:AQ35)</f>
        <v>47549</v>
      </c>
      <c r="AR36" s="338">
        <f t="shared" si="12"/>
        <v>129222</v>
      </c>
      <c r="AS36" s="338">
        <f t="shared" si="12"/>
        <v>65377</v>
      </c>
      <c r="AT36" s="338">
        <f t="shared" si="12"/>
        <v>98264</v>
      </c>
      <c r="AU36" s="340">
        <f t="shared" si="12"/>
        <v>340412</v>
      </c>
    </row>
  </sheetData>
  <mergeCells count="100">
    <mergeCell ref="AQ34:AQ35"/>
    <mergeCell ref="AR34:AR35"/>
    <mergeCell ref="AS34:AS35"/>
    <mergeCell ref="AT34:AT35"/>
    <mergeCell ref="AU34:AU35"/>
    <mergeCell ref="AQ32:AQ33"/>
    <mergeCell ref="AR32:AR33"/>
    <mergeCell ref="AS32:AS33"/>
    <mergeCell ref="AT32:AT33"/>
    <mergeCell ref="AU32:AU33"/>
    <mergeCell ref="AQ30:AQ31"/>
    <mergeCell ref="AR30:AR31"/>
    <mergeCell ref="AS30:AS31"/>
    <mergeCell ref="AT30:AT31"/>
    <mergeCell ref="AU30:AU31"/>
    <mergeCell ref="AQ26:AU26"/>
    <mergeCell ref="AQ28:AQ29"/>
    <mergeCell ref="AR28:AR29"/>
    <mergeCell ref="AS28:AS29"/>
    <mergeCell ref="AT28:AT29"/>
    <mergeCell ref="AU28:AU29"/>
    <mergeCell ref="AJ36:AK36"/>
    <mergeCell ref="AP28:AP29"/>
    <mergeCell ref="AP30:AP31"/>
    <mergeCell ref="AP32:AP33"/>
    <mergeCell ref="AP34:AP35"/>
    <mergeCell ref="AJ32:AJ33"/>
    <mergeCell ref="AK32:AK33"/>
    <mergeCell ref="AL32:AL33"/>
    <mergeCell ref="AJ34:AJ35"/>
    <mergeCell ref="AK34:AK35"/>
    <mergeCell ref="AL34:AL35"/>
    <mergeCell ref="AJ28:AJ29"/>
    <mergeCell ref="AK28:AK29"/>
    <mergeCell ref="AL28:AL29"/>
    <mergeCell ref="AJ30:AJ31"/>
    <mergeCell ref="AK30:AK31"/>
    <mergeCell ref="AL30:AL31"/>
    <mergeCell ref="AJ26:AL26"/>
    <mergeCell ref="AM26:AP26"/>
    <mergeCell ref="B31:C31"/>
    <mergeCell ref="G27:G28"/>
    <mergeCell ref="D29:D30"/>
    <mergeCell ref="E29:E30"/>
    <mergeCell ref="F29:F30"/>
    <mergeCell ref="G29:G30"/>
    <mergeCell ref="B29:B30"/>
    <mergeCell ref="C29:C30"/>
    <mergeCell ref="D27:D28"/>
    <mergeCell ref="E27:E28"/>
    <mergeCell ref="F27:F28"/>
    <mergeCell ref="G23:G24"/>
    <mergeCell ref="D25:D26"/>
    <mergeCell ref="E25:E26"/>
    <mergeCell ref="F25:F26"/>
    <mergeCell ref="G25:G26"/>
    <mergeCell ref="D23:D24"/>
    <mergeCell ref="E23:E24"/>
    <mergeCell ref="F23:F24"/>
    <mergeCell ref="B23:B24"/>
    <mergeCell ref="C23:C24"/>
    <mergeCell ref="B25:B26"/>
    <mergeCell ref="C25:C26"/>
    <mergeCell ref="B27:B28"/>
    <mergeCell ref="C27:C28"/>
    <mergeCell ref="B14:B15"/>
    <mergeCell ref="C14:C15"/>
    <mergeCell ref="D14:D15"/>
    <mergeCell ref="E14:E15"/>
    <mergeCell ref="B16:D16"/>
    <mergeCell ref="B1:H3"/>
    <mergeCell ref="B10:B11"/>
    <mergeCell ref="C10:C11"/>
    <mergeCell ref="D10:D11"/>
    <mergeCell ref="E10:E11"/>
    <mergeCell ref="B12:B13"/>
    <mergeCell ref="C12:C13"/>
    <mergeCell ref="D12:D13"/>
    <mergeCell ref="E12:E13"/>
    <mergeCell ref="V6:W6"/>
    <mergeCell ref="B8:B9"/>
    <mergeCell ref="C8:C9"/>
    <mergeCell ref="D8:D9"/>
    <mergeCell ref="E8:E9"/>
    <mergeCell ref="B4:E6"/>
    <mergeCell ref="F4:H6"/>
    <mergeCell ref="I4:I7"/>
    <mergeCell ref="J4:P6"/>
    <mergeCell ref="Q4:Q7"/>
    <mergeCell ref="R4:S6"/>
    <mergeCell ref="T4:AA4"/>
    <mergeCell ref="AB4:AD4"/>
    <mergeCell ref="AE4:AE7"/>
    <mergeCell ref="T5:W5"/>
    <mergeCell ref="X5:Y6"/>
    <mergeCell ref="Z5:AA6"/>
    <mergeCell ref="AB5:AB7"/>
    <mergeCell ref="AC5:AC7"/>
    <mergeCell ref="AD5:AD7"/>
    <mergeCell ref="T6:U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4:G25"/>
  <sheetViews>
    <sheetView showGridLines="0" rightToLeft="1" topLeftCell="A3" zoomScale="70" zoomScaleNormal="70" workbookViewId="0">
      <selection activeCell="E6" sqref="E6"/>
    </sheetView>
  </sheetViews>
  <sheetFormatPr defaultRowHeight="15"/>
  <cols>
    <col min="1" max="1" width="3.5703125" customWidth="1"/>
    <col min="2" max="2" width="5.42578125" bestFit="1" customWidth="1"/>
    <col min="3" max="3" width="9.85546875" bestFit="1" customWidth="1"/>
    <col min="4" max="4" width="23.42578125" customWidth="1"/>
    <col min="5" max="6" width="24.28515625" customWidth="1"/>
    <col min="7" max="7" width="17" bestFit="1" customWidth="1"/>
    <col min="9" max="13" width="15.7109375" customWidth="1"/>
  </cols>
  <sheetData>
    <row r="4" spans="2:7" ht="15.75" thickBot="1"/>
    <row r="5" spans="2:7" ht="68.25" customHeight="1" thickTop="1" thickBot="1">
      <c r="B5" s="349" t="s">
        <v>244</v>
      </c>
      <c r="C5" s="350" t="s">
        <v>245</v>
      </c>
      <c r="D5" s="351" t="s">
        <v>247</v>
      </c>
      <c r="E5" s="351" t="s">
        <v>248</v>
      </c>
      <c r="F5" s="351" t="s">
        <v>265</v>
      </c>
      <c r="G5" s="352" t="s">
        <v>246</v>
      </c>
    </row>
    <row r="6" spans="2:7" ht="18.75" thickTop="1">
      <c r="B6" s="361">
        <v>1</v>
      </c>
      <c r="C6" s="362" t="s">
        <v>255</v>
      </c>
      <c r="D6" s="363">
        <f>'وضعیت مطالبات پیمانکاران'!P16+'وضعیت مطالبات پیمانکاران'!R16+'وضعیت مطالبات پیمانکاران'!S16</f>
        <v>764253</v>
      </c>
      <c r="E6" s="363">
        <f>'وضعیت مطالبات پیمانکاران'!P16</f>
        <v>623810</v>
      </c>
      <c r="F6" s="418">
        <f>E6/D6</f>
        <v>0.816234937906688</v>
      </c>
      <c r="G6" s="364">
        <f>D6-E6</f>
        <v>140443</v>
      </c>
    </row>
    <row r="7" spans="2:7" ht="18">
      <c r="B7" s="365">
        <v>2</v>
      </c>
      <c r="C7" s="366" t="s">
        <v>235</v>
      </c>
      <c r="D7" s="363">
        <f>'وضعیت مطالبات پیمانکاران'!U16+'وضعیت مطالبات پیمانکاران'!W16</f>
        <v>522374.61249999999</v>
      </c>
      <c r="E7" s="363">
        <f>'وضعیت مطالبات پیمانکاران'!Y16</f>
        <v>207000</v>
      </c>
      <c r="F7" s="418">
        <f>E7/D7</f>
        <v>0.39626734348618448</v>
      </c>
      <c r="G7" s="364">
        <f>D7-E7</f>
        <v>315374.61249999999</v>
      </c>
    </row>
    <row r="8" spans="2:7" ht="18.75" thickBot="1">
      <c r="B8" s="367">
        <v>3</v>
      </c>
      <c r="C8" s="366" t="s">
        <v>256</v>
      </c>
      <c r="D8" s="363">
        <f>'وضعیت مطالبات پیمانکاران'!T16+'وضعیت مطالبات پیمانکاران'!V16</f>
        <v>886290.32499999995</v>
      </c>
      <c r="E8" s="363">
        <f>'وضعیت مطالبات پیمانکاران'!X16</f>
        <v>429144</v>
      </c>
      <c r="F8" s="418">
        <f>E8/D8</f>
        <v>0.48420251005222248</v>
      </c>
      <c r="G8" s="364">
        <f>D8-E8</f>
        <v>457146.32499999995</v>
      </c>
    </row>
    <row r="9" spans="2:7" ht="21" thickTop="1" thickBot="1">
      <c r="B9" s="781" t="s">
        <v>249</v>
      </c>
      <c r="C9" s="782"/>
      <c r="D9" s="356">
        <f>SUM(D6:D8)</f>
        <v>2172917.9375</v>
      </c>
      <c r="E9" s="356">
        <f>SUM(E6:E8)</f>
        <v>1259954</v>
      </c>
      <c r="F9" s="419">
        <f>E9/D9</f>
        <v>0.57984426298657676</v>
      </c>
      <c r="G9" s="357">
        <f>D9-E9</f>
        <v>912963.9375</v>
      </c>
    </row>
    <row r="10" spans="2:7" ht="15.75" thickTop="1"/>
    <row r="11" spans="2:7" ht="15.75" thickBot="1"/>
    <row r="12" spans="2:7" ht="23.25" thickBot="1">
      <c r="B12" s="783" t="s">
        <v>217</v>
      </c>
      <c r="C12" s="784"/>
      <c r="D12" s="784"/>
      <c r="E12" s="784"/>
      <c r="F12" s="785"/>
    </row>
    <row r="13" spans="2:7" ht="20.25" thickBot="1">
      <c r="B13" s="353" t="s">
        <v>196</v>
      </c>
      <c r="C13" s="354" t="s">
        <v>255</v>
      </c>
      <c r="D13" s="354" t="s">
        <v>235</v>
      </c>
      <c r="E13" s="354" t="s">
        <v>256</v>
      </c>
      <c r="F13" s="355" t="s">
        <v>250</v>
      </c>
    </row>
    <row r="14" spans="2:7" ht="18">
      <c r="B14" s="341" t="s">
        <v>69</v>
      </c>
      <c r="C14" s="343">
        <f>SUM('وضعیت مطالبات پیمانکاران'!R8:S9)</f>
        <v>2358</v>
      </c>
      <c r="D14" s="343">
        <f>SUM('وضعیت مطالبات پیمانکاران'!AA8:AA9)</f>
        <v>39426</v>
      </c>
      <c r="E14" s="343">
        <f>SUM('وضعیت مطالبات پیمانکاران'!Z8:Z9)</f>
        <v>93130.637500000012</v>
      </c>
      <c r="F14" s="344">
        <f>SUM(C14:E14)</f>
        <v>134914.63750000001</v>
      </c>
    </row>
    <row r="15" spans="2:7" ht="18">
      <c r="B15" s="299" t="s">
        <v>70</v>
      </c>
      <c r="C15" s="345">
        <f>SUM('وضعیت مطالبات پیمانکاران'!R10:S11)</f>
        <v>44368</v>
      </c>
      <c r="D15" s="345">
        <f>SUM('وضعیت مطالبات پیمانکاران'!AA10:AA11)</f>
        <v>145106.39250000002</v>
      </c>
      <c r="E15" s="345">
        <f>SUM('وضعیت مطالبات پیمانکاران'!Z10:Z11)</f>
        <v>89392.987499999988</v>
      </c>
      <c r="F15" s="346">
        <f t="shared" ref="F15:F17" si="0">SUM(C15:E15)</f>
        <v>278867.38</v>
      </c>
    </row>
    <row r="16" spans="2:7" ht="18">
      <c r="B16" s="299" t="s">
        <v>71</v>
      </c>
      <c r="C16" s="345">
        <f>SUM('وضعیت مطالبات پیمانکاران'!R12:S13)</f>
        <v>34866</v>
      </c>
      <c r="D16" s="345">
        <f>SUM('وضعیت مطالبات پیمانکاران'!AA12:AA13)</f>
        <v>58333.22</v>
      </c>
      <c r="E16" s="345">
        <f>SUM('وضعیت مطالبات پیمانکاران'!Z12:Z13)</f>
        <v>201135.7</v>
      </c>
      <c r="F16" s="346">
        <f t="shared" si="0"/>
        <v>294334.92000000004</v>
      </c>
    </row>
    <row r="17" spans="2:7" ht="18.75" thickBot="1">
      <c r="B17" s="342" t="s">
        <v>72</v>
      </c>
      <c r="C17" s="347">
        <f>SUM('وضعیت مطالبات پیمانکاران'!R14:S15)</f>
        <v>58851</v>
      </c>
      <c r="D17" s="347">
        <f>SUM('وضعیت مطالبات پیمانکاران'!AA14:AA15)</f>
        <v>72509</v>
      </c>
      <c r="E17" s="347">
        <f>SUM('وضعیت مطالبات پیمانکاران'!Z14:Z15)</f>
        <v>73487</v>
      </c>
      <c r="F17" s="348">
        <f t="shared" si="0"/>
        <v>204847</v>
      </c>
    </row>
    <row r="18" spans="2:7" ht="18.75" thickBot="1">
      <c r="B18" s="358" t="s">
        <v>198</v>
      </c>
      <c r="C18" s="359">
        <f>SUM(C14:C17)</f>
        <v>140443</v>
      </c>
      <c r="D18" s="359">
        <f>SUM(D14:D17)</f>
        <v>315374.61250000005</v>
      </c>
      <c r="E18" s="359">
        <f>SUM(E14:E17)</f>
        <v>457146.32500000001</v>
      </c>
      <c r="F18" s="360">
        <f>SUM(F14:F17)</f>
        <v>912963.9375</v>
      </c>
    </row>
    <row r="19" spans="2:7" ht="15.75" thickBot="1"/>
    <row r="20" spans="2:7" ht="23.25" thickBot="1">
      <c r="B20" s="786" t="s">
        <v>251</v>
      </c>
      <c r="C20" s="787"/>
      <c r="D20" s="787"/>
      <c r="E20" s="788"/>
      <c r="G20" s="373"/>
    </row>
    <row r="21" spans="2:7" ht="19.5">
      <c r="B21" s="374" t="s">
        <v>196</v>
      </c>
      <c r="C21" s="375" t="s">
        <v>252</v>
      </c>
      <c r="D21" s="375" t="s">
        <v>253</v>
      </c>
      <c r="E21" s="376" t="s">
        <v>254</v>
      </c>
    </row>
    <row r="22" spans="2:7" ht="18">
      <c r="B22" s="299" t="s">
        <v>69</v>
      </c>
      <c r="C22" s="115">
        <f>C14/$C$18</f>
        <v>1.6789729641206754E-2</v>
      </c>
      <c r="D22" s="377">
        <f>D14/$D$18</f>
        <v>0.12501323327032227</v>
      </c>
      <c r="E22" s="370">
        <f>E14/$E$18</f>
        <v>0.20372172411098352</v>
      </c>
    </row>
    <row r="23" spans="2:7" ht="18">
      <c r="B23" s="299" t="s">
        <v>70</v>
      </c>
      <c r="C23" s="115">
        <f>C15/$C$18</f>
        <v>0.31591464152716758</v>
      </c>
      <c r="D23" s="377">
        <f>D15/$D$18</f>
        <v>0.46010803263373012</v>
      </c>
      <c r="E23" s="370">
        <f>E15/$E$18</f>
        <v>0.19554567675896767</v>
      </c>
    </row>
    <row r="24" spans="2:7" ht="18">
      <c r="B24" s="299" t="s">
        <v>71</v>
      </c>
      <c r="C24" s="115">
        <f>C16/$C$18</f>
        <v>0.24825730011463726</v>
      </c>
      <c r="D24" s="377">
        <f>D16/$D$18</f>
        <v>0.18496485667501214</v>
      </c>
      <c r="E24" s="370">
        <f>E16/$E$18</f>
        <v>0.43998100608158669</v>
      </c>
    </row>
    <row r="25" spans="2:7" ht="18.75" thickBot="1">
      <c r="B25" s="342" t="s">
        <v>72</v>
      </c>
      <c r="C25" s="371">
        <f>C17/$C$18</f>
        <v>0.41903832871698837</v>
      </c>
      <c r="D25" s="378">
        <f>D17/$D$18</f>
        <v>0.22991387742093536</v>
      </c>
      <c r="E25" s="372">
        <f>E17/$E$18</f>
        <v>0.16075159304846209</v>
      </c>
    </row>
  </sheetData>
  <mergeCells count="3">
    <mergeCell ref="B9:C9"/>
    <mergeCell ref="B12:F12"/>
    <mergeCell ref="B20:E20"/>
  </mergeCells>
  <pageMargins left="0.7" right="0.7" top="0.75" bottom="0.75" header="0.3" footer="0.3"/>
  <pageSetup scale="3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3:X21"/>
  <sheetViews>
    <sheetView showGridLines="0" rightToLeft="1" zoomScaleNormal="100" zoomScaleSheetLayoutView="130" workbookViewId="0">
      <selection activeCell="V14" sqref="V14"/>
    </sheetView>
  </sheetViews>
  <sheetFormatPr defaultColWidth="10" defaultRowHeight="18"/>
  <cols>
    <col min="1" max="3" width="10" style="420"/>
    <col min="4" max="4" width="17" style="420" customWidth="1"/>
    <col min="5" max="6" width="10.28515625" style="420" bestFit="1" customWidth="1"/>
    <col min="7" max="7" width="8.28515625" style="420" bestFit="1" customWidth="1"/>
    <col min="8" max="8" width="8" style="420" customWidth="1"/>
    <col min="9" max="15" width="6.42578125" style="420" customWidth="1"/>
    <col min="16" max="16" width="11" style="420" bestFit="1" customWidth="1"/>
    <col min="17" max="18" width="12.140625" style="420" customWidth="1"/>
    <col min="19" max="20" width="10" style="420"/>
    <col min="21" max="21" width="16.85546875" style="420" customWidth="1"/>
    <col min="22" max="22" width="18.7109375" style="420" customWidth="1"/>
    <col min="23" max="24" width="15" style="420" customWidth="1"/>
    <col min="25" max="16384" width="10" style="420"/>
  </cols>
  <sheetData>
    <row r="3" spans="4:24" ht="19.5" customHeight="1">
      <c r="D3" s="659" t="s">
        <v>196</v>
      </c>
      <c r="E3" s="659" t="s">
        <v>266</v>
      </c>
      <c r="F3" s="659" t="s">
        <v>458</v>
      </c>
      <c r="G3" s="659"/>
      <c r="H3" s="659" t="s">
        <v>459</v>
      </c>
      <c r="I3" s="659"/>
      <c r="J3" s="659" t="s">
        <v>462</v>
      </c>
      <c r="K3" s="659"/>
      <c r="L3" s="659" t="s">
        <v>466</v>
      </c>
      <c r="M3" s="659"/>
      <c r="N3" s="659" t="s">
        <v>468</v>
      </c>
      <c r="O3" s="659"/>
      <c r="P3" s="659" t="s">
        <v>479</v>
      </c>
      <c r="Q3" s="659"/>
    </row>
    <row r="4" spans="4:24" ht="57.75" customHeight="1">
      <c r="D4" s="659"/>
      <c r="E4" s="659"/>
      <c r="F4" s="596" t="s">
        <v>489</v>
      </c>
      <c r="G4" s="596" t="s">
        <v>478</v>
      </c>
      <c r="H4" s="596" t="s">
        <v>489</v>
      </c>
      <c r="I4" s="596" t="s">
        <v>478</v>
      </c>
      <c r="J4" s="596" t="s">
        <v>489</v>
      </c>
      <c r="K4" s="596" t="s">
        <v>478</v>
      </c>
      <c r="L4" s="596" t="s">
        <v>489</v>
      </c>
      <c r="M4" s="596" t="s">
        <v>478</v>
      </c>
      <c r="N4" s="596" t="s">
        <v>489</v>
      </c>
      <c r="O4" s="596" t="s">
        <v>478</v>
      </c>
      <c r="P4" s="596" t="s">
        <v>475</v>
      </c>
      <c r="Q4" s="596" t="s">
        <v>478</v>
      </c>
    </row>
    <row r="5" spans="4:24" ht="21.75" customHeight="1">
      <c r="D5" s="589" t="s">
        <v>69</v>
      </c>
      <c r="E5" s="590">
        <v>3345</v>
      </c>
      <c r="F5" s="590">
        <v>6</v>
      </c>
      <c r="G5" s="590">
        <v>1828</v>
      </c>
      <c r="H5" s="590">
        <v>12</v>
      </c>
      <c r="I5" s="590">
        <v>198</v>
      </c>
      <c r="J5" s="590">
        <v>2</v>
      </c>
      <c r="K5" s="590">
        <v>350</v>
      </c>
      <c r="L5" s="590">
        <v>5</v>
      </c>
      <c r="M5" s="590">
        <v>763</v>
      </c>
      <c r="N5" s="590">
        <v>9</v>
      </c>
      <c r="O5" s="590">
        <v>52.5</v>
      </c>
      <c r="P5" s="630">
        <v>287232</v>
      </c>
      <c r="Q5" s="590">
        <f>E5-G5-I5-K5</f>
        <v>969</v>
      </c>
      <c r="S5" s="588">
        <f>J5+'مشخصات باند غربی'!J5</f>
        <v>4</v>
      </c>
      <c r="T5" s="588">
        <f>K5+'مشخصات باند غربی'!K5</f>
        <v>630</v>
      </c>
      <c r="U5" s="588">
        <f>F5+'مشخصات باند غربی'!F5</f>
        <v>12</v>
      </c>
      <c r="V5" s="588">
        <f>G5+'مشخصات باند غربی'!G5</f>
        <v>3711</v>
      </c>
    </row>
    <row r="6" spans="4:24" ht="21.75" customHeight="1">
      <c r="D6" s="591" t="s">
        <v>70</v>
      </c>
      <c r="E6" s="592">
        <v>5333</v>
      </c>
      <c r="F6" s="592">
        <v>11</v>
      </c>
      <c r="G6" s="592">
        <v>2785</v>
      </c>
      <c r="H6" s="592">
        <v>24</v>
      </c>
      <c r="I6" s="592">
        <v>784</v>
      </c>
      <c r="J6" s="592">
        <v>6</v>
      </c>
      <c r="K6" s="592">
        <v>797</v>
      </c>
      <c r="L6" s="592">
        <v>5</v>
      </c>
      <c r="M6" s="592">
        <v>477</v>
      </c>
      <c r="N6" s="592">
        <v>7</v>
      </c>
      <c r="O6" s="592">
        <v>33</v>
      </c>
      <c r="P6" s="631">
        <f>SUM('[1]خلاصه وضعیت عملیات خاکی'!$G$25:$H$26)</f>
        <v>398531</v>
      </c>
      <c r="Q6" s="592">
        <f t="shared" ref="Q6:Q8" si="0">E6-G6-I6-K6</f>
        <v>967</v>
      </c>
      <c r="S6" s="588">
        <f>J6+'مشخصات باند غربی'!J6</f>
        <v>9</v>
      </c>
      <c r="T6" s="588">
        <f>K6+'مشخصات باند غربی'!K6</f>
        <v>1108</v>
      </c>
      <c r="U6" s="588">
        <f>F6+'مشخصات باند غربی'!F6</f>
        <v>24</v>
      </c>
      <c r="V6" s="588">
        <f>G6+'مشخصات باند غربی'!G6</f>
        <v>5555</v>
      </c>
    </row>
    <row r="7" spans="4:24" ht="21.75" customHeight="1">
      <c r="D7" s="589" t="s">
        <v>71</v>
      </c>
      <c r="E7" s="590">
        <v>3198</v>
      </c>
      <c r="F7" s="590">
        <v>3</v>
      </c>
      <c r="G7" s="590">
        <v>2303</v>
      </c>
      <c r="H7" s="590">
        <v>5</v>
      </c>
      <c r="I7" s="590">
        <v>407</v>
      </c>
      <c r="J7" s="590">
        <v>2</v>
      </c>
      <c r="K7" s="590">
        <v>348</v>
      </c>
      <c r="L7" s="590">
        <v>0</v>
      </c>
      <c r="M7" s="590">
        <v>0</v>
      </c>
      <c r="N7" s="590">
        <v>0</v>
      </c>
      <c r="O7" s="590">
        <v>0</v>
      </c>
      <c r="P7" s="632">
        <f>'[2]خلاصه وضعیت عملیات خاکی'!$G$19</f>
        <v>46338</v>
      </c>
      <c r="Q7" s="590">
        <f t="shared" si="0"/>
        <v>140</v>
      </c>
      <c r="S7" s="588">
        <f>J7+'مشخصات باند غربی'!J7</f>
        <v>3</v>
      </c>
      <c r="T7" s="588">
        <f>K7+'مشخصات باند غربی'!K7</f>
        <v>656</v>
      </c>
      <c r="U7" s="588">
        <f>F7+'مشخصات باند غربی'!F7</f>
        <v>7</v>
      </c>
      <c r="V7" s="588">
        <f>G7+'مشخصات باند غربی'!G7</f>
        <v>5220</v>
      </c>
    </row>
    <row r="8" spans="4:24" ht="21.75" customHeight="1">
      <c r="D8" s="591" t="s">
        <v>72</v>
      </c>
      <c r="E8" s="592">
        <v>3031</v>
      </c>
      <c r="F8" s="592">
        <v>6</v>
      </c>
      <c r="G8" s="592">
        <v>1715</v>
      </c>
      <c r="H8" s="592">
        <v>13</v>
      </c>
      <c r="I8" s="592">
        <v>273</v>
      </c>
      <c r="J8" s="592">
        <v>6</v>
      </c>
      <c r="K8" s="592">
        <v>337.65</v>
      </c>
      <c r="L8" s="592">
        <v>5</v>
      </c>
      <c r="M8" s="592">
        <v>387</v>
      </c>
      <c r="N8" s="592">
        <v>1</v>
      </c>
      <c r="O8" s="592">
        <v>12</v>
      </c>
      <c r="P8" s="631">
        <f>SUM('[3]خلاصه وضعیت عملیات خاکی'!$G$22:$H$23)</f>
        <v>66357.69</v>
      </c>
      <c r="Q8" s="592">
        <f t="shared" si="0"/>
        <v>705.35</v>
      </c>
      <c r="S8" s="588">
        <f>J8+'مشخصات باند غربی'!J8</f>
        <v>12</v>
      </c>
      <c r="T8" s="588">
        <f>K8+'مشخصات باند غربی'!K8</f>
        <v>581.16999999999996</v>
      </c>
      <c r="U8" s="588">
        <f>F8+'مشخصات باند غربی'!F8</f>
        <v>12</v>
      </c>
      <c r="V8" s="588">
        <f>G8+'مشخصات باند غربی'!G8</f>
        <v>3580.62</v>
      </c>
    </row>
    <row r="9" spans="4:24" ht="21.75" hidden="1" customHeight="1">
      <c r="D9" s="593" t="s">
        <v>303</v>
      </c>
      <c r="E9" s="590">
        <v>0</v>
      </c>
      <c r="F9" s="590">
        <v>0</v>
      </c>
      <c r="G9" s="590">
        <v>0</v>
      </c>
      <c r="H9" s="590">
        <v>0</v>
      </c>
      <c r="I9" s="590">
        <v>0</v>
      </c>
      <c r="J9" s="590">
        <v>0</v>
      </c>
      <c r="K9" s="590">
        <v>0</v>
      </c>
      <c r="L9" s="590">
        <v>0</v>
      </c>
      <c r="M9" s="590">
        <v>0</v>
      </c>
      <c r="N9" s="590">
        <v>0</v>
      </c>
      <c r="O9" s="590">
        <v>0</v>
      </c>
      <c r="P9" s="590">
        <v>0</v>
      </c>
      <c r="Q9" s="590">
        <v>0</v>
      </c>
      <c r="S9" s="588">
        <f>J9+'مشخصات باند غربی'!J9</f>
        <v>0</v>
      </c>
      <c r="U9" s="588">
        <f>F9+'مشخصات باند غربی'!F9</f>
        <v>0</v>
      </c>
    </row>
    <row r="10" spans="4:24" ht="21.75" hidden="1" customHeight="1">
      <c r="D10" s="597" t="s">
        <v>455</v>
      </c>
      <c r="E10" s="592">
        <v>0</v>
      </c>
      <c r="F10" s="592">
        <v>0</v>
      </c>
      <c r="G10" s="592">
        <v>0</v>
      </c>
      <c r="H10" s="592">
        <v>0</v>
      </c>
      <c r="I10" s="592">
        <v>0</v>
      </c>
      <c r="J10" s="592">
        <v>0</v>
      </c>
      <c r="K10" s="592">
        <v>0</v>
      </c>
      <c r="L10" s="592">
        <v>0</v>
      </c>
      <c r="M10" s="592">
        <v>0</v>
      </c>
      <c r="N10" s="592">
        <v>0</v>
      </c>
      <c r="O10" s="592">
        <v>0</v>
      </c>
      <c r="P10" s="592">
        <v>0</v>
      </c>
      <c r="Q10" s="592">
        <v>0</v>
      </c>
      <c r="S10" s="588">
        <f>J10+'مشخصات باند غربی'!J10</f>
        <v>0</v>
      </c>
      <c r="U10" s="588">
        <f>F10+'مشخصات باند غربی'!F10</f>
        <v>0</v>
      </c>
    </row>
    <row r="11" spans="4:24" ht="21">
      <c r="D11" s="594" t="s">
        <v>278</v>
      </c>
      <c r="E11" s="595">
        <f t="shared" ref="E11:O11" si="1">SUM(E5:E10)</f>
        <v>14907</v>
      </c>
      <c r="F11" s="595">
        <f t="shared" si="1"/>
        <v>26</v>
      </c>
      <c r="G11" s="595">
        <f t="shared" si="1"/>
        <v>8631</v>
      </c>
      <c r="H11" s="595">
        <f t="shared" si="1"/>
        <v>54</v>
      </c>
      <c r="I11" s="595">
        <f t="shared" si="1"/>
        <v>1662</v>
      </c>
      <c r="J11" s="595">
        <f t="shared" si="1"/>
        <v>16</v>
      </c>
      <c r="K11" s="595">
        <f t="shared" si="1"/>
        <v>1832.65</v>
      </c>
      <c r="L11" s="595">
        <f t="shared" si="1"/>
        <v>15</v>
      </c>
      <c r="M11" s="595">
        <f t="shared" si="1"/>
        <v>1627</v>
      </c>
      <c r="N11" s="595">
        <f t="shared" si="1"/>
        <v>17</v>
      </c>
      <c r="O11" s="595">
        <f t="shared" si="1"/>
        <v>97.5</v>
      </c>
      <c r="P11" s="595">
        <f>SUM(P6:P10)</f>
        <v>511226.69</v>
      </c>
      <c r="Q11" s="595">
        <f>SUM(Q5:Q10)</f>
        <v>2781.35</v>
      </c>
    </row>
    <row r="13" spans="4:24" ht="18.75" customHeight="1" thickBot="1">
      <c r="D13" s="661"/>
      <c r="E13" s="661"/>
      <c r="F13" s="661"/>
      <c r="G13" s="663"/>
      <c r="H13" s="664"/>
      <c r="I13" s="663"/>
      <c r="J13" s="664"/>
    </row>
    <row r="14" spans="4:24" ht="55.5">
      <c r="D14" s="662"/>
      <c r="E14" s="662"/>
      <c r="F14" s="662"/>
      <c r="G14" s="629"/>
      <c r="H14" s="629"/>
      <c r="I14" s="629"/>
      <c r="J14" s="629"/>
      <c r="V14" s="598" t="s">
        <v>476</v>
      </c>
      <c r="W14" s="599" t="s">
        <v>477</v>
      </c>
      <c r="X14" s="600" t="s">
        <v>478</v>
      </c>
    </row>
    <row r="15" spans="4:24" ht="27.75">
      <c r="D15" s="580"/>
      <c r="E15" s="421"/>
      <c r="F15" s="421"/>
      <c r="G15" s="421"/>
      <c r="H15" s="421"/>
      <c r="I15" s="421"/>
      <c r="J15" s="421"/>
      <c r="V15" s="601" t="s">
        <v>458</v>
      </c>
      <c r="W15" s="602">
        <f>F11</f>
        <v>26</v>
      </c>
      <c r="X15" s="603">
        <f>G11</f>
        <v>8631</v>
      </c>
    </row>
    <row r="16" spans="4:24" ht="27.75">
      <c r="D16" s="583"/>
      <c r="E16" s="584"/>
      <c r="F16" s="584"/>
      <c r="G16" s="584"/>
      <c r="H16" s="584"/>
      <c r="I16" s="584"/>
      <c r="J16" s="584"/>
      <c r="N16" s="420" t="s">
        <v>458</v>
      </c>
      <c r="O16" s="581">
        <f>G11/E11</f>
        <v>0.57898973636546591</v>
      </c>
      <c r="P16" s="588">
        <f>G11</f>
        <v>8631</v>
      </c>
      <c r="V16" s="601" t="s">
        <v>459</v>
      </c>
      <c r="W16" s="602">
        <f>H11</f>
        <v>54</v>
      </c>
      <c r="X16" s="603">
        <f>I11</f>
        <v>1662</v>
      </c>
    </row>
    <row r="17" spans="4:24" ht="27.75">
      <c r="D17" s="580"/>
      <c r="E17" s="421"/>
      <c r="F17" s="421"/>
      <c r="G17" s="421"/>
      <c r="H17" s="421"/>
      <c r="I17" s="421"/>
      <c r="J17" s="421"/>
      <c r="N17" s="420" t="s">
        <v>459</v>
      </c>
      <c r="O17" s="581">
        <f>I11/E11</f>
        <v>0.11149124572348561</v>
      </c>
      <c r="P17" s="588">
        <f>I11</f>
        <v>1662</v>
      </c>
      <c r="U17" s="588">
        <f>X17+'مشخصات باند غربی'!X17</f>
        <v>2975.17</v>
      </c>
      <c r="V17" s="601" t="s">
        <v>462</v>
      </c>
      <c r="W17" s="602">
        <f>J11</f>
        <v>16</v>
      </c>
      <c r="X17" s="603">
        <f>K11</f>
        <v>1832.65</v>
      </c>
    </row>
    <row r="18" spans="4:24" ht="27.75">
      <c r="D18" s="583"/>
      <c r="E18" s="584"/>
      <c r="F18" s="584"/>
      <c r="G18" s="584"/>
      <c r="H18" s="584"/>
      <c r="I18" s="584"/>
      <c r="J18" s="584"/>
      <c r="N18" s="420" t="s">
        <v>462</v>
      </c>
      <c r="O18" s="581">
        <f>K11/E11</f>
        <v>0.12293888777084591</v>
      </c>
      <c r="P18" s="588">
        <f>K11</f>
        <v>1832.65</v>
      </c>
      <c r="V18" s="601" t="s">
        <v>468</v>
      </c>
      <c r="W18" s="602">
        <f>N11</f>
        <v>17</v>
      </c>
      <c r="X18" s="603">
        <f>O11</f>
        <v>97.5</v>
      </c>
    </row>
    <row r="19" spans="4:24" ht="28.5" thickBot="1">
      <c r="D19" s="628"/>
      <c r="E19" s="421"/>
      <c r="F19" s="421"/>
      <c r="G19" s="421"/>
      <c r="H19" s="421"/>
      <c r="I19" s="421"/>
      <c r="J19" s="421"/>
      <c r="N19" s="420" t="s">
        <v>480</v>
      </c>
      <c r="O19" s="581">
        <f>P19/E11</f>
        <v>0.18658013014020258</v>
      </c>
      <c r="P19" s="588">
        <f>Q11</f>
        <v>2781.35</v>
      </c>
      <c r="V19" s="604" t="s">
        <v>466</v>
      </c>
      <c r="W19" s="605">
        <f>L11</f>
        <v>15</v>
      </c>
      <c r="X19" s="606">
        <f>M11</f>
        <v>1627</v>
      </c>
    </row>
    <row r="20" spans="4:24" ht="54" customHeight="1" thickBot="1">
      <c r="D20" s="585"/>
      <c r="E20" s="584"/>
      <c r="F20" s="584"/>
      <c r="G20" s="584"/>
      <c r="H20" s="584"/>
      <c r="I20" s="584"/>
      <c r="J20" s="584"/>
      <c r="O20" s="581">
        <f>SUM(O16:O19)</f>
        <v>1</v>
      </c>
      <c r="V20" s="607" t="s">
        <v>474</v>
      </c>
      <c r="W20" s="657">
        <f>P11</f>
        <v>511226.69</v>
      </c>
      <c r="X20" s="658"/>
    </row>
    <row r="21" spans="4:24" ht="19.5">
      <c r="D21" s="586"/>
      <c r="E21" s="587"/>
      <c r="F21" s="587"/>
      <c r="G21" s="587"/>
      <c r="H21" s="587"/>
      <c r="I21" s="587"/>
      <c r="J21" s="587"/>
    </row>
  </sheetData>
  <mergeCells count="14">
    <mergeCell ref="W20:X20"/>
    <mergeCell ref="I13:J13"/>
    <mergeCell ref="G13:H13"/>
    <mergeCell ref="F13:F14"/>
    <mergeCell ref="E13:E14"/>
    <mergeCell ref="D13:D14"/>
    <mergeCell ref="L3:M3"/>
    <mergeCell ref="N3:O3"/>
    <mergeCell ref="P3:Q3"/>
    <mergeCell ref="D3:D4"/>
    <mergeCell ref="E3:E4"/>
    <mergeCell ref="F3:G3"/>
    <mergeCell ref="H3:I3"/>
    <mergeCell ref="J3:K3"/>
  </mergeCells>
  <pageMargins left="0.7" right="0.7" top="0.75" bottom="0.75" header="0.3" footer="0.3"/>
  <pageSetup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C3:E14"/>
  <sheetViews>
    <sheetView showGridLines="0" rightToLeft="1" workbookViewId="0">
      <selection activeCell="C4" sqref="C4:E13"/>
    </sheetView>
  </sheetViews>
  <sheetFormatPr defaultRowHeight="15"/>
  <cols>
    <col min="3" max="3" width="11.42578125" customWidth="1"/>
    <col min="4" max="5" width="17.7109375" customWidth="1"/>
  </cols>
  <sheetData>
    <row r="3" spans="3:5" ht="20.25" thickBot="1">
      <c r="C3" s="789" t="s">
        <v>204</v>
      </c>
      <c r="D3" s="789"/>
      <c r="E3" s="789"/>
    </row>
    <row r="4" spans="3:5" ht="45.75" customHeight="1" thickBot="1">
      <c r="C4" s="409" t="s">
        <v>68</v>
      </c>
      <c r="D4" s="410" t="s">
        <v>201</v>
      </c>
      <c r="E4" s="411" t="s">
        <v>202</v>
      </c>
    </row>
    <row r="5" spans="3:5" ht="18.75">
      <c r="C5" s="300" t="s">
        <v>69</v>
      </c>
      <c r="D5" s="301">
        <v>4.7E-2</v>
      </c>
      <c r="E5" s="302">
        <v>0.12520000000000001</v>
      </c>
    </row>
    <row r="6" spans="3:5" ht="18.75">
      <c r="C6" s="299" t="s">
        <v>70</v>
      </c>
      <c r="D6" s="297">
        <v>2.2599999999999999E-2</v>
      </c>
      <c r="E6" s="298">
        <v>0.12720000000000001</v>
      </c>
    </row>
    <row r="7" spans="3:5" ht="18.75">
      <c r="C7" s="299" t="s">
        <v>71</v>
      </c>
      <c r="D7" s="297">
        <v>2.7E-2</v>
      </c>
      <c r="E7" s="298">
        <v>9.8299999999999998E-2</v>
      </c>
    </row>
    <row r="8" spans="3:5" ht="19.5" thickBot="1">
      <c r="C8" s="303" t="s">
        <v>72</v>
      </c>
      <c r="D8" s="304">
        <v>1.7999999999999999E-2</v>
      </c>
      <c r="E8" s="305">
        <v>6.8099999999999994E-2</v>
      </c>
    </row>
    <row r="9" spans="3:5" ht="21.75" thickBot="1">
      <c r="C9" s="412" t="s">
        <v>203</v>
      </c>
      <c r="D9" s="413">
        <v>5.5800000000000002E-2</v>
      </c>
      <c r="E9" s="414">
        <v>0.1135</v>
      </c>
    </row>
    <row r="10" spans="3:5" ht="3.75" customHeight="1"/>
    <row r="11" spans="3:5" ht="23.25" customHeight="1">
      <c r="C11" s="790" t="s">
        <v>205</v>
      </c>
      <c r="D11" s="791"/>
      <c r="E11" s="415">
        <f>E9-D9</f>
        <v>5.7700000000000001E-2</v>
      </c>
    </row>
    <row r="12" spans="3:5" ht="19.5">
      <c r="C12" s="792" t="s">
        <v>257</v>
      </c>
      <c r="D12" s="793"/>
      <c r="E12" s="416">
        <v>0.02</v>
      </c>
    </row>
    <row r="13" spans="3:5" ht="19.5">
      <c r="C13" s="794" t="s">
        <v>258</v>
      </c>
      <c r="D13" s="795"/>
      <c r="E13" s="417">
        <f>D9-E12</f>
        <v>3.5799999999999998E-2</v>
      </c>
    </row>
    <row r="14" spans="3:5">
      <c r="C14" s="796"/>
      <c r="D14" s="796"/>
    </row>
  </sheetData>
  <mergeCells count="5">
    <mergeCell ref="C3:E3"/>
    <mergeCell ref="C11:D11"/>
    <mergeCell ref="C12:D12"/>
    <mergeCell ref="C13:D13"/>
    <mergeCell ref="C14:D14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F3:I17"/>
  <sheetViews>
    <sheetView showGridLines="0" rightToLeft="1" view="pageBreakPreview" topLeftCell="A3" zoomScale="60" zoomScaleNormal="100" workbookViewId="0">
      <selection activeCell="G12" sqref="G12:H12"/>
    </sheetView>
  </sheetViews>
  <sheetFormatPr defaultRowHeight="18"/>
  <cols>
    <col min="1" max="5" width="9.140625" style="558"/>
    <col min="6" max="6" width="5.5703125" style="558" bestFit="1" customWidth="1"/>
    <col min="7" max="7" width="24.85546875" style="558" customWidth="1"/>
    <col min="8" max="8" width="18.42578125" style="558" customWidth="1"/>
    <col min="9" max="9" width="16.140625" style="558" bestFit="1" customWidth="1"/>
    <col min="10" max="16384" width="9.140625" style="558"/>
  </cols>
  <sheetData>
    <row r="3" spans="6:9" ht="18.75" thickBot="1"/>
    <row r="4" spans="6:9" ht="42.75" thickBot="1">
      <c r="F4" s="572" t="s">
        <v>11</v>
      </c>
      <c r="G4" s="573" t="s">
        <v>433</v>
      </c>
      <c r="H4" s="573" t="s">
        <v>445</v>
      </c>
      <c r="I4" s="574" t="s">
        <v>446</v>
      </c>
    </row>
    <row r="5" spans="6:9">
      <c r="F5" s="560">
        <v>1</v>
      </c>
      <c r="G5" s="577" t="s">
        <v>434</v>
      </c>
      <c r="H5" s="561">
        <v>3</v>
      </c>
      <c r="I5" s="562" t="s">
        <v>447</v>
      </c>
    </row>
    <row r="6" spans="6:9">
      <c r="F6" s="563">
        <v>2</v>
      </c>
      <c r="G6" s="569" t="s">
        <v>435</v>
      </c>
      <c r="H6" s="559">
        <v>10</v>
      </c>
      <c r="I6" s="564" t="s">
        <v>448</v>
      </c>
    </row>
    <row r="7" spans="6:9">
      <c r="F7" s="563">
        <v>3</v>
      </c>
      <c r="G7" s="569" t="s">
        <v>436</v>
      </c>
      <c r="H7" s="559">
        <v>6</v>
      </c>
      <c r="I7" s="564" t="s">
        <v>449</v>
      </c>
    </row>
    <row r="8" spans="6:9">
      <c r="F8" s="563">
        <v>4</v>
      </c>
      <c r="G8" s="569" t="s">
        <v>437</v>
      </c>
      <c r="H8" s="559">
        <v>1</v>
      </c>
      <c r="I8" s="564" t="s">
        <v>450</v>
      </c>
    </row>
    <row r="9" spans="6:9">
      <c r="F9" s="563">
        <v>5</v>
      </c>
      <c r="G9" s="568" t="s">
        <v>438</v>
      </c>
      <c r="H9" s="559">
        <v>4</v>
      </c>
      <c r="I9" s="564" t="s">
        <v>451</v>
      </c>
    </row>
    <row r="10" spans="6:9">
      <c r="F10" s="563">
        <v>6</v>
      </c>
      <c r="G10" s="569" t="s">
        <v>439</v>
      </c>
      <c r="H10" s="559">
        <v>1</v>
      </c>
      <c r="I10" s="564" t="s">
        <v>449</v>
      </c>
    </row>
    <row r="11" spans="6:9">
      <c r="F11" s="563">
        <v>7</v>
      </c>
      <c r="G11" s="569" t="s">
        <v>440</v>
      </c>
      <c r="H11" s="559">
        <v>1</v>
      </c>
      <c r="I11" s="564" t="s">
        <v>449</v>
      </c>
    </row>
    <row r="12" spans="6:9">
      <c r="F12" s="563">
        <v>8</v>
      </c>
      <c r="G12" s="569" t="s">
        <v>441</v>
      </c>
      <c r="H12" s="559">
        <v>15</v>
      </c>
      <c r="I12" s="564" t="s">
        <v>452</v>
      </c>
    </row>
    <row r="13" spans="6:9" ht="36">
      <c r="F13" s="563">
        <v>9</v>
      </c>
      <c r="G13" s="571" t="s">
        <v>442</v>
      </c>
      <c r="H13" s="559">
        <v>6</v>
      </c>
      <c r="I13" s="564" t="s">
        <v>450</v>
      </c>
    </row>
    <row r="14" spans="6:9">
      <c r="F14" s="563">
        <v>10</v>
      </c>
      <c r="G14" s="569" t="s">
        <v>443</v>
      </c>
      <c r="H14" s="559">
        <v>4</v>
      </c>
      <c r="I14" s="564" t="s">
        <v>449</v>
      </c>
    </row>
    <row r="15" spans="6:9" ht="18.75" thickBot="1">
      <c r="F15" s="565">
        <v>11</v>
      </c>
      <c r="G15" s="570" t="s">
        <v>444</v>
      </c>
      <c r="H15" s="566">
        <v>1</v>
      </c>
      <c r="I15" s="567" t="s">
        <v>453</v>
      </c>
    </row>
    <row r="16" spans="6:9">
      <c r="F16" s="563">
        <v>12</v>
      </c>
      <c r="G16" s="569" t="s">
        <v>454</v>
      </c>
      <c r="H16" s="559">
        <v>6</v>
      </c>
      <c r="I16" s="564" t="s">
        <v>452</v>
      </c>
    </row>
    <row r="17" spans="7:8" ht="20.25" thickBot="1">
      <c r="G17" s="575" t="s">
        <v>198</v>
      </c>
      <c r="H17" s="576">
        <f>SUM(H5:H16)</f>
        <v>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3:X21"/>
  <sheetViews>
    <sheetView showGridLines="0" rightToLeft="1" zoomScaleNormal="100" zoomScaleSheetLayoutView="130" workbookViewId="0">
      <selection activeCell="V14" sqref="V14:X19"/>
    </sheetView>
  </sheetViews>
  <sheetFormatPr defaultColWidth="10" defaultRowHeight="18"/>
  <cols>
    <col min="1" max="3" width="10" style="420"/>
    <col min="4" max="4" width="17" style="420" customWidth="1"/>
    <col min="5" max="6" width="10.28515625" style="420" bestFit="1" customWidth="1"/>
    <col min="7" max="7" width="8.28515625" style="420" bestFit="1" customWidth="1"/>
    <col min="8" max="8" width="8" style="420" customWidth="1"/>
    <col min="9" max="9" width="10" style="420" bestFit="1" customWidth="1"/>
    <col min="10" max="15" width="6.42578125" style="420" customWidth="1"/>
    <col min="16" max="16" width="11" style="420" bestFit="1" customWidth="1"/>
    <col min="17" max="18" width="12.140625" style="420" customWidth="1"/>
    <col min="19" max="20" width="10" style="420"/>
    <col min="21" max="21" width="16.85546875" style="420" customWidth="1"/>
    <col min="22" max="22" width="18.7109375" style="420" customWidth="1"/>
    <col min="23" max="24" width="15" style="420" customWidth="1"/>
    <col min="25" max="16384" width="10" style="420"/>
  </cols>
  <sheetData>
    <row r="3" spans="4:24" ht="19.5" customHeight="1">
      <c r="D3" s="659" t="s">
        <v>196</v>
      </c>
      <c r="E3" s="659" t="s">
        <v>266</v>
      </c>
      <c r="F3" s="659" t="s">
        <v>458</v>
      </c>
      <c r="G3" s="659"/>
      <c r="H3" s="659" t="s">
        <v>459</v>
      </c>
      <c r="I3" s="659"/>
      <c r="J3" s="659" t="s">
        <v>462</v>
      </c>
      <c r="K3" s="659"/>
      <c r="L3" s="659" t="s">
        <v>466</v>
      </c>
      <c r="M3" s="659"/>
      <c r="N3" s="659" t="s">
        <v>468</v>
      </c>
      <c r="O3" s="659"/>
      <c r="P3" s="659" t="s">
        <v>479</v>
      </c>
      <c r="Q3" s="659"/>
    </row>
    <row r="4" spans="4:24" ht="57.75" customHeight="1">
      <c r="D4" s="659"/>
      <c r="E4" s="659"/>
      <c r="F4" s="596" t="s">
        <v>489</v>
      </c>
      <c r="G4" s="596" t="s">
        <v>478</v>
      </c>
      <c r="H4" s="596" t="s">
        <v>489</v>
      </c>
      <c r="I4" s="596" t="s">
        <v>478</v>
      </c>
      <c r="J4" s="596" t="s">
        <v>489</v>
      </c>
      <c r="K4" s="596" t="s">
        <v>478</v>
      </c>
      <c r="L4" s="596" t="s">
        <v>489</v>
      </c>
      <c r="M4" s="596" t="s">
        <v>478</v>
      </c>
      <c r="N4" s="596" t="s">
        <v>489</v>
      </c>
      <c r="O4" s="596" t="s">
        <v>478</v>
      </c>
      <c r="P4" s="596" t="s">
        <v>475</v>
      </c>
      <c r="Q4" s="596" t="s">
        <v>472</v>
      </c>
    </row>
    <row r="5" spans="4:24" ht="21.75" customHeight="1">
      <c r="D5" s="589" t="s">
        <v>69</v>
      </c>
      <c r="E5" s="590">
        <v>3353</v>
      </c>
      <c r="F5" s="590">
        <v>6</v>
      </c>
      <c r="G5" s="590">
        <v>1883</v>
      </c>
      <c r="H5" s="590">
        <v>13</v>
      </c>
      <c r="I5" s="590">
        <v>309</v>
      </c>
      <c r="J5" s="590">
        <v>2</v>
      </c>
      <c r="K5" s="590">
        <v>280</v>
      </c>
      <c r="L5" s="590">
        <v>0</v>
      </c>
      <c r="M5" s="590">
        <v>0</v>
      </c>
      <c r="N5" s="590">
        <v>9</v>
      </c>
      <c r="O5" s="590">
        <v>52.5</v>
      </c>
      <c r="P5" s="590">
        <v>208395</v>
      </c>
      <c r="Q5" s="590">
        <f>E5-G5-I5-K5</f>
        <v>881</v>
      </c>
    </row>
    <row r="6" spans="4:24" ht="21.75" customHeight="1">
      <c r="D6" s="591" t="s">
        <v>70</v>
      </c>
      <c r="E6" s="592">
        <v>4808</v>
      </c>
      <c r="F6" s="592">
        <v>13</v>
      </c>
      <c r="G6" s="592">
        <v>2770</v>
      </c>
      <c r="H6" s="592">
        <v>23</v>
      </c>
      <c r="I6" s="592">
        <v>1134.5</v>
      </c>
      <c r="J6" s="592">
        <v>3</v>
      </c>
      <c r="K6" s="592">
        <v>311</v>
      </c>
      <c r="L6" s="592">
        <v>0</v>
      </c>
      <c r="M6" s="592">
        <v>0</v>
      </c>
      <c r="N6" s="592">
        <v>7</v>
      </c>
      <c r="O6" s="592">
        <v>33</v>
      </c>
      <c r="P6" s="592">
        <f>SUM('[4]خلاصه وضعیت عملیات خاکی'!$G$26:$H$27)</f>
        <v>592915</v>
      </c>
      <c r="Q6" s="592">
        <f>E6-G6-I6-K6</f>
        <v>592.5</v>
      </c>
    </row>
    <row r="7" spans="4:24" ht="21.75" customHeight="1">
      <c r="D7" s="589" t="s">
        <v>71</v>
      </c>
      <c r="E7" s="590">
        <v>3693</v>
      </c>
      <c r="F7" s="590">
        <v>4</v>
      </c>
      <c r="G7" s="590">
        <v>2917</v>
      </c>
      <c r="H7" s="590">
        <v>6</v>
      </c>
      <c r="I7" s="590">
        <v>322</v>
      </c>
      <c r="J7" s="590">
        <v>1</v>
      </c>
      <c r="K7" s="590">
        <v>308</v>
      </c>
      <c r="L7" s="590">
        <v>0</v>
      </c>
      <c r="M7" s="590">
        <v>0</v>
      </c>
      <c r="N7" s="590">
        <v>0</v>
      </c>
      <c r="O7" s="590">
        <v>0</v>
      </c>
      <c r="P7" s="590">
        <f>SUM('[5]خلاصه وضعیت عملیات خاکی'!$G$19:$H$20)</f>
        <v>68395</v>
      </c>
      <c r="Q7" s="590">
        <f>E7-G7-I7-K7</f>
        <v>146</v>
      </c>
    </row>
    <row r="8" spans="4:24" ht="21.75" customHeight="1">
      <c r="D8" s="591" t="s">
        <v>72</v>
      </c>
      <c r="E8" s="592">
        <v>3045</v>
      </c>
      <c r="F8" s="592">
        <v>6</v>
      </c>
      <c r="G8" s="592">
        <v>1865.62</v>
      </c>
      <c r="H8" s="592">
        <v>13</v>
      </c>
      <c r="I8" s="592">
        <f>'[6]خلاصه وضعیت گالری ها'!$E$26</f>
        <v>283</v>
      </c>
      <c r="J8" s="592">
        <v>6</v>
      </c>
      <c r="K8" s="592">
        <f>'[6]خلاصه وضعیت پل ها'!$F$19</f>
        <v>243.51999999999998</v>
      </c>
      <c r="L8" s="592">
        <v>5</v>
      </c>
      <c r="M8" s="592">
        <v>402</v>
      </c>
      <c r="N8" s="592">
        <v>1</v>
      </c>
      <c r="O8" s="592">
        <v>12</v>
      </c>
      <c r="P8" s="592">
        <f>SUM('[6]خلاصه وضعیت عملیات خاکی'!$G$22:$H$23)</f>
        <v>67335.91</v>
      </c>
      <c r="Q8" s="592">
        <f>E8-'مشخصات باند شرقی'!G8-'مشخصات باند شرقی'!I8-K8</f>
        <v>813.48</v>
      </c>
    </row>
    <row r="9" spans="4:24" ht="21.75" hidden="1" customHeight="1">
      <c r="D9" s="593" t="s">
        <v>303</v>
      </c>
      <c r="E9" s="590">
        <v>0</v>
      </c>
      <c r="F9" s="590">
        <v>0</v>
      </c>
      <c r="G9" s="590">
        <v>0</v>
      </c>
      <c r="H9" s="590">
        <v>0</v>
      </c>
      <c r="I9" s="590">
        <v>0</v>
      </c>
      <c r="J9" s="590">
        <v>0</v>
      </c>
      <c r="K9" s="590">
        <v>0</v>
      </c>
      <c r="L9" s="590">
        <v>0</v>
      </c>
      <c r="M9" s="590">
        <v>0</v>
      </c>
      <c r="N9" s="590">
        <v>0</v>
      </c>
      <c r="O9" s="590">
        <v>0</v>
      </c>
      <c r="P9" s="590">
        <v>0</v>
      </c>
      <c r="Q9" s="590">
        <v>0</v>
      </c>
    </row>
    <row r="10" spans="4:24" ht="21.75" hidden="1" customHeight="1">
      <c r="D10" s="597" t="s">
        <v>455</v>
      </c>
      <c r="E10" s="592">
        <v>0</v>
      </c>
      <c r="F10" s="592">
        <v>0</v>
      </c>
      <c r="G10" s="592">
        <v>0</v>
      </c>
      <c r="H10" s="592">
        <v>0</v>
      </c>
      <c r="I10" s="592">
        <v>0</v>
      </c>
      <c r="J10" s="592">
        <v>0</v>
      </c>
      <c r="K10" s="592">
        <v>0</v>
      </c>
      <c r="L10" s="592">
        <v>0</v>
      </c>
      <c r="M10" s="592">
        <v>0</v>
      </c>
      <c r="N10" s="592">
        <v>0</v>
      </c>
      <c r="O10" s="592">
        <v>0</v>
      </c>
      <c r="P10" s="592">
        <v>0</v>
      </c>
      <c r="Q10" s="592">
        <v>0</v>
      </c>
    </row>
    <row r="11" spans="4:24" ht="21">
      <c r="D11" s="594" t="s">
        <v>278</v>
      </c>
      <c r="E11" s="595">
        <f t="shared" ref="E11:Q11" si="0">SUM(E5:E10)</f>
        <v>14899</v>
      </c>
      <c r="F11" s="595">
        <f t="shared" si="0"/>
        <v>29</v>
      </c>
      <c r="G11" s="595">
        <f t="shared" si="0"/>
        <v>9435.619999999999</v>
      </c>
      <c r="H11" s="595">
        <f t="shared" si="0"/>
        <v>55</v>
      </c>
      <c r="I11" s="595">
        <f t="shared" si="0"/>
        <v>2048.5</v>
      </c>
      <c r="J11" s="595">
        <f t="shared" si="0"/>
        <v>12</v>
      </c>
      <c r="K11" s="595">
        <f t="shared" si="0"/>
        <v>1142.52</v>
      </c>
      <c r="L11" s="595">
        <f t="shared" si="0"/>
        <v>5</v>
      </c>
      <c r="M11" s="595">
        <f t="shared" si="0"/>
        <v>402</v>
      </c>
      <c r="N11" s="595">
        <f t="shared" si="0"/>
        <v>17</v>
      </c>
      <c r="O11" s="595">
        <f t="shared" si="0"/>
        <v>97.5</v>
      </c>
      <c r="P11" s="595">
        <f t="shared" si="0"/>
        <v>937040.91</v>
      </c>
      <c r="Q11" s="595">
        <f t="shared" si="0"/>
        <v>2432.98</v>
      </c>
    </row>
    <row r="13" spans="4:24" ht="18.75" thickBot="1">
      <c r="D13" s="660" t="s">
        <v>196</v>
      </c>
      <c r="E13" s="660" t="s">
        <v>457</v>
      </c>
      <c r="F13" s="660" t="s">
        <v>456</v>
      </c>
      <c r="G13" s="660" t="s">
        <v>468</v>
      </c>
      <c r="H13" s="660"/>
      <c r="I13" s="660" t="s">
        <v>474</v>
      </c>
      <c r="J13" s="660"/>
    </row>
    <row r="14" spans="4:24" ht="55.5">
      <c r="D14" s="660"/>
      <c r="E14" s="660"/>
      <c r="F14" s="660"/>
      <c r="G14" s="629" t="s">
        <v>460</v>
      </c>
      <c r="H14" s="629" t="s">
        <v>473</v>
      </c>
      <c r="I14" s="629" t="s">
        <v>475</v>
      </c>
      <c r="J14" s="629" t="s">
        <v>472</v>
      </c>
      <c r="V14" s="598" t="s">
        <v>476</v>
      </c>
      <c r="W14" s="599" t="s">
        <v>477</v>
      </c>
      <c r="X14" s="600" t="s">
        <v>478</v>
      </c>
    </row>
    <row r="15" spans="4:24" ht="27.75">
      <c r="D15" s="580" t="s">
        <v>69</v>
      </c>
      <c r="E15" s="421">
        <v>3339</v>
      </c>
      <c r="F15" s="421" t="s">
        <v>279</v>
      </c>
      <c r="G15" s="421">
        <v>9</v>
      </c>
      <c r="H15" s="421">
        <v>516</v>
      </c>
      <c r="I15" s="421">
        <f>خاکبرداری!D4+خاکریزی!E5</f>
        <v>787000</v>
      </c>
      <c r="J15" s="421">
        <v>1250</v>
      </c>
      <c r="U15" s="588">
        <f>26+W15</f>
        <v>55</v>
      </c>
      <c r="V15" s="601" t="s">
        <v>458</v>
      </c>
      <c r="W15" s="602">
        <f>F11</f>
        <v>29</v>
      </c>
      <c r="X15" s="603">
        <f>G11</f>
        <v>9435.619999999999</v>
      </c>
    </row>
    <row r="16" spans="4:24" ht="27.75">
      <c r="D16" s="583" t="s">
        <v>70</v>
      </c>
      <c r="E16" s="584">
        <v>5090</v>
      </c>
      <c r="F16" s="584" t="s">
        <v>288</v>
      </c>
      <c r="G16" s="584">
        <v>2</v>
      </c>
      <c r="H16" s="584">
        <v>100</v>
      </c>
      <c r="I16" s="584">
        <f>خاکبرداری!D5+خاکریزی!E6</f>
        <v>757579</v>
      </c>
      <c r="J16" s="584">
        <v>1346</v>
      </c>
      <c r="N16" s="420" t="s">
        <v>458</v>
      </c>
      <c r="O16" s="581">
        <f>G11/E11</f>
        <v>0.63330559097926031</v>
      </c>
      <c r="P16" s="588">
        <f>G11</f>
        <v>9435.619999999999</v>
      </c>
      <c r="V16" s="601" t="s">
        <v>459</v>
      </c>
      <c r="W16" s="602">
        <f>H11</f>
        <v>55</v>
      </c>
      <c r="X16" s="603">
        <f>I11</f>
        <v>2048.5</v>
      </c>
    </row>
    <row r="17" spans="4:24" ht="27.75">
      <c r="D17" s="580" t="s">
        <v>71</v>
      </c>
      <c r="E17" s="421">
        <v>3441</v>
      </c>
      <c r="F17" s="421" t="s">
        <v>289</v>
      </c>
      <c r="G17" s="421">
        <v>2</v>
      </c>
      <c r="H17" s="421">
        <v>100</v>
      </c>
      <c r="I17" s="421">
        <f>خاکبرداری!D6+خاکریزی!E7</f>
        <v>413000</v>
      </c>
      <c r="J17" s="421">
        <v>186</v>
      </c>
      <c r="N17" s="420" t="s">
        <v>459</v>
      </c>
      <c r="O17" s="581">
        <f>I11/E11</f>
        <v>0.13749244915766159</v>
      </c>
      <c r="P17" s="588">
        <f>I11</f>
        <v>2048.5</v>
      </c>
      <c r="V17" s="601" t="s">
        <v>462</v>
      </c>
      <c r="W17" s="602">
        <f>J11</f>
        <v>12</v>
      </c>
      <c r="X17" s="603">
        <f>K11</f>
        <v>1142.52</v>
      </c>
    </row>
    <row r="18" spans="4:24" ht="27.75">
      <c r="D18" s="583" t="s">
        <v>72</v>
      </c>
      <c r="E18" s="584">
        <v>3045</v>
      </c>
      <c r="F18" s="584" t="s">
        <v>280</v>
      </c>
      <c r="G18" s="584">
        <v>3</v>
      </c>
      <c r="H18" s="584">
        <v>32</v>
      </c>
      <c r="I18" s="584">
        <f>خاکبرداری!D7+خاکریزی!E8</f>
        <v>570000</v>
      </c>
      <c r="J18" s="584">
        <v>1175</v>
      </c>
      <c r="N18" s="420" t="s">
        <v>462</v>
      </c>
      <c r="O18" s="581">
        <f>K11/E11</f>
        <v>7.6684341230955091E-2</v>
      </c>
      <c r="P18" s="588">
        <f>K11</f>
        <v>1142.52</v>
      </c>
      <c r="V18" s="601" t="s">
        <v>468</v>
      </c>
      <c r="W18" s="602">
        <f>N11</f>
        <v>17</v>
      </c>
      <c r="X18" s="603">
        <f>O11</f>
        <v>97.5</v>
      </c>
    </row>
    <row r="19" spans="4:24" ht="28.5" thickBot="1">
      <c r="D19" s="628" t="s">
        <v>303</v>
      </c>
      <c r="E19" s="421">
        <v>6350</v>
      </c>
      <c r="F19" s="421" t="s">
        <v>304</v>
      </c>
      <c r="G19" s="421">
        <v>0</v>
      </c>
      <c r="H19" s="421">
        <v>0</v>
      </c>
      <c r="I19" s="421">
        <v>0</v>
      </c>
      <c r="J19" s="421">
        <v>0</v>
      </c>
      <c r="N19" s="420" t="s">
        <v>480</v>
      </c>
      <c r="O19" s="581">
        <f>P19/E11</f>
        <v>0.16329820793341834</v>
      </c>
      <c r="P19" s="588">
        <f>Q11</f>
        <v>2432.98</v>
      </c>
      <c r="V19" s="604" t="s">
        <v>466</v>
      </c>
      <c r="W19" s="605">
        <f>L11</f>
        <v>5</v>
      </c>
      <c r="X19" s="606">
        <f>M11</f>
        <v>402</v>
      </c>
    </row>
    <row r="20" spans="4:24" ht="54" customHeight="1" thickBot="1">
      <c r="D20" s="585" t="s">
        <v>455</v>
      </c>
      <c r="E20" s="584">
        <v>1500</v>
      </c>
      <c r="F20" s="584">
        <v>3000</v>
      </c>
      <c r="G20" s="584">
        <v>1</v>
      </c>
      <c r="H20" s="584">
        <v>30</v>
      </c>
      <c r="I20" s="584">
        <v>0</v>
      </c>
      <c r="J20" s="584">
        <v>0</v>
      </c>
      <c r="O20" s="581">
        <f>SUM(O16:O19)</f>
        <v>1.0107805893012953</v>
      </c>
      <c r="V20" s="607" t="s">
        <v>474</v>
      </c>
      <c r="W20" s="657">
        <f>P11</f>
        <v>937040.91</v>
      </c>
      <c r="X20" s="658"/>
    </row>
    <row r="21" spans="4:24" ht="19.5">
      <c r="D21" s="586" t="s">
        <v>278</v>
      </c>
      <c r="E21" s="587">
        <f>SUM(E15:E20)</f>
        <v>22765</v>
      </c>
      <c r="F21" s="587">
        <f>E11</f>
        <v>14899</v>
      </c>
      <c r="G21" s="587">
        <f t="shared" ref="G21:J21" si="1">SUM(G15:G20)</f>
        <v>17</v>
      </c>
      <c r="H21" s="587">
        <f t="shared" si="1"/>
        <v>778</v>
      </c>
      <c r="I21" s="587">
        <f t="shared" si="1"/>
        <v>2527579</v>
      </c>
      <c r="J21" s="587">
        <f t="shared" si="1"/>
        <v>3957</v>
      </c>
    </row>
  </sheetData>
  <mergeCells count="14">
    <mergeCell ref="W20:X20"/>
    <mergeCell ref="N3:O3"/>
    <mergeCell ref="P3:Q3"/>
    <mergeCell ref="D13:D14"/>
    <mergeCell ref="E13:E14"/>
    <mergeCell ref="F13:F14"/>
    <mergeCell ref="G13:H13"/>
    <mergeCell ref="I13:J13"/>
    <mergeCell ref="D3:D4"/>
    <mergeCell ref="E3:E4"/>
    <mergeCell ref="F3:G3"/>
    <mergeCell ref="H3:I3"/>
    <mergeCell ref="J3:K3"/>
    <mergeCell ref="L3:M3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rightToLeft="1" workbookViewId="0">
      <selection activeCell="B3" sqref="B3"/>
    </sheetView>
  </sheetViews>
  <sheetFormatPr defaultRowHeight="18"/>
  <cols>
    <col min="1" max="1" width="9.140625" style="213"/>
    <col min="2" max="2" width="14.85546875" style="213" bestFit="1" customWidth="1"/>
    <col min="3" max="3" width="10" style="213" bestFit="1" customWidth="1"/>
    <col min="4" max="4" width="8.42578125" style="213" bestFit="1" customWidth="1"/>
    <col min="5" max="5" width="7.85546875" style="213" bestFit="1" customWidth="1"/>
    <col min="6" max="6" width="9.85546875" style="213" bestFit="1" customWidth="1"/>
    <col min="7" max="7" width="9.28515625" style="213" bestFit="1" customWidth="1"/>
    <col min="8" max="16384" width="9.140625" style="213"/>
  </cols>
  <sheetData>
    <row r="2" spans="2:7" ht="18.75" thickBot="1"/>
    <row r="3" spans="2:7" s="1" customFormat="1" ht="47.25" customHeight="1" thickBot="1">
      <c r="B3" s="643" t="s">
        <v>196</v>
      </c>
      <c r="C3" s="644" t="s">
        <v>457</v>
      </c>
      <c r="D3" s="645" t="s">
        <v>496</v>
      </c>
      <c r="E3" s="644" t="s">
        <v>498</v>
      </c>
      <c r="F3" s="645" t="s">
        <v>497</v>
      </c>
      <c r="G3" s="646" t="s">
        <v>499</v>
      </c>
    </row>
    <row r="4" spans="2:7" s="1" customFormat="1" ht="28.5" customHeight="1">
      <c r="B4" s="544" t="s">
        <v>69</v>
      </c>
      <c r="C4" s="641">
        <f>MAX('مشخصات باند غربی'!E5,'مشخصات باند شرقی'!E5)</f>
        <v>3353</v>
      </c>
      <c r="D4" s="641">
        <f>'مشخصات باند غربی'!J5+'مشخصات باند شرقی'!J5</f>
        <v>4</v>
      </c>
      <c r="E4" s="641">
        <f>'مشخصات باند غربی'!K5+'مشخصات باند شرقی'!K5</f>
        <v>630</v>
      </c>
      <c r="F4" s="641">
        <f>'مشخصات باند غربی'!F5+'مشخصات باند شرقی'!F5</f>
        <v>12</v>
      </c>
      <c r="G4" s="642">
        <f>'مشخصات باند غربی'!G5+'مشخصات باند شرقی'!G5</f>
        <v>3711</v>
      </c>
    </row>
    <row r="5" spans="2:7" s="1" customFormat="1" ht="28.5" customHeight="1">
      <c r="B5" s="219" t="s">
        <v>70</v>
      </c>
      <c r="C5" s="641">
        <f>MAX('مشخصات باند غربی'!E6,'مشخصات باند شرقی'!E6)</f>
        <v>5333</v>
      </c>
      <c r="D5" s="641">
        <f>'مشخصات باند غربی'!J6+'مشخصات باند شرقی'!J6</f>
        <v>9</v>
      </c>
      <c r="E5" s="641">
        <f>'مشخصات باند غربی'!K6+'مشخصات باند شرقی'!K6</f>
        <v>1108</v>
      </c>
      <c r="F5" s="641">
        <f>'مشخصات باند غربی'!F6+'مشخصات باند شرقی'!F6</f>
        <v>24</v>
      </c>
      <c r="G5" s="642">
        <f>'مشخصات باند غربی'!G6+'مشخصات باند شرقی'!G6</f>
        <v>5555</v>
      </c>
    </row>
    <row r="6" spans="2:7" s="1" customFormat="1" ht="28.5" customHeight="1">
      <c r="B6" s="219" t="s">
        <v>71</v>
      </c>
      <c r="C6" s="641">
        <f>MAX('مشخصات باند غربی'!E7,'مشخصات باند شرقی'!E7)</f>
        <v>3693</v>
      </c>
      <c r="D6" s="641">
        <f>'مشخصات باند غربی'!J7+'مشخصات باند شرقی'!J7</f>
        <v>3</v>
      </c>
      <c r="E6" s="641">
        <f>'مشخصات باند غربی'!K7+'مشخصات باند شرقی'!K7</f>
        <v>656</v>
      </c>
      <c r="F6" s="641">
        <f>'مشخصات باند غربی'!F7+'مشخصات باند شرقی'!F7</f>
        <v>7</v>
      </c>
      <c r="G6" s="642">
        <f>'مشخصات باند غربی'!G7+'مشخصات باند شرقی'!G7</f>
        <v>5220</v>
      </c>
    </row>
    <row r="7" spans="2:7" s="1" customFormat="1" ht="28.5" customHeight="1">
      <c r="B7" s="219" t="s">
        <v>72</v>
      </c>
      <c r="C7" s="641">
        <f>MAX('مشخصات باند غربی'!E8,'مشخصات باند شرقی'!E8)</f>
        <v>3045</v>
      </c>
      <c r="D7" s="641">
        <f>'مشخصات باند غربی'!J8+'مشخصات باند شرقی'!J8</f>
        <v>12</v>
      </c>
      <c r="E7" s="641">
        <f>'مشخصات باند غربی'!K8+'مشخصات باند شرقی'!K8</f>
        <v>581.16999999999996</v>
      </c>
      <c r="F7" s="641">
        <f>'مشخصات باند غربی'!F8+'مشخصات باند شرقی'!F8</f>
        <v>12</v>
      </c>
      <c r="G7" s="642">
        <f>'مشخصات باند غربی'!G8+'مشخصات باند شرقی'!G8</f>
        <v>3580.62</v>
      </c>
    </row>
    <row r="8" spans="2:7" s="1" customFormat="1" ht="28.5" customHeight="1">
      <c r="B8" s="219" t="s">
        <v>428</v>
      </c>
      <c r="C8" s="221">
        <v>6350</v>
      </c>
      <c r="D8" s="221">
        <v>0</v>
      </c>
      <c r="E8" s="221">
        <v>0</v>
      </c>
      <c r="F8" s="221">
        <v>1</v>
      </c>
      <c r="G8" s="222">
        <v>6350</v>
      </c>
    </row>
    <row r="9" spans="2:7" s="1" customFormat="1" ht="28.5" customHeight="1">
      <c r="B9" s="223" t="s">
        <v>500</v>
      </c>
      <c r="C9" s="225">
        <v>6350</v>
      </c>
      <c r="D9" s="225">
        <v>0</v>
      </c>
      <c r="E9" s="225">
        <v>0</v>
      </c>
      <c r="F9" s="225">
        <v>0</v>
      </c>
      <c r="G9" s="226">
        <v>6350</v>
      </c>
    </row>
    <row r="10" spans="2:7" s="1" customFormat="1" ht="28.5" customHeight="1" thickBot="1">
      <c r="B10" s="223" t="s">
        <v>125</v>
      </c>
      <c r="C10" s="225">
        <v>6350</v>
      </c>
      <c r="D10" s="225">
        <v>0</v>
      </c>
      <c r="E10" s="225">
        <v>0</v>
      </c>
      <c r="F10" s="225">
        <v>1</v>
      </c>
      <c r="G10" s="226">
        <v>6350</v>
      </c>
    </row>
    <row r="11" spans="2:7" s="650" customFormat="1" ht="34.5" customHeight="1" thickBot="1">
      <c r="B11" s="647" t="s">
        <v>12</v>
      </c>
      <c r="C11" s="648">
        <f>SUM(C4:C7)+C8</f>
        <v>21774</v>
      </c>
      <c r="D11" s="648">
        <f>SUM(D4:D10)</f>
        <v>28</v>
      </c>
      <c r="E11" s="648">
        <f>SUM(E4:E10)</f>
        <v>2975.17</v>
      </c>
      <c r="F11" s="648">
        <f>SUM(F4:F10)</f>
        <v>57</v>
      </c>
      <c r="G11" s="649">
        <f>SUM(G4:G10)</f>
        <v>37116.619999999995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7"/>
  <sheetViews>
    <sheetView showGridLines="0" rightToLeft="1" tabSelected="1" zoomScale="85" zoomScaleNormal="85" workbookViewId="0">
      <selection activeCell="D14" sqref="D14"/>
    </sheetView>
  </sheetViews>
  <sheetFormatPr defaultRowHeight="22.5"/>
  <cols>
    <col min="1" max="1" width="9.28515625" style="1" bestFit="1" customWidth="1"/>
    <col min="2" max="2" width="10.28515625" style="1" customWidth="1"/>
    <col min="3" max="3" width="13.28515625" style="1" bestFit="1" customWidth="1"/>
    <col min="4" max="5" width="9.140625" style="1"/>
    <col min="6" max="6" width="11" style="1" customWidth="1"/>
    <col min="7" max="7" width="16.42578125" style="1" bestFit="1" customWidth="1"/>
    <col min="8" max="8" width="16" style="1" bestFit="1" customWidth="1"/>
    <col min="9" max="16384" width="9.140625" style="1"/>
  </cols>
  <sheetData>
    <row r="1" spans="1:22" ht="45.75" thickBot="1">
      <c r="A1" s="279" t="s">
        <v>11</v>
      </c>
      <c r="B1" s="279" t="s">
        <v>10</v>
      </c>
      <c r="C1" s="280" t="s">
        <v>49</v>
      </c>
      <c r="D1" s="280" t="s">
        <v>264</v>
      </c>
      <c r="E1" s="280" t="s">
        <v>50</v>
      </c>
      <c r="F1" s="280" t="s">
        <v>51</v>
      </c>
      <c r="G1" s="280" t="s">
        <v>330</v>
      </c>
      <c r="H1" s="280" t="s">
        <v>331</v>
      </c>
    </row>
    <row r="2" spans="1:22" ht="20.100000000000001" customHeight="1" thickBot="1">
      <c r="A2" s="281">
        <v>1</v>
      </c>
      <c r="B2" s="282" t="s">
        <v>0</v>
      </c>
      <c r="C2" s="119">
        <f>[7]A2!D4</f>
        <v>74</v>
      </c>
      <c r="D2" s="119">
        <f>[7]A2!G4</f>
        <v>74</v>
      </c>
      <c r="E2" s="7">
        <f>[7]A2!K4</f>
        <v>60</v>
      </c>
      <c r="F2" s="7">
        <f>[7]A2!O4</f>
        <v>47.3</v>
      </c>
      <c r="G2" s="532" t="s">
        <v>349</v>
      </c>
      <c r="H2" s="532" t="s">
        <v>332</v>
      </c>
      <c r="L2" s="666" t="s">
        <v>59</v>
      </c>
      <c r="M2" s="667"/>
      <c r="N2" s="667"/>
      <c r="O2" s="667"/>
      <c r="P2" s="667"/>
      <c r="Q2" s="668"/>
      <c r="R2" s="666" t="s">
        <v>60</v>
      </c>
      <c r="S2" s="667"/>
      <c r="T2" s="667"/>
      <c r="U2" s="668"/>
    </row>
    <row r="3" spans="1:22" ht="20.100000000000001" customHeight="1">
      <c r="A3" s="281">
        <v>2</v>
      </c>
      <c r="B3" s="282" t="s">
        <v>1</v>
      </c>
      <c r="C3" s="119">
        <f>[7]A2!D5</f>
        <v>47</v>
      </c>
      <c r="D3" s="119">
        <f>[7]A2!G5</f>
        <v>47</v>
      </c>
      <c r="E3" s="7">
        <f>[7]A2!K5</f>
        <v>42</v>
      </c>
      <c r="F3" s="7">
        <f>[7]A2!O5</f>
        <v>36</v>
      </c>
      <c r="G3" s="532" t="s">
        <v>350</v>
      </c>
      <c r="H3" s="532" t="s">
        <v>333</v>
      </c>
      <c r="L3" s="26" t="s">
        <v>11</v>
      </c>
      <c r="M3" s="27" t="s">
        <v>63</v>
      </c>
      <c r="N3" s="27" t="s">
        <v>55</v>
      </c>
      <c r="O3" s="27" t="s">
        <v>56</v>
      </c>
      <c r="P3" s="27" t="s">
        <v>57</v>
      </c>
      <c r="Q3" s="28" t="s">
        <v>58</v>
      </c>
      <c r="R3" s="26" t="s">
        <v>55</v>
      </c>
      <c r="S3" s="27" t="s">
        <v>56</v>
      </c>
      <c r="T3" s="27" t="s">
        <v>57</v>
      </c>
      <c r="U3" s="28" t="s">
        <v>58</v>
      </c>
    </row>
    <row r="4" spans="1:22" ht="20.100000000000001" customHeight="1">
      <c r="A4" s="281">
        <v>3</v>
      </c>
      <c r="B4" s="282" t="s">
        <v>2</v>
      </c>
      <c r="C4" s="119">
        <f>[7]A2!D6</f>
        <v>247</v>
      </c>
      <c r="D4" s="119">
        <f>[7]A2!G6</f>
        <v>247</v>
      </c>
      <c r="E4" s="7">
        <f>[7]A2!K6</f>
        <v>241</v>
      </c>
      <c r="F4" s="7">
        <f>[7]A2!O6</f>
        <v>0</v>
      </c>
      <c r="G4" s="532" t="s">
        <v>351</v>
      </c>
      <c r="H4" s="532" t="s">
        <v>334</v>
      </c>
      <c r="L4" s="14">
        <v>1</v>
      </c>
      <c r="M4" s="15" t="s">
        <v>0</v>
      </c>
      <c r="N4" s="30">
        <v>7.0000000000000007E-2</v>
      </c>
      <c r="O4" s="30">
        <f>D16</f>
        <v>1</v>
      </c>
      <c r="P4" s="30">
        <f>1-O4</f>
        <v>0</v>
      </c>
      <c r="Q4" s="31">
        <f t="shared" ref="Q4:R15" si="0">$N$4</f>
        <v>7.0000000000000007E-2</v>
      </c>
      <c r="R4" s="29">
        <f>N4</f>
        <v>7.0000000000000007E-2</v>
      </c>
      <c r="S4" s="30">
        <f>E16</f>
        <v>0.81081081081081086</v>
      </c>
      <c r="T4" s="30">
        <f>1-S4</f>
        <v>0.18918918918918914</v>
      </c>
      <c r="U4" s="31">
        <f t="shared" ref="U4:U15" si="1">$N$4</f>
        <v>7.0000000000000007E-2</v>
      </c>
      <c r="V4" s="25">
        <v>1</v>
      </c>
    </row>
    <row r="5" spans="1:22" ht="20.100000000000001" customHeight="1">
      <c r="A5" s="281">
        <v>4</v>
      </c>
      <c r="B5" s="282" t="s">
        <v>3</v>
      </c>
      <c r="C5" s="119">
        <f>[7]A2!D7</f>
        <v>250</v>
      </c>
      <c r="D5" s="119">
        <f>[7]A2!G7</f>
        <v>250</v>
      </c>
      <c r="E5" s="7">
        <f>[7]A2!K7</f>
        <v>236</v>
      </c>
      <c r="F5" s="7">
        <f>[7]A2!O7</f>
        <v>0</v>
      </c>
      <c r="G5" s="532" t="s">
        <v>352</v>
      </c>
      <c r="H5" s="532" t="s">
        <v>353</v>
      </c>
      <c r="L5" s="16">
        <v>2</v>
      </c>
      <c r="M5" s="17" t="s">
        <v>1</v>
      </c>
      <c r="N5" s="30">
        <f>$N$4</f>
        <v>7.0000000000000007E-2</v>
      </c>
      <c r="O5" s="30">
        <f t="shared" ref="O5:O15" si="2">D17</f>
        <v>1</v>
      </c>
      <c r="P5" s="30">
        <f t="shared" ref="P5:P15" si="3">1-O5</f>
        <v>0</v>
      </c>
      <c r="Q5" s="31">
        <f t="shared" si="0"/>
        <v>7.0000000000000007E-2</v>
      </c>
      <c r="R5" s="29">
        <f t="shared" si="0"/>
        <v>7.0000000000000007E-2</v>
      </c>
      <c r="S5" s="30">
        <f t="shared" ref="S5:S15" si="4">E17</f>
        <v>0.8936170212765957</v>
      </c>
      <c r="T5" s="30">
        <f t="shared" ref="T5:T15" si="5">1-S5</f>
        <v>0.1063829787234043</v>
      </c>
      <c r="U5" s="31">
        <f t="shared" si="1"/>
        <v>7.0000000000000007E-2</v>
      </c>
      <c r="V5" s="25">
        <v>1</v>
      </c>
    </row>
    <row r="6" spans="1:22" ht="20.100000000000001" customHeight="1">
      <c r="A6" s="281">
        <v>5</v>
      </c>
      <c r="B6" s="384" t="s">
        <v>262</v>
      </c>
      <c r="C6" s="382">
        <f>[7]A2!D8</f>
        <v>322</v>
      </c>
      <c r="D6" s="382">
        <f>[7]A2!G8</f>
        <v>32.799999999999997</v>
      </c>
      <c r="E6" s="383">
        <f>[7]A2!K8</f>
        <v>0</v>
      </c>
      <c r="F6" s="383">
        <f>[7]A2!O8</f>
        <v>0</v>
      </c>
      <c r="G6" s="532" t="s">
        <v>335</v>
      </c>
      <c r="H6" s="532" t="s">
        <v>336</v>
      </c>
      <c r="L6" s="14">
        <v>3</v>
      </c>
      <c r="M6" s="15" t="s">
        <v>2</v>
      </c>
      <c r="N6" s="30">
        <f t="shared" ref="N6:N7" si="6">$N$4</f>
        <v>7.0000000000000007E-2</v>
      </c>
      <c r="O6" s="30">
        <f t="shared" si="2"/>
        <v>1</v>
      </c>
      <c r="P6" s="30">
        <f t="shared" si="3"/>
        <v>0</v>
      </c>
      <c r="Q6" s="31">
        <f t="shared" si="0"/>
        <v>7.0000000000000007E-2</v>
      </c>
      <c r="R6" s="29">
        <f t="shared" si="0"/>
        <v>7.0000000000000007E-2</v>
      </c>
      <c r="S6" s="30">
        <f t="shared" si="4"/>
        <v>0.97570850202429149</v>
      </c>
      <c r="T6" s="30">
        <f t="shared" si="5"/>
        <v>2.4291497975708509E-2</v>
      </c>
      <c r="U6" s="31">
        <f t="shared" si="1"/>
        <v>7.0000000000000007E-2</v>
      </c>
      <c r="V6" s="25">
        <v>1</v>
      </c>
    </row>
    <row r="7" spans="1:22" ht="20.100000000000001" customHeight="1">
      <c r="A7" s="281">
        <v>6</v>
      </c>
      <c r="B7" s="381" t="s">
        <v>261</v>
      </c>
      <c r="C7" s="382">
        <f>[7]A2!D9</f>
        <v>315</v>
      </c>
      <c r="D7" s="382">
        <f>[7]A2!G9</f>
        <v>20.5</v>
      </c>
      <c r="E7" s="383">
        <f>[7]A2!K9</f>
        <v>0</v>
      </c>
      <c r="F7" s="383">
        <f>[7]A2!O9</f>
        <v>0</v>
      </c>
      <c r="G7" s="532" t="s">
        <v>335</v>
      </c>
      <c r="H7" s="532" t="s">
        <v>337</v>
      </c>
      <c r="L7" s="16">
        <v>4</v>
      </c>
      <c r="M7" s="17" t="s">
        <v>3</v>
      </c>
      <c r="N7" s="30">
        <f t="shared" si="6"/>
        <v>7.0000000000000007E-2</v>
      </c>
      <c r="O7" s="30">
        <f t="shared" si="2"/>
        <v>1</v>
      </c>
      <c r="P7" s="30">
        <f t="shared" si="3"/>
        <v>0</v>
      </c>
      <c r="Q7" s="31">
        <f t="shared" si="0"/>
        <v>7.0000000000000007E-2</v>
      </c>
      <c r="R7" s="29">
        <f t="shared" si="0"/>
        <v>7.0000000000000007E-2</v>
      </c>
      <c r="S7" s="30">
        <f t="shared" si="4"/>
        <v>0.94399999999999995</v>
      </c>
      <c r="T7" s="30">
        <f t="shared" si="5"/>
        <v>5.600000000000005E-2</v>
      </c>
      <c r="U7" s="31">
        <f t="shared" si="1"/>
        <v>7.0000000000000007E-2</v>
      </c>
      <c r="V7" s="25">
        <v>1</v>
      </c>
    </row>
    <row r="8" spans="1:22" ht="20.100000000000001" customHeight="1">
      <c r="A8" s="281">
        <v>7</v>
      </c>
      <c r="B8" s="282" t="s">
        <v>4</v>
      </c>
      <c r="C8" s="7">
        <f>[7]A2!D10</f>
        <v>230</v>
      </c>
      <c r="D8" s="147">
        <f>[7]A2!G10</f>
        <v>0</v>
      </c>
      <c r="E8" s="7">
        <f>[7]A2!K10</f>
        <v>0</v>
      </c>
      <c r="F8" s="7">
        <f>[7]A2!O10</f>
        <v>0</v>
      </c>
      <c r="G8" s="532" t="s">
        <v>338</v>
      </c>
      <c r="H8" s="532" t="s">
        <v>339</v>
      </c>
      <c r="J8" s="1" t="s">
        <v>164</v>
      </c>
      <c r="L8" s="14">
        <v>5</v>
      </c>
      <c r="M8" s="386" t="s">
        <v>262</v>
      </c>
      <c r="N8" s="30">
        <f>$N$4</f>
        <v>7.0000000000000007E-2</v>
      </c>
      <c r="O8" s="30">
        <f t="shared" si="2"/>
        <v>0.10186335403726707</v>
      </c>
      <c r="P8" s="30">
        <f t="shared" si="3"/>
        <v>0.8981366459627329</v>
      </c>
      <c r="Q8" s="31">
        <f t="shared" si="0"/>
        <v>7.0000000000000007E-2</v>
      </c>
      <c r="R8" s="29">
        <f t="shared" si="0"/>
        <v>7.0000000000000007E-2</v>
      </c>
      <c r="S8" s="30">
        <f t="shared" si="4"/>
        <v>0</v>
      </c>
      <c r="T8" s="30">
        <f t="shared" si="5"/>
        <v>1</v>
      </c>
      <c r="U8" s="31">
        <f t="shared" si="1"/>
        <v>7.0000000000000007E-2</v>
      </c>
      <c r="V8" s="25">
        <v>1</v>
      </c>
    </row>
    <row r="9" spans="1:22" ht="20.100000000000001" customHeight="1">
      <c r="A9" s="281">
        <v>8</v>
      </c>
      <c r="B9" s="282" t="s">
        <v>5</v>
      </c>
      <c r="C9" s="7">
        <f>[7]A2!D11</f>
        <v>231</v>
      </c>
      <c r="D9" s="7">
        <f>[7]A2!G11</f>
        <v>0</v>
      </c>
      <c r="E9" s="7">
        <f>[7]A2!K11</f>
        <v>0</v>
      </c>
      <c r="F9" s="7">
        <f>[7]A2!O11</f>
        <v>0</v>
      </c>
      <c r="G9" s="532" t="s">
        <v>340</v>
      </c>
      <c r="H9" s="532" t="s">
        <v>354</v>
      </c>
      <c r="L9" s="16">
        <v>6</v>
      </c>
      <c r="M9" s="388" t="s">
        <v>261</v>
      </c>
      <c r="N9" s="30">
        <f>$N$4</f>
        <v>7.0000000000000007E-2</v>
      </c>
      <c r="O9" s="30">
        <f t="shared" si="2"/>
        <v>6.5079365079365084E-2</v>
      </c>
      <c r="P9" s="30">
        <f t="shared" si="3"/>
        <v>0.93492063492063493</v>
      </c>
      <c r="Q9" s="31">
        <f t="shared" si="0"/>
        <v>7.0000000000000007E-2</v>
      </c>
      <c r="R9" s="29">
        <f>$N$4</f>
        <v>7.0000000000000007E-2</v>
      </c>
      <c r="S9" s="30">
        <f t="shared" si="4"/>
        <v>0</v>
      </c>
      <c r="T9" s="30">
        <f t="shared" si="5"/>
        <v>1</v>
      </c>
      <c r="U9" s="31">
        <f t="shared" si="1"/>
        <v>7.0000000000000007E-2</v>
      </c>
      <c r="V9" s="25">
        <v>1</v>
      </c>
    </row>
    <row r="10" spans="1:22" ht="20.100000000000001" customHeight="1">
      <c r="A10" s="281">
        <v>9</v>
      </c>
      <c r="B10" s="282" t="s">
        <v>6</v>
      </c>
      <c r="C10" s="7">
        <f>[7]A2!D12</f>
        <v>910</v>
      </c>
      <c r="D10" s="7">
        <f>[7]A2!G12</f>
        <v>494</v>
      </c>
      <c r="E10" s="7">
        <f>[7]A2!K12</f>
        <v>30</v>
      </c>
      <c r="F10" s="7">
        <f>[7]A2!O12</f>
        <v>0</v>
      </c>
      <c r="G10" s="532" t="s">
        <v>341</v>
      </c>
      <c r="H10" s="532" t="s">
        <v>342</v>
      </c>
      <c r="L10" s="14">
        <v>7</v>
      </c>
      <c r="M10" s="15" t="s">
        <v>4</v>
      </c>
      <c r="N10" s="30">
        <f t="shared" ref="N10:N15" si="7">$N$4</f>
        <v>7.0000000000000007E-2</v>
      </c>
      <c r="O10" s="30">
        <f t="shared" si="2"/>
        <v>0</v>
      </c>
      <c r="P10" s="30">
        <f t="shared" si="3"/>
        <v>1</v>
      </c>
      <c r="Q10" s="31">
        <f t="shared" si="0"/>
        <v>7.0000000000000007E-2</v>
      </c>
      <c r="R10" s="29">
        <f t="shared" si="0"/>
        <v>7.0000000000000007E-2</v>
      </c>
      <c r="S10" s="30">
        <f t="shared" si="4"/>
        <v>0</v>
      </c>
      <c r="T10" s="30">
        <f t="shared" si="5"/>
        <v>1</v>
      </c>
      <c r="U10" s="31">
        <f t="shared" si="1"/>
        <v>7.0000000000000007E-2</v>
      </c>
      <c r="V10" s="25">
        <v>1</v>
      </c>
    </row>
    <row r="11" spans="1:22" ht="20.100000000000001" customHeight="1">
      <c r="A11" s="281">
        <v>10</v>
      </c>
      <c r="B11" s="282" t="s">
        <v>7</v>
      </c>
      <c r="C11" s="7">
        <f>[7]A2!D13</f>
        <v>895</v>
      </c>
      <c r="D11" s="7">
        <f>[7]A2!G13</f>
        <v>493.00000000000006</v>
      </c>
      <c r="E11" s="7">
        <f>[7]A2!K13</f>
        <v>0</v>
      </c>
      <c r="F11" s="7">
        <f>[7]A2!O13</f>
        <v>0</v>
      </c>
      <c r="G11" s="532" t="s">
        <v>343</v>
      </c>
      <c r="H11" s="532" t="s">
        <v>344</v>
      </c>
      <c r="L11" s="16">
        <v>8</v>
      </c>
      <c r="M11" s="17" t="s">
        <v>5</v>
      </c>
      <c r="N11" s="30">
        <f t="shared" si="7"/>
        <v>7.0000000000000007E-2</v>
      </c>
      <c r="O11" s="30">
        <f t="shared" si="2"/>
        <v>0</v>
      </c>
      <c r="P11" s="30">
        <f t="shared" si="3"/>
        <v>1</v>
      </c>
      <c r="Q11" s="31">
        <f t="shared" si="0"/>
        <v>7.0000000000000007E-2</v>
      </c>
      <c r="R11" s="29">
        <f t="shared" si="0"/>
        <v>7.0000000000000007E-2</v>
      </c>
      <c r="S11" s="30">
        <f t="shared" si="4"/>
        <v>0</v>
      </c>
      <c r="T11" s="30">
        <f t="shared" si="5"/>
        <v>1</v>
      </c>
      <c r="U11" s="31">
        <f t="shared" si="1"/>
        <v>7.0000000000000007E-2</v>
      </c>
      <c r="V11" s="25">
        <v>1</v>
      </c>
    </row>
    <row r="12" spans="1:22" ht="20.100000000000001" customHeight="1">
      <c r="A12" s="281">
        <v>11</v>
      </c>
      <c r="B12" s="282" t="s">
        <v>8</v>
      </c>
      <c r="C12" s="7">
        <f>[7]A2!D14</f>
        <v>100</v>
      </c>
      <c r="D12" s="7">
        <f>[7]A2!G14</f>
        <v>103.9</v>
      </c>
      <c r="E12" s="7">
        <f>[7]A2!K14</f>
        <v>0</v>
      </c>
      <c r="F12" s="7">
        <f>[7]A2!O14</f>
        <v>0</v>
      </c>
      <c r="G12" s="532" t="s">
        <v>345</v>
      </c>
      <c r="H12" s="532" t="s">
        <v>346</v>
      </c>
      <c r="L12" s="14">
        <v>9</v>
      </c>
      <c r="M12" s="15" t="s">
        <v>6</v>
      </c>
      <c r="N12" s="30">
        <f t="shared" si="7"/>
        <v>7.0000000000000007E-2</v>
      </c>
      <c r="O12" s="30">
        <f t="shared" si="2"/>
        <v>0.54285714285714282</v>
      </c>
      <c r="P12" s="30">
        <f t="shared" si="3"/>
        <v>0.45714285714285718</v>
      </c>
      <c r="Q12" s="31">
        <f t="shared" si="0"/>
        <v>7.0000000000000007E-2</v>
      </c>
      <c r="R12" s="29">
        <f t="shared" si="0"/>
        <v>7.0000000000000007E-2</v>
      </c>
      <c r="S12" s="30">
        <f t="shared" si="4"/>
        <v>3.2967032967032968E-2</v>
      </c>
      <c r="T12" s="30">
        <f t="shared" si="5"/>
        <v>0.96703296703296704</v>
      </c>
      <c r="U12" s="31">
        <f t="shared" si="1"/>
        <v>7.0000000000000007E-2</v>
      </c>
      <c r="V12" s="25">
        <v>1</v>
      </c>
    </row>
    <row r="13" spans="1:22" ht="20.100000000000001" customHeight="1">
      <c r="A13" s="281">
        <v>12</v>
      </c>
      <c r="B13" s="282" t="s">
        <v>9</v>
      </c>
      <c r="C13" s="7">
        <f>[7]A2!D15</f>
        <v>90.4</v>
      </c>
      <c r="D13" s="7">
        <f>[7]A2!G15</f>
        <v>90.400000000000034</v>
      </c>
      <c r="E13" s="7">
        <f>[7]A2!K15</f>
        <v>40</v>
      </c>
      <c r="F13" s="7">
        <f>[7]A2!O15</f>
        <v>0</v>
      </c>
      <c r="G13" s="532" t="s">
        <v>347</v>
      </c>
      <c r="H13" s="532" t="s">
        <v>348</v>
      </c>
      <c r="L13" s="16">
        <v>10</v>
      </c>
      <c r="M13" s="17" t="s">
        <v>7</v>
      </c>
      <c r="N13" s="30">
        <f t="shared" si="7"/>
        <v>7.0000000000000007E-2</v>
      </c>
      <c r="O13" s="30">
        <f t="shared" si="2"/>
        <v>0.55083798882681567</v>
      </c>
      <c r="P13" s="30">
        <f t="shared" si="3"/>
        <v>0.44916201117318433</v>
      </c>
      <c r="Q13" s="31">
        <f t="shared" si="0"/>
        <v>7.0000000000000007E-2</v>
      </c>
      <c r="R13" s="29">
        <f t="shared" si="0"/>
        <v>7.0000000000000007E-2</v>
      </c>
      <c r="S13" s="30">
        <f t="shared" si="4"/>
        <v>0</v>
      </c>
      <c r="T13" s="30">
        <f t="shared" si="5"/>
        <v>1</v>
      </c>
      <c r="U13" s="31">
        <f t="shared" si="1"/>
        <v>7.0000000000000007E-2</v>
      </c>
      <c r="V13" s="25">
        <v>1</v>
      </c>
    </row>
    <row r="14" spans="1:22">
      <c r="A14" s="665" t="s">
        <v>12</v>
      </c>
      <c r="B14" s="665"/>
      <c r="C14" s="10">
        <f>SUBTOTAL(109,Table1[طول کل
(متر)])</f>
        <v>3711.4</v>
      </c>
      <c r="D14" s="10">
        <f>SUBTOTAL(109,Table1[تاپ
(متر)])</f>
        <v>1852.6000000000001</v>
      </c>
      <c r="E14" s="10">
        <f>SUM(Table1[بنچ
(متر)])</f>
        <v>649</v>
      </c>
      <c r="F14" s="10">
        <f>SUM(Table1[لاینینگ
(متر)])</f>
        <v>83.3</v>
      </c>
      <c r="G14" s="531"/>
      <c r="H14" s="531"/>
      <c r="L14" s="14">
        <v>11</v>
      </c>
      <c r="M14" s="15" t="s">
        <v>8</v>
      </c>
      <c r="N14" s="30">
        <f t="shared" si="7"/>
        <v>7.0000000000000007E-2</v>
      </c>
      <c r="O14" s="30">
        <f t="shared" si="2"/>
        <v>1.0390000000000001</v>
      </c>
      <c r="P14" s="30">
        <f t="shared" si="3"/>
        <v>-3.9000000000000146E-2</v>
      </c>
      <c r="Q14" s="31">
        <f t="shared" si="0"/>
        <v>7.0000000000000007E-2</v>
      </c>
      <c r="R14" s="29">
        <f t="shared" si="0"/>
        <v>7.0000000000000007E-2</v>
      </c>
      <c r="S14" s="30">
        <f t="shared" si="4"/>
        <v>0</v>
      </c>
      <c r="T14" s="30">
        <f t="shared" si="5"/>
        <v>1</v>
      </c>
      <c r="U14" s="31">
        <f t="shared" si="1"/>
        <v>7.0000000000000007E-2</v>
      </c>
      <c r="V14" s="25">
        <v>1</v>
      </c>
    </row>
    <row r="15" spans="1:22" ht="23.25" thickBot="1">
      <c r="D15" s="1" t="s">
        <v>52</v>
      </c>
      <c r="E15" s="1" t="s">
        <v>53</v>
      </c>
      <c r="F15" s="1" t="s">
        <v>54</v>
      </c>
      <c r="L15" s="16">
        <v>12</v>
      </c>
      <c r="M15" s="17" t="s">
        <v>9</v>
      </c>
      <c r="N15" s="33">
        <f t="shared" si="7"/>
        <v>7.0000000000000007E-2</v>
      </c>
      <c r="O15" s="30">
        <f t="shared" si="2"/>
        <v>1.0000000000000002</v>
      </c>
      <c r="P15" s="33">
        <f t="shared" si="3"/>
        <v>0</v>
      </c>
      <c r="Q15" s="34">
        <f t="shared" si="0"/>
        <v>7.0000000000000007E-2</v>
      </c>
      <c r="R15" s="32">
        <f t="shared" si="0"/>
        <v>7.0000000000000007E-2</v>
      </c>
      <c r="S15" s="30">
        <f t="shared" si="4"/>
        <v>0.44247787610619466</v>
      </c>
      <c r="T15" s="33">
        <f t="shared" si="5"/>
        <v>0.55752212389380529</v>
      </c>
      <c r="U15" s="34">
        <f t="shared" si="1"/>
        <v>7.0000000000000007E-2</v>
      </c>
      <c r="V15" s="25">
        <v>1</v>
      </c>
    </row>
    <row r="16" spans="1:22">
      <c r="A16" s="14">
        <v>1</v>
      </c>
      <c r="B16" s="15" t="s">
        <v>0</v>
      </c>
      <c r="C16" s="385">
        <v>77</v>
      </c>
      <c r="D16" s="389">
        <f>D2/$C2</f>
        <v>1</v>
      </c>
      <c r="E16" s="21">
        <f>E2/$C2</f>
        <v>0.81081081081081086</v>
      </c>
      <c r="F16" s="22">
        <f t="shared" ref="F16" si="8">F2/$C2</f>
        <v>0.6391891891891891</v>
      </c>
      <c r="O16" s="25"/>
    </row>
    <row r="17" spans="1:6">
      <c r="A17" s="16">
        <v>2</v>
      </c>
      <c r="B17" s="17" t="s">
        <v>1</v>
      </c>
      <c r="C17" s="385">
        <v>60</v>
      </c>
      <c r="D17" s="389">
        <f t="shared" ref="D17:F17" si="9">D3/$C3</f>
        <v>1</v>
      </c>
      <c r="E17" s="23">
        <f t="shared" si="9"/>
        <v>0.8936170212765957</v>
      </c>
      <c r="F17" s="24">
        <f t="shared" si="9"/>
        <v>0.76595744680851063</v>
      </c>
    </row>
    <row r="18" spans="1:6">
      <c r="A18" s="14">
        <v>3</v>
      </c>
      <c r="B18" s="15" t="s">
        <v>2</v>
      </c>
      <c r="C18" s="385">
        <v>258</v>
      </c>
      <c r="D18" s="389">
        <f t="shared" ref="D18:F18" si="10">D4/$C4</f>
        <v>1</v>
      </c>
      <c r="E18" s="21">
        <f t="shared" si="10"/>
        <v>0.97570850202429149</v>
      </c>
      <c r="F18" s="22">
        <f t="shared" si="10"/>
        <v>0</v>
      </c>
    </row>
    <row r="19" spans="1:6">
      <c r="A19" s="16">
        <v>4</v>
      </c>
      <c r="B19" s="17" t="s">
        <v>3</v>
      </c>
      <c r="C19" s="385">
        <v>258</v>
      </c>
      <c r="D19" s="389">
        <f t="shared" ref="D19:F19" si="11">D5/$C5</f>
        <v>1</v>
      </c>
      <c r="E19" s="23">
        <f t="shared" si="11"/>
        <v>0.94399999999999995</v>
      </c>
      <c r="F19" s="24">
        <f t="shared" si="11"/>
        <v>0</v>
      </c>
    </row>
    <row r="20" spans="1:6">
      <c r="A20" s="14">
        <v>5</v>
      </c>
      <c r="B20" s="386" t="s">
        <v>262</v>
      </c>
      <c r="C20" s="387">
        <v>322</v>
      </c>
      <c r="D20" s="390">
        <f t="shared" ref="D20:F20" si="12">D6/$C6</f>
        <v>0.10186335403726707</v>
      </c>
      <c r="E20" s="391">
        <f>E6/$C6</f>
        <v>0</v>
      </c>
      <c r="F20" s="392">
        <f t="shared" si="12"/>
        <v>0</v>
      </c>
    </row>
    <row r="21" spans="1:6">
      <c r="A21" s="16">
        <v>6</v>
      </c>
      <c r="B21" s="388" t="s">
        <v>261</v>
      </c>
      <c r="C21" s="387">
        <v>315</v>
      </c>
      <c r="D21" s="390">
        <f t="shared" ref="D21:F21" si="13">D7/$C7</f>
        <v>6.5079365079365084E-2</v>
      </c>
      <c r="E21" s="393">
        <f t="shared" si="13"/>
        <v>0</v>
      </c>
      <c r="F21" s="394">
        <f t="shared" si="13"/>
        <v>0</v>
      </c>
    </row>
    <row r="22" spans="1:6">
      <c r="A22" s="14">
        <v>7</v>
      </c>
      <c r="B22" s="15" t="s">
        <v>4</v>
      </c>
      <c r="C22" s="19">
        <v>230</v>
      </c>
      <c r="D22" s="21">
        <f t="shared" ref="D22:F22" si="14">D8/$C8</f>
        <v>0</v>
      </c>
      <c r="E22" s="21">
        <f t="shared" si="14"/>
        <v>0</v>
      </c>
      <c r="F22" s="22">
        <f t="shared" si="14"/>
        <v>0</v>
      </c>
    </row>
    <row r="23" spans="1:6">
      <c r="A23" s="16">
        <v>8</v>
      </c>
      <c r="B23" s="17" t="s">
        <v>5</v>
      </c>
      <c r="C23" s="20">
        <v>231</v>
      </c>
      <c r="D23" s="23">
        <f t="shared" ref="D23:F23" si="15">D9/$C9</f>
        <v>0</v>
      </c>
      <c r="E23" s="23">
        <f t="shared" si="15"/>
        <v>0</v>
      </c>
      <c r="F23" s="24">
        <f t="shared" si="15"/>
        <v>0</v>
      </c>
    </row>
    <row r="24" spans="1:6">
      <c r="A24" s="14">
        <v>9</v>
      </c>
      <c r="B24" s="15" t="s">
        <v>6</v>
      </c>
      <c r="C24" s="19">
        <v>910</v>
      </c>
      <c r="D24" s="21">
        <f t="shared" ref="D24:F24" si="16">D10/$C10</f>
        <v>0.54285714285714282</v>
      </c>
      <c r="E24" s="21">
        <f t="shared" si="16"/>
        <v>3.2967032967032968E-2</v>
      </c>
      <c r="F24" s="22">
        <f t="shared" si="16"/>
        <v>0</v>
      </c>
    </row>
    <row r="25" spans="1:6">
      <c r="A25" s="16">
        <v>10</v>
      </c>
      <c r="B25" s="17" t="s">
        <v>7</v>
      </c>
      <c r="C25" s="20">
        <v>895</v>
      </c>
      <c r="D25" s="23">
        <f t="shared" ref="D25:F25" si="17">D11/$C11</f>
        <v>0.55083798882681567</v>
      </c>
      <c r="E25" s="23">
        <f t="shared" si="17"/>
        <v>0</v>
      </c>
      <c r="F25" s="24">
        <f t="shared" si="17"/>
        <v>0</v>
      </c>
    </row>
    <row r="26" spans="1:6">
      <c r="A26" s="14">
        <v>11</v>
      </c>
      <c r="B26" s="15" t="s">
        <v>8</v>
      </c>
      <c r="C26" s="19">
        <v>90</v>
      </c>
      <c r="D26" s="21">
        <f t="shared" ref="D26:F26" si="18">D12/$C12</f>
        <v>1.0390000000000001</v>
      </c>
      <c r="E26" s="21">
        <f t="shared" si="18"/>
        <v>0</v>
      </c>
      <c r="F26" s="22">
        <f t="shared" si="18"/>
        <v>0</v>
      </c>
    </row>
    <row r="27" spans="1:6">
      <c r="A27" s="16">
        <v>12</v>
      </c>
      <c r="B27" s="17" t="s">
        <v>9</v>
      </c>
      <c r="C27" s="20">
        <v>80</v>
      </c>
      <c r="D27" s="23">
        <f t="shared" ref="D27:F27" si="19">D13/$C13</f>
        <v>1.0000000000000002</v>
      </c>
      <c r="E27" s="23">
        <f t="shared" si="19"/>
        <v>0.44247787610619466</v>
      </c>
      <c r="F27" s="24">
        <f t="shared" si="19"/>
        <v>0</v>
      </c>
    </row>
  </sheetData>
  <mergeCells count="3">
    <mergeCell ref="A14:B14"/>
    <mergeCell ref="L2:Q2"/>
    <mergeCell ref="R2:U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U52"/>
  <sheetViews>
    <sheetView showGridLines="0" rightToLeft="1" zoomScale="70" zoomScaleNormal="70" workbookViewId="0">
      <selection activeCell="H35" sqref="H35"/>
    </sheetView>
  </sheetViews>
  <sheetFormatPr defaultColWidth="5.28515625" defaultRowHeight="18.75"/>
  <cols>
    <col min="1" max="1" width="8.42578125" style="2" customWidth="1"/>
    <col min="2" max="2" width="14" style="2" customWidth="1"/>
    <col min="3" max="3" width="13.28515625" style="2" customWidth="1"/>
    <col min="4" max="4" width="13" style="2" customWidth="1"/>
    <col min="5" max="5" width="15.85546875" style="2" customWidth="1"/>
    <col min="6" max="6" width="13.5703125" style="2" customWidth="1"/>
    <col min="7" max="12" width="5.28515625" style="633"/>
    <col min="13" max="13" width="7.7109375" style="633" bestFit="1" customWidth="1"/>
    <col min="14" max="14" width="5.28515625" style="633"/>
    <col min="15" max="16" width="5.7109375" style="633" bestFit="1" customWidth="1"/>
    <col min="17" max="17" width="6.140625" style="633" bestFit="1" customWidth="1"/>
    <col min="18" max="18" width="5.7109375" style="633" bestFit="1" customWidth="1"/>
    <col min="19" max="20" width="5.28515625" style="633"/>
    <col min="21" max="21" width="6.7109375" style="633" bestFit="1" customWidth="1"/>
    <col min="22" max="22" width="5.28515625" style="633"/>
    <col min="23" max="24" width="6.140625" style="633" bestFit="1" customWidth="1"/>
    <col min="25" max="33" width="5.28515625" style="633"/>
    <col min="34" max="47" width="5.28515625" style="474"/>
    <col min="48" max="16384" width="5.28515625" style="2"/>
  </cols>
  <sheetData>
    <row r="1" spans="1:25">
      <c r="M1" s="669" t="s">
        <v>61</v>
      </c>
      <c r="N1" s="669"/>
      <c r="O1" s="669"/>
      <c r="P1" s="669"/>
      <c r="Q1" s="669"/>
      <c r="R1" s="475"/>
      <c r="U1" s="669" t="s">
        <v>62</v>
      </c>
      <c r="V1" s="669"/>
      <c r="W1" s="669"/>
      <c r="X1" s="669"/>
      <c r="Y1" s="669"/>
    </row>
    <row r="2" spans="1:25" ht="45.75" customHeight="1">
      <c r="A2" s="279" t="s">
        <v>11</v>
      </c>
      <c r="B2" s="279" t="s">
        <v>10</v>
      </c>
      <c r="C2" s="280" t="s">
        <v>49</v>
      </c>
      <c r="D2" s="280" t="s">
        <v>264</v>
      </c>
      <c r="E2" s="280" t="s">
        <v>50</v>
      </c>
      <c r="F2" s="280" t="s">
        <v>51</v>
      </c>
      <c r="N2" s="633" t="s">
        <v>55</v>
      </c>
      <c r="O2" s="633" t="s">
        <v>56</v>
      </c>
      <c r="P2" s="633" t="s">
        <v>57</v>
      </c>
      <c r="Q2" s="633" t="s">
        <v>58</v>
      </c>
      <c r="R2" s="475"/>
      <c r="V2" s="633" t="s">
        <v>55</v>
      </c>
      <c r="W2" s="633" t="s">
        <v>56</v>
      </c>
      <c r="X2" s="633" t="s">
        <v>57</v>
      </c>
      <c r="Y2" s="633" t="s">
        <v>58</v>
      </c>
    </row>
    <row r="3" spans="1:25">
      <c r="A3" s="282">
        <v>1</v>
      </c>
      <c r="B3" s="283" t="s">
        <v>491</v>
      </c>
      <c r="C3" s="7">
        <v>25</v>
      </c>
      <c r="D3" s="284">
        <f>[8]B2!G6</f>
        <v>0</v>
      </c>
      <c r="E3" s="284">
        <f>[8]B2!J6</f>
        <v>0</v>
      </c>
      <c r="F3" s="284">
        <f>[8]B2!M6</f>
        <v>0</v>
      </c>
      <c r="L3" s="476">
        <f>Table2[[#This Row],[ردیف]]</f>
        <v>1</v>
      </c>
      <c r="M3" s="477" t="str">
        <f>Table2[[#This Row],[نام تونل]]</f>
        <v>L 23-1</v>
      </c>
      <c r="N3" s="475">
        <v>7.0000000000000007E-2</v>
      </c>
      <c r="O3" s="475">
        <f t="shared" ref="O3:O21" si="0">D29</f>
        <v>0</v>
      </c>
      <c r="P3" s="475">
        <f>1-O3</f>
        <v>1</v>
      </c>
      <c r="Q3" s="475">
        <f>N3</f>
        <v>7.0000000000000007E-2</v>
      </c>
      <c r="R3" s="475">
        <v>1</v>
      </c>
      <c r="T3" s="476">
        <f>L3</f>
        <v>1</v>
      </c>
      <c r="U3" s="477" t="str">
        <f>M3</f>
        <v>L 23-1</v>
      </c>
      <c r="V3" s="475">
        <f>N3</f>
        <v>7.0000000000000007E-2</v>
      </c>
      <c r="W3" s="475">
        <f t="shared" ref="W3:W21" si="1">E29</f>
        <v>0</v>
      </c>
      <c r="X3" s="475">
        <f>1-W3</f>
        <v>1</v>
      </c>
      <c r="Y3" s="475">
        <f>V3</f>
        <v>7.0000000000000007E-2</v>
      </c>
    </row>
    <row r="4" spans="1:25">
      <c r="A4" s="282">
        <v>2</v>
      </c>
      <c r="B4" s="283" t="s">
        <v>13</v>
      </c>
      <c r="C4" s="7">
        <v>130</v>
      </c>
      <c r="D4" s="284">
        <f>[8]B2!G7</f>
        <v>40</v>
      </c>
      <c r="E4" s="284">
        <f>[8]B2!J7</f>
        <v>0</v>
      </c>
      <c r="F4" s="284">
        <f>[8]B2!M7</f>
        <v>0</v>
      </c>
      <c r="L4" s="476">
        <f>Table2[[#This Row],[ردیف]]</f>
        <v>2</v>
      </c>
      <c r="M4" s="477" t="str">
        <f>Table2[[#This Row],[نام تونل]]</f>
        <v>L 24</v>
      </c>
      <c r="N4" s="475">
        <f t="shared" ref="N4:N26" si="2">$N$3</f>
        <v>7.0000000000000007E-2</v>
      </c>
      <c r="O4" s="475">
        <f t="shared" si="0"/>
        <v>0.30769230769230771</v>
      </c>
      <c r="P4" s="475">
        <f t="shared" ref="P4:P18" si="3">1-O4</f>
        <v>0.69230769230769229</v>
      </c>
      <c r="Q4" s="475">
        <f t="shared" ref="Q4:Q18" si="4">N4</f>
        <v>7.0000000000000007E-2</v>
      </c>
      <c r="R4" s="475">
        <v>1</v>
      </c>
      <c r="T4" s="476">
        <f t="shared" ref="T4:T26" si="5">L4</f>
        <v>2</v>
      </c>
      <c r="U4" s="477" t="str">
        <f t="shared" ref="U4:U26" si="6">M4</f>
        <v>L 24</v>
      </c>
      <c r="V4" s="475">
        <f t="shared" ref="V4:V26" si="7">$N$3</f>
        <v>7.0000000000000007E-2</v>
      </c>
      <c r="W4" s="475">
        <f t="shared" si="1"/>
        <v>0</v>
      </c>
      <c r="X4" s="475">
        <f t="shared" ref="X4:X18" si="8">1-W4</f>
        <v>1</v>
      </c>
      <c r="Y4" s="475">
        <f t="shared" ref="Y4:Y20" si="9">V4</f>
        <v>7.0000000000000007E-2</v>
      </c>
    </row>
    <row r="5" spans="1:25">
      <c r="A5" s="282">
        <v>3</v>
      </c>
      <c r="B5" s="283" t="s">
        <v>14</v>
      </c>
      <c r="C5" s="117">
        <v>90</v>
      </c>
      <c r="D5" s="285">
        <f>[8]B2!G8</f>
        <v>11</v>
      </c>
      <c r="E5" s="284">
        <f>[8]B2!J8</f>
        <v>0</v>
      </c>
      <c r="F5" s="284">
        <f>[8]B2!M8</f>
        <v>0</v>
      </c>
      <c r="L5" s="476">
        <f>Table2[[#This Row],[ردیف]]</f>
        <v>3</v>
      </c>
      <c r="M5" s="477" t="str">
        <f>Table2[[#This Row],[نام تونل]]</f>
        <v>R 24</v>
      </c>
      <c r="N5" s="475">
        <f t="shared" si="2"/>
        <v>7.0000000000000007E-2</v>
      </c>
      <c r="O5" s="475">
        <f t="shared" si="0"/>
        <v>0.12222222222222222</v>
      </c>
      <c r="P5" s="475">
        <f t="shared" si="3"/>
        <v>0.87777777777777777</v>
      </c>
      <c r="Q5" s="475">
        <f t="shared" si="4"/>
        <v>7.0000000000000007E-2</v>
      </c>
      <c r="R5" s="475">
        <v>1</v>
      </c>
      <c r="T5" s="476">
        <f t="shared" si="5"/>
        <v>3</v>
      </c>
      <c r="U5" s="477" t="str">
        <f t="shared" si="6"/>
        <v>R 24</v>
      </c>
      <c r="V5" s="475">
        <f t="shared" si="7"/>
        <v>7.0000000000000007E-2</v>
      </c>
      <c r="W5" s="475">
        <f t="shared" si="1"/>
        <v>0</v>
      </c>
      <c r="X5" s="475">
        <f t="shared" si="8"/>
        <v>1</v>
      </c>
      <c r="Y5" s="475">
        <f t="shared" si="9"/>
        <v>7.0000000000000007E-2</v>
      </c>
    </row>
    <row r="6" spans="1:25">
      <c r="A6" s="282">
        <v>4</v>
      </c>
      <c r="B6" s="283" t="s">
        <v>15</v>
      </c>
      <c r="C6" s="117">
        <v>262</v>
      </c>
      <c r="D6" s="285">
        <f>[8]B2!G9</f>
        <v>262</v>
      </c>
      <c r="E6" s="284">
        <f>[8]B2!J9</f>
        <v>262</v>
      </c>
      <c r="F6" s="284">
        <f>[8]B2!M9</f>
        <v>0</v>
      </c>
      <c r="L6" s="476">
        <f>Table2[[#This Row],[ردیف]]</f>
        <v>4</v>
      </c>
      <c r="M6" s="477" t="str">
        <f>Table2[[#This Row],[نام تونل]]</f>
        <v>L 25</v>
      </c>
      <c r="N6" s="475">
        <f t="shared" si="2"/>
        <v>7.0000000000000007E-2</v>
      </c>
      <c r="O6" s="475">
        <f t="shared" si="0"/>
        <v>1</v>
      </c>
      <c r="P6" s="475">
        <f t="shared" si="3"/>
        <v>0</v>
      </c>
      <c r="Q6" s="475">
        <f t="shared" si="4"/>
        <v>7.0000000000000007E-2</v>
      </c>
      <c r="R6" s="475">
        <v>1</v>
      </c>
      <c r="T6" s="476">
        <f t="shared" si="5"/>
        <v>4</v>
      </c>
      <c r="U6" s="477" t="str">
        <f t="shared" si="6"/>
        <v>L 25</v>
      </c>
      <c r="V6" s="475">
        <f t="shared" si="7"/>
        <v>7.0000000000000007E-2</v>
      </c>
      <c r="W6" s="475">
        <f t="shared" si="1"/>
        <v>1</v>
      </c>
      <c r="X6" s="475">
        <f t="shared" si="8"/>
        <v>0</v>
      </c>
      <c r="Y6" s="475">
        <f t="shared" si="9"/>
        <v>7.0000000000000007E-2</v>
      </c>
    </row>
    <row r="7" spans="1:25">
      <c r="A7" s="282">
        <v>5</v>
      </c>
      <c r="B7" s="283" t="s">
        <v>16</v>
      </c>
      <c r="C7" s="117">
        <v>195</v>
      </c>
      <c r="D7" s="285">
        <f>[8]B2!G10</f>
        <v>195</v>
      </c>
      <c r="E7" s="284">
        <f>[8]B2!J10</f>
        <v>195</v>
      </c>
      <c r="F7" s="284">
        <f>[8]B2!M10</f>
        <v>0</v>
      </c>
      <c r="L7" s="476">
        <f>Table2[[#This Row],[ردیف]]</f>
        <v>5</v>
      </c>
      <c r="M7" s="477" t="str">
        <f>Table2[[#This Row],[نام تونل]]</f>
        <v>R 25</v>
      </c>
      <c r="N7" s="475">
        <f t="shared" si="2"/>
        <v>7.0000000000000007E-2</v>
      </c>
      <c r="O7" s="475">
        <f t="shared" si="0"/>
        <v>1</v>
      </c>
      <c r="P7" s="475">
        <f t="shared" si="3"/>
        <v>0</v>
      </c>
      <c r="Q7" s="475">
        <f t="shared" si="4"/>
        <v>7.0000000000000007E-2</v>
      </c>
      <c r="R7" s="475">
        <v>1</v>
      </c>
      <c r="T7" s="476">
        <f t="shared" si="5"/>
        <v>5</v>
      </c>
      <c r="U7" s="477" t="str">
        <f t="shared" si="6"/>
        <v>R 25</v>
      </c>
      <c r="V7" s="475">
        <f t="shared" si="7"/>
        <v>7.0000000000000007E-2</v>
      </c>
      <c r="W7" s="475">
        <f t="shared" si="1"/>
        <v>1</v>
      </c>
      <c r="X7" s="475">
        <f t="shared" si="8"/>
        <v>0</v>
      </c>
      <c r="Y7" s="475">
        <f t="shared" si="9"/>
        <v>7.0000000000000007E-2</v>
      </c>
    </row>
    <row r="8" spans="1:25">
      <c r="A8" s="282">
        <v>6</v>
      </c>
      <c r="B8" s="283" t="s">
        <v>17</v>
      </c>
      <c r="C8" s="7">
        <v>378.9</v>
      </c>
      <c r="D8" s="284">
        <f>[8]B2!G11</f>
        <v>378.9</v>
      </c>
      <c r="E8" s="284">
        <f>[8]B2!J11</f>
        <v>361.5</v>
      </c>
      <c r="F8" s="284">
        <f>[8]B2!M11</f>
        <v>0</v>
      </c>
      <c r="L8" s="476">
        <f>Table2[[#This Row],[ردیف]]</f>
        <v>6</v>
      </c>
      <c r="M8" s="477" t="str">
        <f>Table2[[#This Row],[نام تونل]]</f>
        <v>L 26</v>
      </c>
      <c r="N8" s="475">
        <f t="shared" si="2"/>
        <v>7.0000000000000007E-2</v>
      </c>
      <c r="O8" s="475">
        <f t="shared" si="0"/>
        <v>1</v>
      </c>
      <c r="P8" s="475">
        <f t="shared" si="3"/>
        <v>0</v>
      </c>
      <c r="Q8" s="475">
        <f t="shared" si="4"/>
        <v>7.0000000000000007E-2</v>
      </c>
      <c r="R8" s="475">
        <v>1</v>
      </c>
      <c r="T8" s="476">
        <f t="shared" si="5"/>
        <v>6</v>
      </c>
      <c r="U8" s="477" t="str">
        <f t="shared" si="6"/>
        <v>L 26</v>
      </c>
      <c r="V8" s="475">
        <f t="shared" si="7"/>
        <v>7.0000000000000007E-2</v>
      </c>
      <c r="W8" s="475">
        <f t="shared" si="1"/>
        <v>0.95407759303246242</v>
      </c>
      <c r="X8" s="475">
        <f t="shared" si="8"/>
        <v>4.5922406967537577E-2</v>
      </c>
      <c r="Y8" s="475">
        <f t="shared" si="9"/>
        <v>7.0000000000000007E-2</v>
      </c>
    </row>
    <row r="9" spans="1:25">
      <c r="A9" s="282">
        <v>7</v>
      </c>
      <c r="B9" s="283" t="s">
        <v>18</v>
      </c>
      <c r="C9" s="7">
        <v>388.3</v>
      </c>
      <c r="D9" s="284">
        <f>[8]B2!G12</f>
        <v>388.3</v>
      </c>
      <c r="E9" s="284">
        <f>[8]B2!J12</f>
        <v>24</v>
      </c>
      <c r="F9" s="284">
        <f>[8]B2!M12</f>
        <v>0</v>
      </c>
      <c r="L9" s="476">
        <f>Table2[[#This Row],[ردیف]]</f>
        <v>7</v>
      </c>
      <c r="M9" s="477" t="str">
        <f>Table2[[#This Row],[نام تونل]]</f>
        <v>R 26</v>
      </c>
      <c r="N9" s="475">
        <f t="shared" si="2"/>
        <v>7.0000000000000007E-2</v>
      </c>
      <c r="O9" s="475">
        <f t="shared" si="0"/>
        <v>1</v>
      </c>
      <c r="P9" s="475">
        <f t="shared" si="3"/>
        <v>0</v>
      </c>
      <c r="Q9" s="475">
        <f t="shared" si="4"/>
        <v>7.0000000000000007E-2</v>
      </c>
      <c r="R9" s="475">
        <v>1</v>
      </c>
      <c r="T9" s="476">
        <f t="shared" si="5"/>
        <v>7</v>
      </c>
      <c r="U9" s="477" t="str">
        <f t="shared" si="6"/>
        <v>R 26</v>
      </c>
      <c r="V9" s="475">
        <f t="shared" si="7"/>
        <v>7.0000000000000007E-2</v>
      </c>
      <c r="W9" s="475">
        <f t="shared" si="1"/>
        <v>6.1807880504764358E-2</v>
      </c>
      <c r="X9" s="475">
        <f t="shared" si="8"/>
        <v>0.93819211949523562</v>
      </c>
      <c r="Y9" s="475">
        <f t="shared" si="9"/>
        <v>7.0000000000000007E-2</v>
      </c>
    </row>
    <row r="10" spans="1:25">
      <c r="A10" s="282">
        <v>8</v>
      </c>
      <c r="B10" s="283" t="s">
        <v>19</v>
      </c>
      <c r="C10" s="7">
        <v>466</v>
      </c>
      <c r="D10" s="284">
        <f>[8]B2!G13</f>
        <v>466.3</v>
      </c>
      <c r="E10" s="284">
        <f>[8]B2!J13</f>
        <v>0</v>
      </c>
      <c r="F10" s="284">
        <f>[8]B2!M13</f>
        <v>0</v>
      </c>
      <c r="L10" s="476">
        <f>Table2[[#This Row],[ردیف]]</f>
        <v>8</v>
      </c>
      <c r="M10" s="477" t="str">
        <f>Table2[[#This Row],[نام تونل]]</f>
        <v>L 27</v>
      </c>
      <c r="N10" s="475">
        <f t="shared" si="2"/>
        <v>7.0000000000000007E-2</v>
      </c>
      <c r="O10" s="475">
        <f t="shared" si="0"/>
        <v>1.0006437768240344</v>
      </c>
      <c r="P10" s="475">
        <f t="shared" si="3"/>
        <v>-6.4377682403438108E-4</v>
      </c>
      <c r="Q10" s="475">
        <f t="shared" si="4"/>
        <v>7.0000000000000007E-2</v>
      </c>
      <c r="R10" s="475">
        <v>1</v>
      </c>
      <c r="T10" s="476">
        <f t="shared" si="5"/>
        <v>8</v>
      </c>
      <c r="U10" s="477" t="str">
        <f t="shared" si="6"/>
        <v>L 27</v>
      </c>
      <c r="V10" s="475">
        <f t="shared" si="7"/>
        <v>7.0000000000000007E-2</v>
      </c>
      <c r="W10" s="475">
        <f t="shared" si="1"/>
        <v>0</v>
      </c>
      <c r="X10" s="475">
        <f t="shared" si="8"/>
        <v>1</v>
      </c>
      <c r="Y10" s="475">
        <f t="shared" si="9"/>
        <v>7.0000000000000007E-2</v>
      </c>
    </row>
    <row r="11" spans="1:25">
      <c r="A11" s="282">
        <v>9</v>
      </c>
      <c r="B11" s="283" t="s">
        <v>20</v>
      </c>
      <c r="C11" s="117">
        <v>380</v>
      </c>
      <c r="D11" s="285">
        <f>[8]B2!G14</f>
        <v>149.5</v>
      </c>
      <c r="E11" s="285">
        <f>[8]B2!J14</f>
        <v>0</v>
      </c>
      <c r="F11" s="284">
        <f>[8]B2!M14</f>
        <v>0</v>
      </c>
      <c r="L11" s="476">
        <f>Table2[[#This Row],[ردیف]]</f>
        <v>9</v>
      </c>
      <c r="M11" s="477" t="str">
        <f>Table2[[#This Row],[نام تونل]]</f>
        <v>R 27</v>
      </c>
      <c r="N11" s="475">
        <f t="shared" si="2"/>
        <v>7.0000000000000007E-2</v>
      </c>
      <c r="O11" s="475">
        <f t="shared" si="0"/>
        <v>0.39342105263157895</v>
      </c>
      <c r="P11" s="475">
        <f t="shared" si="3"/>
        <v>0.60657894736842111</v>
      </c>
      <c r="Q11" s="475">
        <f t="shared" si="4"/>
        <v>7.0000000000000007E-2</v>
      </c>
      <c r="R11" s="475">
        <v>1</v>
      </c>
      <c r="T11" s="476">
        <f t="shared" si="5"/>
        <v>9</v>
      </c>
      <c r="U11" s="477" t="str">
        <f t="shared" si="6"/>
        <v>R 27</v>
      </c>
      <c r="V11" s="475">
        <f t="shared" si="7"/>
        <v>7.0000000000000007E-2</v>
      </c>
      <c r="W11" s="475">
        <f t="shared" si="1"/>
        <v>0</v>
      </c>
      <c r="X11" s="475">
        <f t="shared" si="8"/>
        <v>1</v>
      </c>
      <c r="Y11" s="475">
        <f t="shared" si="9"/>
        <v>7.0000000000000007E-2</v>
      </c>
    </row>
    <row r="12" spans="1:25">
      <c r="A12" s="282">
        <v>10</v>
      </c>
      <c r="B12" s="283" t="s">
        <v>21</v>
      </c>
      <c r="C12" s="117">
        <v>69</v>
      </c>
      <c r="D12" s="285">
        <f>[8]B2!G15</f>
        <v>69</v>
      </c>
      <c r="E12" s="285">
        <f>[8]B2!J15</f>
        <v>69</v>
      </c>
      <c r="F12" s="284">
        <f>[8]B2!M15</f>
        <v>0</v>
      </c>
      <c r="L12" s="476">
        <f>Table2[[#This Row],[ردیف]]</f>
        <v>10</v>
      </c>
      <c r="M12" s="477" t="str">
        <f>Table2[[#This Row],[نام تونل]]</f>
        <v>L 28</v>
      </c>
      <c r="N12" s="475">
        <f t="shared" si="2"/>
        <v>7.0000000000000007E-2</v>
      </c>
      <c r="O12" s="475">
        <f t="shared" si="0"/>
        <v>1</v>
      </c>
      <c r="P12" s="475">
        <f t="shared" si="3"/>
        <v>0</v>
      </c>
      <c r="Q12" s="475">
        <f t="shared" si="4"/>
        <v>7.0000000000000007E-2</v>
      </c>
      <c r="R12" s="475">
        <v>1</v>
      </c>
      <c r="T12" s="476">
        <f t="shared" si="5"/>
        <v>10</v>
      </c>
      <c r="U12" s="477" t="str">
        <f t="shared" si="6"/>
        <v>L 28</v>
      </c>
      <c r="V12" s="475">
        <f t="shared" si="7"/>
        <v>7.0000000000000007E-2</v>
      </c>
      <c r="W12" s="475">
        <f t="shared" si="1"/>
        <v>1</v>
      </c>
      <c r="X12" s="475">
        <f t="shared" si="8"/>
        <v>0</v>
      </c>
      <c r="Y12" s="475">
        <f t="shared" si="9"/>
        <v>7.0000000000000007E-2</v>
      </c>
    </row>
    <row r="13" spans="1:25">
      <c r="A13" s="282">
        <v>11</v>
      </c>
      <c r="B13" s="283" t="s">
        <v>22</v>
      </c>
      <c r="C13" s="7">
        <v>121</v>
      </c>
      <c r="D13" s="284">
        <f>[8]B2!G16</f>
        <v>121</v>
      </c>
      <c r="E13" s="284">
        <f>[8]B2!J16</f>
        <v>121</v>
      </c>
      <c r="F13" s="284">
        <f>[8]B2!M16</f>
        <v>0</v>
      </c>
      <c r="L13" s="476">
        <f>Table2[[#This Row],[ردیف]]</f>
        <v>11</v>
      </c>
      <c r="M13" s="477" t="str">
        <f>Table2[[#This Row],[نام تونل]]</f>
        <v>L 29</v>
      </c>
      <c r="N13" s="475">
        <f t="shared" si="2"/>
        <v>7.0000000000000007E-2</v>
      </c>
      <c r="O13" s="475">
        <f t="shared" si="0"/>
        <v>1</v>
      </c>
      <c r="P13" s="475">
        <f t="shared" si="3"/>
        <v>0</v>
      </c>
      <c r="Q13" s="475">
        <f t="shared" si="4"/>
        <v>7.0000000000000007E-2</v>
      </c>
      <c r="R13" s="475">
        <v>1</v>
      </c>
      <c r="T13" s="476">
        <f t="shared" si="5"/>
        <v>11</v>
      </c>
      <c r="U13" s="477" t="str">
        <f t="shared" si="6"/>
        <v>L 29</v>
      </c>
      <c r="V13" s="475">
        <f t="shared" si="7"/>
        <v>7.0000000000000007E-2</v>
      </c>
      <c r="W13" s="475">
        <f t="shared" si="1"/>
        <v>1</v>
      </c>
      <c r="X13" s="475">
        <f t="shared" si="8"/>
        <v>0</v>
      </c>
      <c r="Y13" s="475">
        <f t="shared" si="9"/>
        <v>7.0000000000000007E-2</v>
      </c>
    </row>
    <row r="14" spans="1:25">
      <c r="A14" s="282">
        <v>12</v>
      </c>
      <c r="B14" s="283" t="s">
        <v>23</v>
      </c>
      <c r="C14" s="7">
        <v>304</v>
      </c>
      <c r="D14" s="284">
        <f>[8]B2!G17</f>
        <v>304</v>
      </c>
      <c r="E14" s="284">
        <f>[8]B2!J17</f>
        <v>74</v>
      </c>
      <c r="F14" s="284">
        <f>[8]B2!M17</f>
        <v>0</v>
      </c>
      <c r="L14" s="476">
        <f>Table2[[#This Row],[ردیف]]</f>
        <v>12</v>
      </c>
      <c r="M14" s="477" t="str">
        <f>Table2[[#This Row],[نام تونل]]</f>
        <v>L 30</v>
      </c>
      <c r="N14" s="475">
        <f t="shared" si="2"/>
        <v>7.0000000000000007E-2</v>
      </c>
      <c r="O14" s="475">
        <f t="shared" si="0"/>
        <v>1</v>
      </c>
      <c r="P14" s="475">
        <f t="shared" si="3"/>
        <v>0</v>
      </c>
      <c r="Q14" s="475">
        <f t="shared" si="4"/>
        <v>7.0000000000000007E-2</v>
      </c>
      <c r="R14" s="475">
        <v>1</v>
      </c>
      <c r="T14" s="476">
        <f t="shared" si="5"/>
        <v>12</v>
      </c>
      <c r="U14" s="477" t="str">
        <f t="shared" si="6"/>
        <v>L 30</v>
      </c>
      <c r="V14" s="475">
        <f t="shared" si="7"/>
        <v>7.0000000000000007E-2</v>
      </c>
      <c r="W14" s="475">
        <f t="shared" si="1"/>
        <v>0.24342105263157895</v>
      </c>
      <c r="X14" s="475">
        <f t="shared" si="8"/>
        <v>0.75657894736842102</v>
      </c>
      <c r="Y14" s="475">
        <f t="shared" si="9"/>
        <v>7.0000000000000007E-2</v>
      </c>
    </row>
    <row r="15" spans="1:25">
      <c r="A15" s="282">
        <v>13</v>
      </c>
      <c r="B15" s="283" t="s">
        <v>24</v>
      </c>
      <c r="C15" s="7">
        <v>300</v>
      </c>
      <c r="D15" s="284">
        <f>[8]B2!G18</f>
        <v>167</v>
      </c>
      <c r="E15" s="284">
        <f>[8]B2!J18</f>
        <v>0</v>
      </c>
      <c r="F15" s="284">
        <f>[8]B2!M18</f>
        <v>0</v>
      </c>
      <c r="L15" s="476">
        <f>Table2[[#This Row],[ردیف]]</f>
        <v>13</v>
      </c>
      <c r="M15" s="477" t="str">
        <f>Table2[[#This Row],[نام تونل]]</f>
        <v>R 30</v>
      </c>
      <c r="N15" s="475">
        <f t="shared" si="2"/>
        <v>7.0000000000000007E-2</v>
      </c>
      <c r="O15" s="475">
        <f t="shared" si="0"/>
        <v>0.55666666666666664</v>
      </c>
      <c r="P15" s="475">
        <f t="shared" si="3"/>
        <v>0.44333333333333336</v>
      </c>
      <c r="Q15" s="475">
        <f t="shared" si="4"/>
        <v>7.0000000000000007E-2</v>
      </c>
      <c r="R15" s="475">
        <v>1</v>
      </c>
      <c r="T15" s="476">
        <f t="shared" si="5"/>
        <v>13</v>
      </c>
      <c r="U15" s="477" t="str">
        <f t="shared" si="6"/>
        <v>R 30</v>
      </c>
      <c r="V15" s="475">
        <f t="shared" si="7"/>
        <v>7.0000000000000007E-2</v>
      </c>
      <c r="W15" s="475">
        <f t="shared" si="1"/>
        <v>0</v>
      </c>
      <c r="X15" s="475">
        <f t="shared" si="8"/>
        <v>1</v>
      </c>
      <c r="Y15" s="475">
        <f t="shared" si="9"/>
        <v>7.0000000000000007E-2</v>
      </c>
    </row>
    <row r="16" spans="1:25">
      <c r="A16" s="282">
        <v>14</v>
      </c>
      <c r="B16" s="283" t="s">
        <v>25</v>
      </c>
      <c r="C16" s="7">
        <v>186</v>
      </c>
      <c r="D16" s="284">
        <f>[8]B2!G19</f>
        <v>157.5</v>
      </c>
      <c r="E16" s="284">
        <f>[8]B2!J19</f>
        <v>0</v>
      </c>
      <c r="F16" s="284">
        <f>[8]B2!M19</f>
        <v>0</v>
      </c>
      <c r="L16" s="476">
        <f>Table2[[#This Row],[ردیف]]</f>
        <v>14</v>
      </c>
      <c r="M16" s="477" t="str">
        <f>Table2[[#This Row],[نام تونل]]</f>
        <v>L 31</v>
      </c>
      <c r="N16" s="475">
        <f t="shared" si="2"/>
        <v>7.0000000000000007E-2</v>
      </c>
      <c r="O16" s="475">
        <f t="shared" si="0"/>
        <v>0.84677419354838712</v>
      </c>
      <c r="P16" s="475">
        <f t="shared" si="3"/>
        <v>0.15322580645161288</v>
      </c>
      <c r="Q16" s="475">
        <f t="shared" si="4"/>
        <v>7.0000000000000007E-2</v>
      </c>
      <c r="R16" s="475">
        <v>1</v>
      </c>
      <c r="T16" s="476">
        <f t="shared" si="5"/>
        <v>14</v>
      </c>
      <c r="U16" s="477" t="str">
        <f t="shared" si="6"/>
        <v>L 31</v>
      </c>
      <c r="V16" s="475">
        <f t="shared" si="7"/>
        <v>7.0000000000000007E-2</v>
      </c>
      <c r="W16" s="475">
        <f t="shared" si="1"/>
        <v>0</v>
      </c>
      <c r="X16" s="475">
        <f t="shared" si="8"/>
        <v>1</v>
      </c>
      <c r="Y16" s="475">
        <f t="shared" si="9"/>
        <v>7.0000000000000007E-2</v>
      </c>
    </row>
    <row r="17" spans="1:25">
      <c r="A17" s="282">
        <v>15</v>
      </c>
      <c r="B17" s="283" t="s">
        <v>26</v>
      </c>
      <c r="C17" s="7">
        <v>185</v>
      </c>
      <c r="D17" s="284">
        <f>[8]B2!G20</f>
        <v>0</v>
      </c>
      <c r="E17" s="284">
        <f>[8]B2!J20</f>
        <v>0</v>
      </c>
      <c r="F17" s="284">
        <f>[8]B2!M20</f>
        <v>0</v>
      </c>
      <c r="L17" s="476">
        <f>Table2[[#This Row],[ردیف]]</f>
        <v>15</v>
      </c>
      <c r="M17" s="477" t="str">
        <f>Table2[[#This Row],[نام تونل]]</f>
        <v>R 31</v>
      </c>
      <c r="N17" s="475">
        <f t="shared" si="2"/>
        <v>7.0000000000000007E-2</v>
      </c>
      <c r="O17" s="475">
        <f t="shared" si="0"/>
        <v>0</v>
      </c>
      <c r="P17" s="475">
        <f t="shared" si="3"/>
        <v>1</v>
      </c>
      <c r="Q17" s="475">
        <f t="shared" si="4"/>
        <v>7.0000000000000007E-2</v>
      </c>
      <c r="R17" s="475">
        <v>1</v>
      </c>
      <c r="T17" s="476">
        <f t="shared" si="5"/>
        <v>15</v>
      </c>
      <c r="U17" s="477" t="str">
        <f t="shared" si="6"/>
        <v>R 31</v>
      </c>
      <c r="V17" s="475">
        <f t="shared" si="7"/>
        <v>7.0000000000000007E-2</v>
      </c>
      <c r="W17" s="475">
        <f t="shared" si="1"/>
        <v>0</v>
      </c>
      <c r="X17" s="475">
        <f t="shared" si="8"/>
        <v>1</v>
      </c>
      <c r="Y17" s="475">
        <f t="shared" si="9"/>
        <v>7.0000000000000007E-2</v>
      </c>
    </row>
    <row r="18" spans="1:25">
      <c r="A18" s="282">
        <v>16</v>
      </c>
      <c r="B18" s="283" t="s">
        <v>492</v>
      </c>
      <c r="C18" s="7">
        <v>100</v>
      </c>
      <c r="D18" s="284">
        <f>[8]B2!G21</f>
        <v>0</v>
      </c>
      <c r="E18" s="284">
        <f>[8]B2!J21</f>
        <v>0</v>
      </c>
      <c r="F18" s="284">
        <f>[8]B2!M21</f>
        <v>0</v>
      </c>
      <c r="L18" s="476">
        <f>Table2[[#This Row],[ردیف]]</f>
        <v>16</v>
      </c>
      <c r="M18" s="477" t="str">
        <f>Table2[[#This Row],[نام تونل]]</f>
        <v>L 31-1</v>
      </c>
      <c r="N18" s="475">
        <f t="shared" si="2"/>
        <v>7.0000000000000007E-2</v>
      </c>
      <c r="O18" s="475">
        <f t="shared" si="0"/>
        <v>0</v>
      </c>
      <c r="P18" s="475">
        <f t="shared" si="3"/>
        <v>1</v>
      </c>
      <c r="Q18" s="475">
        <f t="shared" si="4"/>
        <v>7.0000000000000007E-2</v>
      </c>
      <c r="R18" s="475">
        <v>1</v>
      </c>
      <c r="T18" s="476">
        <f t="shared" si="5"/>
        <v>16</v>
      </c>
      <c r="U18" s="477" t="str">
        <f t="shared" si="6"/>
        <v>L 31-1</v>
      </c>
      <c r="V18" s="475">
        <f t="shared" si="7"/>
        <v>7.0000000000000007E-2</v>
      </c>
      <c r="W18" s="475">
        <f t="shared" si="1"/>
        <v>0</v>
      </c>
      <c r="X18" s="475">
        <f t="shared" si="8"/>
        <v>1</v>
      </c>
      <c r="Y18" s="475">
        <f t="shared" si="9"/>
        <v>7.0000000000000007E-2</v>
      </c>
    </row>
    <row r="19" spans="1:25">
      <c r="A19" s="282">
        <v>17</v>
      </c>
      <c r="B19" s="283" t="s">
        <v>493</v>
      </c>
      <c r="C19" s="7">
        <v>95</v>
      </c>
      <c r="D19" s="284">
        <f>[8]B2!G22</f>
        <v>0</v>
      </c>
      <c r="E19" s="284">
        <f>[8]B2!J22</f>
        <v>0</v>
      </c>
      <c r="F19" s="284">
        <f>[8]B2!M22</f>
        <v>0</v>
      </c>
      <c r="L19" s="476">
        <f>Table2[[#This Row],[ردیف]]</f>
        <v>17</v>
      </c>
      <c r="M19" s="477" t="str">
        <f>Table2[[#This Row],[نام تونل]]</f>
        <v>R 31-1</v>
      </c>
      <c r="N19" s="475">
        <f t="shared" si="2"/>
        <v>7.0000000000000007E-2</v>
      </c>
      <c r="O19" s="475">
        <f t="shared" si="0"/>
        <v>0</v>
      </c>
      <c r="P19" s="475">
        <f t="shared" ref="P19" si="10">1-O19</f>
        <v>1</v>
      </c>
      <c r="Q19" s="475">
        <f t="shared" ref="Q19:Q21" si="11">N19</f>
        <v>7.0000000000000007E-2</v>
      </c>
      <c r="R19" s="475">
        <v>1</v>
      </c>
      <c r="T19" s="476">
        <f t="shared" si="5"/>
        <v>17</v>
      </c>
      <c r="U19" s="477" t="str">
        <f t="shared" si="6"/>
        <v>R 31-1</v>
      </c>
      <c r="V19" s="475">
        <f t="shared" si="7"/>
        <v>7.0000000000000007E-2</v>
      </c>
      <c r="W19" s="475">
        <f t="shared" si="1"/>
        <v>0</v>
      </c>
      <c r="X19" s="475">
        <f t="shared" ref="X19:X20" si="12">1-W19</f>
        <v>1</v>
      </c>
      <c r="Y19" s="475">
        <f t="shared" si="9"/>
        <v>7.0000000000000007E-2</v>
      </c>
    </row>
    <row r="20" spans="1:25">
      <c r="A20" s="282">
        <v>18</v>
      </c>
      <c r="B20" s="283" t="s">
        <v>494</v>
      </c>
      <c r="C20" s="7">
        <v>61</v>
      </c>
      <c r="D20" s="284">
        <f>[8]B2!G23</f>
        <v>0</v>
      </c>
      <c r="E20" s="284">
        <f>[8]B2!J23</f>
        <v>0</v>
      </c>
      <c r="F20" s="284">
        <f>[8]B2!M23</f>
        <v>0</v>
      </c>
      <c r="L20" s="476">
        <f>Table2[[#This Row],[ردیف]]</f>
        <v>18</v>
      </c>
      <c r="M20" s="477" t="str">
        <f>Table2[[#This Row],[نام تونل]]</f>
        <v>L 31-2</v>
      </c>
      <c r="N20" s="475">
        <f t="shared" si="2"/>
        <v>7.0000000000000007E-2</v>
      </c>
      <c r="O20" s="475">
        <f t="shared" si="0"/>
        <v>0</v>
      </c>
      <c r="P20" s="475">
        <f t="shared" ref="P20:P21" si="13">1-O20</f>
        <v>1</v>
      </c>
      <c r="Q20" s="475">
        <f t="shared" si="11"/>
        <v>7.0000000000000007E-2</v>
      </c>
      <c r="R20" s="478">
        <v>1</v>
      </c>
      <c r="T20" s="476">
        <f t="shared" si="5"/>
        <v>18</v>
      </c>
      <c r="U20" s="477" t="str">
        <f t="shared" si="6"/>
        <v>L 31-2</v>
      </c>
      <c r="V20" s="475">
        <f t="shared" si="7"/>
        <v>7.0000000000000007E-2</v>
      </c>
      <c r="W20" s="475">
        <f t="shared" si="1"/>
        <v>0</v>
      </c>
      <c r="X20" s="475">
        <f t="shared" si="12"/>
        <v>1</v>
      </c>
      <c r="Y20" s="475">
        <f t="shared" si="9"/>
        <v>7.0000000000000007E-2</v>
      </c>
    </row>
    <row r="21" spans="1:25">
      <c r="A21" s="282">
        <v>19</v>
      </c>
      <c r="B21" s="283" t="s">
        <v>495</v>
      </c>
      <c r="C21" s="7">
        <v>38</v>
      </c>
      <c r="D21" s="284">
        <f>[8]B2!G24</f>
        <v>0</v>
      </c>
      <c r="E21" s="284">
        <f>[8]B2!J24</f>
        <v>0</v>
      </c>
      <c r="F21" s="284">
        <f>[8]B2!M24</f>
        <v>0</v>
      </c>
      <c r="L21" s="476">
        <f>Table2[[#This Row],[ردیف]]</f>
        <v>19</v>
      </c>
      <c r="M21" s="477" t="str">
        <f>Table2[[#This Row],[نام تونل]]</f>
        <v>R 31-2</v>
      </c>
      <c r="N21" s="475">
        <f t="shared" si="2"/>
        <v>7.0000000000000007E-2</v>
      </c>
      <c r="O21" s="475">
        <f t="shared" si="0"/>
        <v>0</v>
      </c>
      <c r="P21" s="475">
        <f t="shared" si="13"/>
        <v>1</v>
      </c>
      <c r="Q21" s="475">
        <f t="shared" si="11"/>
        <v>7.0000000000000007E-2</v>
      </c>
      <c r="R21" s="478">
        <v>1</v>
      </c>
      <c r="T21" s="476">
        <f t="shared" si="5"/>
        <v>19</v>
      </c>
      <c r="U21" s="477" t="str">
        <f t="shared" si="6"/>
        <v>R 31-2</v>
      </c>
      <c r="V21" s="475">
        <f t="shared" si="7"/>
        <v>7.0000000000000007E-2</v>
      </c>
      <c r="W21" s="475">
        <f t="shared" si="1"/>
        <v>0</v>
      </c>
      <c r="X21" s="475">
        <f t="shared" ref="X21" si="14">1-W21</f>
        <v>1</v>
      </c>
      <c r="Y21" s="475">
        <f t="shared" ref="Y21" si="15">V21</f>
        <v>7.0000000000000007E-2</v>
      </c>
    </row>
    <row r="22" spans="1:25">
      <c r="A22" s="608">
        <v>20</v>
      </c>
      <c r="B22" s="610" t="s">
        <v>27</v>
      </c>
      <c r="C22" s="612">
        <v>525</v>
      </c>
      <c r="D22" s="614">
        <f>[8]B2!G25</f>
        <v>0</v>
      </c>
      <c r="E22" s="614">
        <f>[8]B2!J25</f>
        <v>0</v>
      </c>
      <c r="F22" s="614">
        <f>[8]B2!M25</f>
        <v>0</v>
      </c>
      <c r="L22" s="476">
        <f>Table2[[#This Row],[ردیف]]</f>
        <v>20</v>
      </c>
      <c r="M22" s="477" t="str">
        <f>Table2[[#This Row],[نام تونل]]</f>
        <v>L 32</v>
      </c>
      <c r="N22" s="475">
        <f t="shared" si="2"/>
        <v>7.0000000000000007E-2</v>
      </c>
      <c r="O22" s="475">
        <f t="shared" ref="O22:O26" si="16">D48</f>
        <v>0</v>
      </c>
      <c r="P22" s="475">
        <f t="shared" ref="P22:P26" si="17">1-O22</f>
        <v>1</v>
      </c>
      <c r="Q22" s="475">
        <f t="shared" ref="Q22:Q26" si="18">N22</f>
        <v>7.0000000000000007E-2</v>
      </c>
      <c r="R22" s="478">
        <v>1</v>
      </c>
      <c r="T22" s="476">
        <f t="shared" si="5"/>
        <v>20</v>
      </c>
      <c r="U22" s="477" t="str">
        <f t="shared" si="6"/>
        <v>L 32</v>
      </c>
      <c r="V22" s="475">
        <f t="shared" si="7"/>
        <v>7.0000000000000007E-2</v>
      </c>
      <c r="W22" s="475">
        <f t="shared" ref="W22:W26" si="19">E48</f>
        <v>0</v>
      </c>
      <c r="X22" s="475">
        <f t="shared" ref="X22:X26" si="20">1-W22</f>
        <v>1</v>
      </c>
      <c r="Y22" s="475">
        <f t="shared" ref="Y22:Y26" si="21">V22</f>
        <v>7.0000000000000007E-2</v>
      </c>
    </row>
    <row r="23" spans="1:25">
      <c r="A23" s="609">
        <v>21</v>
      </c>
      <c r="B23" s="611" t="s">
        <v>28</v>
      </c>
      <c r="C23" s="613">
        <v>520</v>
      </c>
      <c r="D23" s="615">
        <f>[8]B2!G26</f>
        <v>0</v>
      </c>
      <c r="E23" s="615">
        <f>[8]B2!J26</f>
        <v>0</v>
      </c>
      <c r="F23" s="615">
        <f>[8]B2!M26</f>
        <v>0</v>
      </c>
      <c r="L23" s="476">
        <f>Table2[[#This Row],[ردیف]]</f>
        <v>21</v>
      </c>
      <c r="M23" s="477" t="str">
        <f>Table2[[#This Row],[نام تونل]]</f>
        <v>R 32</v>
      </c>
      <c r="N23" s="475">
        <f t="shared" si="2"/>
        <v>7.0000000000000007E-2</v>
      </c>
      <c r="O23" s="475">
        <f>D49</f>
        <v>0</v>
      </c>
      <c r="P23" s="475">
        <f t="shared" si="17"/>
        <v>1</v>
      </c>
      <c r="Q23" s="475">
        <f t="shared" si="18"/>
        <v>7.0000000000000007E-2</v>
      </c>
      <c r="R23" s="478">
        <v>1</v>
      </c>
      <c r="T23" s="476">
        <f t="shared" si="5"/>
        <v>21</v>
      </c>
      <c r="U23" s="477" t="str">
        <f t="shared" si="6"/>
        <v>R 32</v>
      </c>
      <c r="V23" s="475">
        <f t="shared" si="7"/>
        <v>7.0000000000000007E-2</v>
      </c>
      <c r="W23" s="475">
        <f t="shared" si="19"/>
        <v>0</v>
      </c>
      <c r="X23" s="475">
        <f t="shared" si="20"/>
        <v>1</v>
      </c>
      <c r="Y23" s="475">
        <f t="shared" si="21"/>
        <v>7.0000000000000007E-2</v>
      </c>
    </row>
    <row r="24" spans="1:25">
      <c r="A24" s="609">
        <v>22</v>
      </c>
      <c r="B24" s="611" t="s">
        <v>29</v>
      </c>
      <c r="C24" s="613">
        <v>152</v>
      </c>
      <c r="D24" s="615">
        <f>[8]B2!G27</f>
        <v>0</v>
      </c>
      <c r="E24" s="615">
        <f>[8]B2!J27</f>
        <v>0</v>
      </c>
      <c r="F24" s="615">
        <f>[8]B2!M27</f>
        <v>0</v>
      </c>
      <c r="L24" s="476">
        <f>Table2[[#This Row],[ردیف]]</f>
        <v>22</v>
      </c>
      <c r="M24" s="477" t="str">
        <f>Table2[[#This Row],[نام تونل]]</f>
        <v>L 33</v>
      </c>
      <c r="N24" s="475">
        <f t="shared" si="2"/>
        <v>7.0000000000000007E-2</v>
      </c>
      <c r="O24" s="475">
        <f t="shared" si="16"/>
        <v>0</v>
      </c>
      <c r="P24" s="475">
        <f t="shared" si="17"/>
        <v>1</v>
      </c>
      <c r="Q24" s="475">
        <f t="shared" si="18"/>
        <v>7.0000000000000007E-2</v>
      </c>
      <c r="R24" s="478">
        <v>1</v>
      </c>
      <c r="T24" s="476">
        <f t="shared" si="5"/>
        <v>22</v>
      </c>
      <c r="U24" s="477" t="str">
        <f t="shared" si="6"/>
        <v>L 33</v>
      </c>
      <c r="V24" s="475">
        <f t="shared" si="7"/>
        <v>7.0000000000000007E-2</v>
      </c>
      <c r="W24" s="475">
        <f t="shared" si="19"/>
        <v>0</v>
      </c>
      <c r="X24" s="475">
        <f t="shared" si="20"/>
        <v>1</v>
      </c>
      <c r="Y24" s="475">
        <f t="shared" si="21"/>
        <v>7.0000000000000007E-2</v>
      </c>
    </row>
    <row r="25" spans="1:25">
      <c r="A25" s="609">
        <v>23</v>
      </c>
      <c r="B25" s="611" t="s">
        <v>30</v>
      </c>
      <c r="C25" s="613">
        <v>164</v>
      </c>
      <c r="D25" s="615">
        <f>[8]B2!G28</f>
        <v>0</v>
      </c>
      <c r="E25" s="615">
        <f>[8]B2!J28</f>
        <v>0</v>
      </c>
      <c r="F25" s="615">
        <f>[8]B2!M28</f>
        <v>0</v>
      </c>
      <c r="L25" s="476">
        <f>Table2[[#This Row],[ردیف]]</f>
        <v>23</v>
      </c>
      <c r="M25" s="477" t="str">
        <f>Table2[[#This Row],[نام تونل]]</f>
        <v>R 33</v>
      </c>
      <c r="N25" s="475">
        <f t="shared" si="2"/>
        <v>7.0000000000000007E-2</v>
      </c>
      <c r="O25" s="475">
        <f t="shared" si="16"/>
        <v>0</v>
      </c>
      <c r="P25" s="475">
        <f t="shared" si="17"/>
        <v>1</v>
      </c>
      <c r="Q25" s="475">
        <f t="shared" si="18"/>
        <v>7.0000000000000007E-2</v>
      </c>
      <c r="R25" s="478">
        <v>1</v>
      </c>
      <c r="T25" s="476">
        <f t="shared" si="5"/>
        <v>23</v>
      </c>
      <c r="U25" s="477" t="str">
        <f t="shared" si="6"/>
        <v>R 33</v>
      </c>
      <c r="V25" s="475">
        <f t="shared" si="7"/>
        <v>7.0000000000000007E-2</v>
      </c>
      <c r="W25" s="475">
        <f t="shared" si="19"/>
        <v>0</v>
      </c>
      <c r="X25" s="475">
        <f t="shared" si="20"/>
        <v>1</v>
      </c>
      <c r="Y25" s="475">
        <f t="shared" si="21"/>
        <v>7.0000000000000007E-2</v>
      </c>
    </row>
    <row r="26" spans="1:25">
      <c r="A26" s="634">
        <v>24</v>
      </c>
      <c r="B26" s="635" t="s">
        <v>329</v>
      </c>
      <c r="C26" s="636">
        <v>455</v>
      </c>
      <c r="D26" s="615">
        <f>[8]B2!G29</f>
        <v>76.2</v>
      </c>
      <c r="E26" s="615">
        <f>[8]B2!J29</f>
        <v>0</v>
      </c>
      <c r="F26" s="615">
        <f>[8]B2!M29</f>
        <v>0</v>
      </c>
      <c r="L26" s="476">
        <f>Table2[[#This Row],[ردیف]]</f>
        <v>24</v>
      </c>
      <c r="M26" s="477" t="str">
        <f>Table2[[#This Row],[نام تونل]]</f>
        <v>R 33-A</v>
      </c>
      <c r="N26" s="475">
        <f t="shared" si="2"/>
        <v>7.0000000000000007E-2</v>
      </c>
      <c r="O26" s="475">
        <f t="shared" si="16"/>
        <v>0.16747252747252747</v>
      </c>
      <c r="P26" s="475">
        <f t="shared" si="17"/>
        <v>0.8325274725274725</v>
      </c>
      <c r="Q26" s="475">
        <f t="shared" si="18"/>
        <v>7.0000000000000007E-2</v>
      </c>
      <c r="R26" s="478">
        <v>1</v>
      </c>
      <c r="T26" s="476">
        <f t="shared" si="5"/>
        <v>24</v>
      </c>
      <c r="U26" s="477" t="str">
        <f t="shared" si="6"/>
        <v>R 33-A</v>
      </c>
      <c r="V26" s="475">
        <f t="shared" si="7"/>
        <v>7.0000000000000007E-2</v>
      </c>
      <c r="W26" s="475">
        <f t="shared" si="19"/>
        <v>0</v>
      </c>
      <c r="X26" s="475">
        <f t="shared" si="20"/>
        <v>1</v>
      </c>
      <c r="Y26" s="475">
        <f t="shared" si="21"/>
        <v>7.0000000000000007E-2</v>
      </c>
    </row>
    <row r="27" spans="1:25" ht="21">
      <c r="A27" s="637"/>
      <c r="B27" s="638" t="s">
        <v>12</v>
      </c>
      <c r="C27" s="639">
        <f>SUBTOTAL(109,Table2[طول کل
(متر)])</f>
        <v>5590.2</v>
      </c>
      <c r="D27" s="640">
        <f>SUBTOTAL(109,Table2[تاپ
(متر)])</f>
        <v>2785.7</v>
      </c>
      <c r="E27" s="640">
        <f>SUM(Table2[بنچ
(متر)])</f>
        <v>1106.5</v>
      </c>
      <c r="F27" s="640">
        <f>SUM(Table2[لاینینگ
(متر)])</f>
        <v>0</v>
      </c>
      <c r="L27" s="476"/>
      <c r="M27" s="477"/>
    </row>
    <row r="28" spans="1:25">
      <c r="D28" s="2" t="s">
        <v>52</v>
      </c>
      <c r="E28" s="2" t="s">
        <v>53</v>
      </c>
      <c r="F28" s="2" t="s">
        <v>54</v>
      </c>
      <c r="L28" s="476"/>
      <c r="M28" s="477"/>
    </row>
    <row r="29" spans="1:25">
      <c r="A29" s="13">
        <f>A3</f>
        <v>1</v>
      </c>
      <c r="B29" s="13" t="str">
        <f>B3</f>
        <v>L 23-1</v>
      </c>
      <c r="D29" s="18">
        <f>D3/$C3</f>
        <v>0</v>
      </c>
      <c r="E29" s="18">
        <f t="shared" ref="D29:F46" si="22">E3/$C3</f>
        <v>0</v>
      </c>
      <c r="F29" s="18">
        <f t="shared" si="22"/>
        <v>0</v>
      </c>
      <c r="L29" s="476"/>
      <c r="M29" s="477"/>
    </row>
    <row r="30" spans="1:25">
      <c r="A30" s="13">
        <f t="shared" ref="A30:B30" si="23">A4</f>
        <v>2</v>
      </c>
      <c r="B30" s="13" t="str">
        <f t="shared" si="23"/>
        <v>L 24</v>
      </c>
      <c r="D30" s="18">
        <f t="shared" si="22"/>
        <v>0.30769230769230771</v>
      </c>
      <c r="E30" s="18">
        <f t="shared" si="22"/>
        <v>0</v>
      </c>
      <c r="F30" s="18">
        <f t="shared" si="22"/>
        <v>0</v>
      </c>
      <c r="L30" s="476"/>
      <c r="M30" s="477"/>
    </row>
    <row r="31" spans="1:25">
      <c r="A31" s="13">
        <f t="shared" ref="A31:B31" si="24">A5</f>
        <v>3</v>
      </c>
      <c r="B31" s="13" t="str">
        <f t="shared" si="24"/>
        <v>R 24</v>
      </c>
      <c r="D31" s="18">
        <f t="shared" si="22"/>
        <v>0.12222222222222222</v>
      </c>
      <c r="E31" s="18">
        <f t="shared" si="22"/>
        <v>0</v>
      </c>
      <c r="F31" s="18">
        <f t="shared" si="22"/>
        <v>0</v>
      </c>
    </row>
    <row r="32" spans="1:25">
      <c r="A32" s="13">
        <f t="shared" ref="A32:B32" si="25">A6</f>
        <v>4</v>
      </c>
      <c r="B32" s="13" t="str">
        <f t="shared" si="25"/>
        <v>L 25</v>
      </c>
      <c r="D32" s="18">
        <f t="shared" si="22"/>
        <v>1</v>
      </c>
      <c r="E32" s="18">
        <f t="shared" si="22"/>
        <v>1</v>
      </c>
      <c r="F32" s="18">
        <f t="shared" si="22"/>
        <v>0</v>
      </c>
    </row>
    <row r="33" spans="1:6">
      <c r="A33" s="13">
        <f t="shared" ref="A33:B33" si="26">A7</f>
        <v>5</v>
      </c>
      <c r="B33" s="13" t="str">
        <f t="shared" si="26"/>
        <v>R 25</v>
      </c>
      <c r="D33" s="18">
        <f t="shared" si="22"/>
        <v>1</v>
      </c>
      <c r="E33" s="18">
        <f t="shared" si="22"/>
        <v>1</v>
      </c>
      <c r="F33" s="18">
        <f t="shared" si="22"/>
        <v>0</v>
      </c>
    </row>
    <row r="34" spans="1:6">
      <c r="A34" s="13">
        <f t="shared" ref="A34:B34" si="27">A8</f>
        <v>6</v>
      </c>
      <c r="B34" s="13" t="str">
        <f t="shared" si="27"/>
        <v>L 26</v>
      </c>
      <c r="D34" s="18">
        <f t="shared" si="22"/>
        <v>1</v>
      </c>
      <c r="E34" s="18">
        <f t="shared" si="22"/>
        <v>0.95407759303246242</v>
      </c>
      <c r="F34" s="18">
        <f t="shared" si="22"/>
        <v>0</v>
      </c>
    </row>
    <row r="35" spans="1:6">
      <c r="A35" s="13">
        <f t="shared" ref="A35:B35" si="28">A9</f>
        <v>7</v>
      </c>
      <c r="B35" s="13" t="str">
        <f t="shared" si="28"/>
        <v>R 26</v>
      </c>
      <c r="D35" s="18">
        <f t="shared" si="22"/>
        <v>1</v>
      </c>
      <c r="E35" s="18">
        <f t="shared" si="22"/>
        <v>6.1807880504764358E-2</v>
      </c>
      <c r="F35" s="18">
        <f t="shared" si="22"/>
        <v>0</v>
      </c>
    </row>
    <row r="36" spans="1:6">
      <c r="A36" s="13">
        <f t="shared" ref="A36:B36" si="29">A10</f>
        <v>8</v>
      </c>
      <c r="B36" s="13" t="str">
        <f t="shared" si="29"/>
        <v>L 27</v>
      </c>
      <c r="D36" s="18">
        <f t="shared" si="22"/>
        <v>1.0006437768240344</v>
      </c>
      <c r="E36" s="18">
        <f t="shared" si="22"/>
        <v>0</v>
      </c>
      <c r="F36" s="18">
        <f t="shared" si="22"/>
        <v>0</v>
      </c>
    </row>
    <row r="37" spans="1:6">
      <c r="A37" s="13">
        <f t="shared" ref="A37:B37" si="30">A11</f>
        <v>9</v>
      </c>
      <c r="B37" s="13" t="str">
        <f t="shared" si="30"/>
        <v>R 27</v>
      </c>
      <c r="D37" s="18">
        <f t="shared" si="22"/>
        <v>0.39342105263157895</v>
      </c>
      <c r="E37" s="18">
        <f t="shared" si="22"/>
        <v>0</v>
      </c>
      <c r="F37" s="18">
        <f t="shared" si="22"/>
        <v>0</v>
      </c>
    </row>
    <row r="38" spans="1:6">
      <c r="A38" s="13">
        <f t="shared" ref="A38:B38" si="31">A12</f>
        <v>10</v>
      </c>
      <c r="B38" s="13" t="str">
        <f t="shared" si="31"/>
        <v>L 28</v>
      </c>
      <c r="D38" s="18">
        <f t="shared" si="22"/>
        <v>1</v>
      </c>
      <c r="E38" s="18">
        <f t="shared" si="22"/>
        <v>1</v>
      </c>
      <c r="F38" s="18">
        <f t="shared" si="22"/>
        <v>0</v>
      </c>
    </row>
    <row r="39" spans="1:6">
      <c r="A39" s="13">
        <f t="shared" ref="A39:B39" si="32">A13</f>
        <v>11</v>
      </c>
      <c r="B39" s="13" t="str">
        <f t="shared" si="32"/>
        <v>L 29</v>
      </c>
      <c r="D39" s="18">
        <f t="shared" si="22"/>
        <v>1</v>
      </c>
      <c r="E39" s="18">
        <f t="shared" si="22"/>
        <v>1</v>
      </c>
      <c r="F39" s="18">
        <f t="shared" si="22"/>
        <v>0</v>
      </c>
    </row>
    <row r="40" spans="1:6">
      <c r="A40" s="13">
        <f t="shared" ref="A40:B40" si="33">A14</f>
        <v>12</v>
      </c>
      <c r="B40" s="13" t="str">
        <f t="shared" si="33"/>
        <v>L 30</v>
      </c>
      <c r="D40" s="18">
        <f t="shared" si="22"/>
        <v>1</v>
      </c>
      <c r="E40" s="18">
        <f t="shared" si="22"/>
        <v>0.24342105263157895</v>
      </c>
      <c r="F40" s="18">
        <f t="shared" si="22"/>
        <v>0</v>
      </c>
    </row>
    <row r="41" spans="1:6">
      <c r="A41" s="13">
        <f t="shared" ref="A41:B41" si="34">A15</f>
        <v>13</v>
      </c>
      <c r="B41" s="13" t="str">
        <f t="shared" si="34"/>
        <v>R 30</v>
      </c>
      <c r="D41" s="18">
        <f t="shared" si="22"/>
        <v>0.55666666666666664</v>
      </c>
      <c r="E41" s="18">
        <f t="shared" si="22"/>
        <v>0</v>
      </c>
      <c r="F41" s="18">
        <f t="shared" si="22"/>
        <v>0</v>
      </c>
    </row>
    <row r="42" spans="1:6">
      <c r="A42" s="13">
        <f t="shared" ref="A42:B42" si="35">A16</f>
        <v>14</v>
      </c>
      <c r="B42" s="13" t="str">
        <f t="shared" si="35"/>
        <v>L 31</v>
      </c>
      <c r="D42" s="18">
        <f t="shared" si="22"/>
        <v>0.84677419354838712</v>
      </c>
      <c r="E42" s="18">
        <f t="shared" si="22"/>
        <v>0</v>
      </c>
      <c r="F42" s="18">
        <f t="shared" si="22"/>
        <v>0</v>
      </c>
    </row>
    <row r="43" spans="1:6">
      <c r="A43" s="13">
        <f t="shared" ref="A43:B43" si="36">A17</f>
        <v>15</v>
      </c>
      <c r="B43" s="13" t="str">
        <f t="shared" si="36"/>
        <v>R 31</v>
      </c>
      <c r="D43" s="18">
        <f t="shared" si="22"/>
        <v>0</v>
      </c>
      <c r="E43" s="18">
        <f t="shared" si="22"/>
        <v>0</v>
      </c>
      <c r="F43" s="18">
        <f t="shared" si="22"/>
        <v>0</v>
      </c>
    </row>
    <row r="44" spans="1:6">
      <c r="A44" s="13">
        <f t="shared" ref="A44:B44" si="37">A18</f>
        <v>16</v>
      </c>
      <c r="B44" s="13" t="str">
        <f t="shared" si="37"/>
        <v>L 31-1</v>
      </c>
      <c r="D44" s="18">
        <f t="shared" si="22"/>
        <v>0</v>
      </c>
      <c r="E44" s="18">
        <f t="shared" si="22"/>
        <v>0</v>
      </c>
      <c r="F44" s="18">
        <f t="shared" si="22"/>
        <v>0</v>
      </c>
    </row>
    <row r="45" spans="1:6">
      <c r="A45" s="13">
        <f t="shared" ref="A45:B45" si="38">A19</f>
        <v>17</v>
      </c>
      <c r="B45" s="13" t="str">
        <f t="shared" si="38"/>
        <v>R 31-1</v>
      </c>
      <c r="D45" s="18">
        <f t="shared" si="22"/>
        <v>0</v>
      </c>
      <c r="E45" s="18">
        <f t="shared" si="22"/>
        <v>0</v>
      </c>
      <c r="F45" s="18">
        <f t="shared" si="22"/>
        <v>0</v>
      </c>
    </row>
    <row r="46" spans="1:6">
      <c r="A46" s="13">
        <f t="shared" ref="A46:B46" si="39">A20</f>
        <v>18</v>
      </c>
      <c r="B46" s="13" t="str">
        <f t="shared" si="39"/>
        <v>L 31-2</v>
      </c>
      <c r="D46" s="18">
        <f t="shared" si="22"/>
        <v>0</v>
      </c>
      <c r="E46" s="18">
        <f t="shared" si="22"/>
        <v>0</v>
      </c>
      <c r="F46" s="18">
        <f t="shared" si="22"/>
        <v>0</v>
      </c>
    </row>
    <row r="47" spans="1:6">
      <c r="A47" s="13">
        <f t="shared" ref="A47:B47" si="40">A21</f>
        <v>19</v>
      </c>
      <c r="B47" s="13" t="str">
        <f t="shared" si="40"/>
        <v>R 31-2</v>
      </c>
      <c r="D47" s="18">
        <f>D21/$C21</f>
        <v>0</v>
      </c>
      <c r="E47" s="18">
        <f>E21/$C21</f>
        <v>0</v>
      </c>
      <c r="F47" s="18">
        <f>F21/$C21</f>
        <v>0</v>
      </c>
    </row>
    <row r="48" spans="1:6">
      <c r="A48" s="13">
        <f t="shared" ref="A48:B48" si="41">A22</f>
        <v>20</v>
      </c>
      <c r="B48" s="13" t="str">
        <f t="shared" si="41"/>
        <v>L 32</v>
      </c>
      <c r="D48" s="18">
        <f t="shared" ref="D48:F48" si="42">D22/$C22</f>
        <v>0</v>
      </c>
      <c r="E48" s="18">
        <f t="shared" si="42"/>
        <v>0</v>
      </c>
      <c r="F48" s="18">
        <f t="shared" si="42"/>
        <v>0</v>
      </c>
    </row>
    <row r="49" spans="1:6">
      <c r="A49" s="13">
        <f t="shared" ref="A49:B49" si="43">A23</f>
        <v>21</v>
      </c>
      <c r="B49" s="13" t="str">
        <f t="shared" si="43"/>
        <v>R 32</v>
      </c>
      <c r="D49" s="18">
        <f t="shared" ref="D49:F49" si="44">D23/$C23</f>
        <v>0</v>
      </c>
      <c r="E49" s="18">
        <f t="shared" si="44"/>
        <v>0</v>
      </c>
      <c r="F49" s="18">
        <f t="shared" si="44"/>
        <v>0</v>
      </c>
    </row>
    <row r="50" spans="1:6">
      <c r="A50" s="13">
        <f t="shared" ref="A50:B50" si="45">A24</f>
        <v>22</v>
      </c>
      <c r="B50" s="13" t="str">
        <f t="shared" si="45"/>
        <v>L 33</v>
      </c>
      <c r="D50" s="18">
        <f t="shared" ref="D50:F50" si="46">D24/$C24</f>
        <v>0</v>
      </c>
      <c r="E50" s="18">
        <f t="shared" si="46"/>
        <v>0</v>
      </c>
      <c r="F50" s="18">
        <f t="shared" si="46"/>
        <v>0</v>
      </c>
    </row>
    <row r="51" spans="1:6">
      <c r="A51" s="13">
        <f t="shared" ref="A51:B51" si="47">A25</f>
        <v>23</v>
      </c>
      <c r="B51" s="13" t="str">
        <f t="shared" si="47"/>
        <v>R 33</v>
      </c>
      <c r="D51" s="18">
        <f>D25/$C25</f>
        <v>0</v>
      </c>
      <c r="E51" s="18">
        <f t="shared" ref="E51:F51" si="48">E25/$C25</f>
        <v>0</v>
      </c>
      <c r="F51" s="18">
        <f t="shared" si="48"/>
        <v>0</v>
      </c>
    </row>
    <row r="52" spans="1:6">
      <c r="A52" s="13">
        <f t="shared" ref="A52:B52" si="49">A26</f>
        <v>24</v>
      </c>
      <c r="B52" s="13" t="str">
        <f t="shared" si="49"/>
        <v>R 33-A</v>
      </c>
      <c r="D52" s="18">
        <f t="shared" ref="D52:F52" si="50">D26/$C26</f>
        <v>0.16747252747252747</v>
      </c>
      <c r="E52" s="18">
        <f t="shared" si="50"/>
        <v>0</v>
      </c>
      <c r="F52" s="18">
        <f t="shared" si="50"/>
        <v>0</v>
      </c>
    </row>
  </sheetData>
  <mergeCells count="2">
    <mergeCell ref="M1:Q1"/>
    <mergeCell ref="U1:Y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7"/>
  <sheetViews>
    <sheetView showGridLines="0" rightToLeft="1" zoomScale="85" zoomScaleNormal="85" workbookViewId="0">
      <selection activeCell="D9" sqref="D9"/>
    </sheetView>
  </sheetViews>
  <sheetFormatPr defaultColWidth="13" defaultRowHeight="18"/>
  <cols>
    <col min="1" max="16384" width="13" style="3"/>
  </cols>
  <sheetData>
    <row r="1" spans="1:19" ht="45">
      <c r="A1" s="279" t="s">
        <v>11</v>
      </c>
      <c r="B1" s="279" t="s">
        <v>10</v>
      </c>
      <c r="C1" s="280" t="s">
        <v>49</v>
      </c>
      <c r="D1" s="280" t="s">
        <v>264</v>
      </c>
      <c r="E1" s="280" t="s">
        <v>50</v>
      </c>
      <c r="F1" s="280" t="s">
        <v>51</v>
      </c>
    </row>
    <row r="2" spans="1:19" s="213" customFormat="1">
      <c r="A2" s="395">
        <v>1</v>
      </c>
      <c r="B2" s="530" t="s">
        <v>328</v>
      </c>
      <c r="C2" s="396">
        <v>566.4</v>
      </c>
      <c r="D2" s="396">
        <f>[8]C2!G6</f>
        <v>207.4</v>
      </c>
      <c r="E2" s="396">
        <f>[8]C2!J6</f>
        <v>0</v>
      </c>
      <c r="F2" s="397">
        <f>[8]C2!M6</f>
        <v>0</v>
      </c>
    </row>
    <row r="3" spans="1:19" ht="15" customHeight="1">
      <c r="A3" s="286">
        <v>2</v>
      </c>
      <c r="B3" s="283" t="s">
        <v>31</v>
      </c>
      <c r="C3" s="396">
        <v>290.5</v>
      </c>
      <c r="D3" s="396">
        <f>[8]C2!G7</f>
        <v>201.55</v>
      </c>
      <c r="E3" s="396">
        <f>[8]C2!J7</f>
        <v>0</v>
      </c>
      <c r="F3" s="397">
        <f>[8]C2!M7</f>
        <v>0</v>
      </c>
    </row>
    <row r="4" spans="1:19" s="213" customFormat="1" ht="15" customHeight="1" thickBot="1">
      <c r="A4" s="395">
        <v>3</v>
      </c>
      <c r="B4" s="398" t="s">
        <v>263</v>
      </c>
      <c r="C4" s="118">
        <v>210</v>
      </c>
      <c r="D4" s="118">
        <f>[8]C2!G8</f>
        <v>210</v>
      </c>
      <c r="E4" s="118">
        <f>[8]C2!J8</f>
        <v>219</v>
      </c>
      <c r="F4" s="118">
        <f>[8]C2!M8</f>
        <v>210</v>
      </c>
    </row>
    <row r="5" spans="1:19" ht="15" customHeight="1" thickBot="1">
      <c r="A5" s="286">
        <v>4</v>
      </c>
      <c r="B5" s="283" t="s">
        <v>32</v>
      </c>
      <c r="C5" s="5">
        <v>934.96</v>
      </c>
      <c r="D5" s="5">
        <f>[8]C2!G9</f>
        <v>296.60000000000002</v>
      </c>
      <c r="E5" s="5">
        <f>[8]C2!J9</f>
        <v>0</v>
      </c>
      <c r="F5" s="6">
        <f>[8]C2!M9</f>
        <v>0</v>
      </c>
      <c r="K5" s="671" t="s">
        <v>73</v>
      </c>
      <c r="L5" s="672"/>
      <c r="M5" s="672"/>
      <c r="N5" s="673"/>
      <c r="O5" s="671" t="s">
        <v>74</v>
      </c>
      <c r="P5" s="672"/>
      <c r="Q5" s="672"/>
      <c r="R5" s="673"/>
    </row>
    <row r="6" spans="1:19" ht="15" customHeight="1">
      <c r="A6" s="395">
        <v>5</v>
      </c>
      <c r="B6" s="283" t="s">
        <v>33</v>
      </c>
      <c r="C6" s="5">
        <v>931.41</v>
      </c>
      <c r="D6" s="5">
        <f>[8]C2!G10</f>
        <v>364.41</v>
      </c>
      <c r="E6" s="5">
        <f>[8]C2!J10</f>
        <v>0</v>
      </c>
      <c r="F6" s="6">
        <f>[8]C2!M10</f>
        <v>0</v>
      </c>
      <c r="K6" s="52" t="s">
        <v>55</v>
      </c>
      <c r="L6" s="53" t="s">
        <v>56</v>
      </c>
      <c r="M6" s="53" t="s">
        <v>57</v>
      </c>
      <c r="N6" s="53" t="s">
        <v>58</v>
      </c>
      <c r="O6" s="52" t="s">
        <v>55</v>
      </c>
      <c r="P6" s="53" t="s">
        <v>56</v>
      </c>
      <c r="Q6" s="53" t="s">
        <v>57</v>
      </c>
      <c r="R6" s="54" t="s">
        <v>58</v>
      </c>
      <c r="S6" s="3">
        <v>1</v>
      </c>
    </row>
    <row r="7" spans="1:19" ht="15" customHeight="1">
      <c r="A7" s="286">
        <v>6</v>
      </c>
      <c r="B7" s="283" t="s">
        <v>34</v>
      </c>
      <c r="C7" s="5">
        <v>1181.75</v>
      </c>
      <c r="D7" s="5">
        <f>[8]C2!G11</f>
        <v>379.8</v>
      </c>
      <c r="E7" s="5">
        <f>[8]C2!J11</f>
        <v>19.5</v>
      </c>
      <c r="F7" s="6">
        <f>[8]C2!M11</f>
        <v>0</v>
      </c>
      <c r="I7" s="399">
        <v>1</v>
      </c>
      <c r="J7" s="400" t="s">
        <v>153</v>
      </c>
      <c r="K7" s="47">
        <v>7.0000000000000007E-2</v>
      </c>
      <c r="L7" s="46">
        <f>D11</f>
        <v>0.3661723163841808</v>
      </c>
      <c r="M7" s="46">
        <f>1-L7</f>
        <v>0.6338276836158192</v>
      </c>
      <c r="N7" s="46">
        <f>$K$7</f>
        <v>7.0000000000000007E-2</v>
      </c>
      <c r="O7" s="47">
        <f>K7</f>
        <v>7.0000000000000007E-2</v>
      </c>
      <c r="P7" s="46">
        <f>E11</f>
        <v>0</v>
      </c>
      <c r="Q7" s="46">
        <f>1-P7</f>
        <v>1</v>
      </c>
      <c r="R7" s="48">
        <f>$K$7</f>
        <v>7.0000000000000007E-2</v>
      </c>
      <c r="S7" s="3">
        <v>1</v>
      </c>
    </row>
    <row r="8" spans="1:19" ht="15" customHeight="1">
      <c r="A8" s="395">
        <v>7</v>
      </c>
      <c r="B8" s="283" t="s">
        <v>35</v>
      </c>
      <c r="C8" s="5">
        <v>1116.25</v>
      </c>
      <c r="D8" s="5">
        <f>[8]C2!G12</f>
        <v>419.4</v>
      </c>
      <c r="E8" s="5">
        <f>[8]C2!J12</f>
        <v>0</v>
      </c>
      <c r="F8" s="6">
        <f>[8]C2!M12</f>
        <v>0</v>
      </c>
      <c r="I8" s="43">
        <v>2</v>
      </c>
      <c r="J8" s="12" t="s">
        <v>31</v>
      </c>
      <c r="K8" s="47">
        <f>$K$7</f>
        <v>7.0000000000000007E-2</v>
      </c>
      <c r="L8" s="46">
        <f t="shared" ref="L8:L11" si="0">D12</f>
        <v>0.69380378657487096</v>
      </c>
      <c r="M8" s="46">
        <f t="shared" ref="M8:M12" si="1">1-L8</f>
        <v>0.30619621342512904</v>
      </c>
      <c r="N8" s="46">
        <f t="shared" ref="N8:O13" si="2">$K$7</f>
        <v>7.0000000000000007E-2</v>
      </c>
      <c r="O8" s="47">
        <f>$K$7</f>
        <v>7.0000000000000007E-2</v>
      </c>
      <c r="P8" s="46">
        <f t="shared" ref="P8:P10" si="3">E12</f>
        <v>0</v>
      </c>
      <c r="Q8" s="46">
        <f t="shared" ref="Q8:Q13" si="4">1-P8</f>
        <v>1</v>
      </c>
      <c r="R8" s="48">
        <f t="shared" ref="R8:R13" si="5">$K$7</f>
        <v>7.0000000000000007E-2</v>
      </c>
      <c r="S8" s="3">
        <v>1</v>
      </c>
    </row>
    <row r="9" spans="1:19" ht="21">
      <c r="A9" s="670" t="s">
        <v>12</v>
      </c>
      <c r="B9" s="670"/>
      <c r="C9" s="9">
        <f>SUBTOTAL(109,Table4[طول کل
(متر)])</f>
        <v>5231.2700000000004</v>
      </c>
      <c r="D9" s="9">
        <f>SUBTOTAL(109,Table4[تاپ
(متر)])</f>
        <v>2079.16</v>
      </c>
      <c r="E9" s="9">
        <f>SUM(Table4[بنچ
(متر)])</f>
        <v>238.5</v>
      </c>
      <c r="F9" s="9">
        <f>SUM(Table4[لاینینگ
(متر)])</f>
        <v>210</v>
      </c>
      <c r="I9" s="399">
        <v>3</v>
      </c>
      <c r="J9" s="400" t="s">
        <v>263</v>
      </c>
      <c r="K9" s="47">
        <f>$K$7</f>
        <v>7.0000000000000007E-2</v>
      </c>
      <c r="L9" s="46">
        <f t="shared" si="0"/>
        <v>1</v>
      </c>
      <c r="M9" s="46">
        <f t="shared" si="1"/>
        <v>0</v>
      </c>
      <c r="N9" s="46">
        <f t="shared" si="2"/>
        <v>7.0000000000000007E-2</v>
      </c>
      <c r="O9" s="47">
        <f>$K$7</f>
        <v>7.0000000000000007E-2</v>
      </c>
      <c r="P9" s="46">
        <f t="shared" si="3"/>
        <v>1.0428571428571429</v>
      </c>
      <c r="Q9" s="46">
        <f t="shared" si="4"/>
        <v>-4.2857142857142927E-2</v>
      </c>
      <c r="R9" s="48">
        <f t="shared" si="5"/>
        <v>7.0000000000000007E-2</v>
      </c>
      <c r="S9" s="3">
        <v>1</v>
      </c>
    </row>
    <row r="10" spans="1:19">
      <c r="D10" s="3" t="s">
        <v>52</v>
      </c>
      <c r="E10" s="3" t="s">
        <v>53</v>
      </c>
      <c r="F10" s="3" t="s">
        <v>54</v>
      </c>
      <c r="I10" s="43">
        <v>4</v>
      </c>
      <c r="J10" s="12" t="s">
        <v>32</v>
      </c>
      <c r="K10" s="47">
        <f t="shared" ref="K10:K13" si="6">$K$7</f>
        <v>7.0000000000000007E-2</v>
      </c>
      <c r="L10" s="46">
        <f t="shared" si="0"/>
        <v>0.31723282279455806</v>
      </c>
      <c r="M10" s="46">
        <f t="shared" si="1"/>
        <v>0.682767177205442</v>
      </c>
      <c r="N10" s="46">
        <f t="shared" si="2"/>
        <v>7.0000000000000007E-2</v>
      </c>
      <c r="O10" s="47">
        <f t="shared" si="2"/>
        <v>7.0000000000000007E-2</v>
      </c>
      <c r="P10" s="46">
        <f t="shared" si="3"/>
        <v>0</v>
      </c>
      <c r="Q10" s="46">
        <f t="shared" si="4"/>
        <v>1</v>
      </c>
      <c r="R10" s="48">
        <f t="shared" si="5"/>
        <v>7.0000000000000007E-2</v>
      </c>
      <c r="S10" s="3">
        <v>1</v>
      </c>
    </row>
    <row r="11" spans="1:19">
      <c r="A11" s="399">
        <v>1</v>
      </c>
      <c r="B11" s="400" t="str">
        <f>B2</f>
        <v>L 33-A</v>
      </c>
      <c r="C11" s="401">
        <v>530</v>
      </c>
      <c r="D11" s="391">
        <f>D2/$C2</f>
        <v>0.3661723163841808</v>
      </c>
      <c r="E11" s="391">
        <f>E2/$C2</f>
        <v>0</v>
      </c>
      <c r="F11" s="404">
        <f t="shared" ref="F11" si="7">F2/$C2</f>
        <v>0</v>
      </c>
      <c r="I11" s="42">
        <v>5</v>
      </c>
      <c r="J11" s="11" t="s">
        <v>33</v>
      </c>
      <c r="K11" s="47">
        <f t="shared" si="6"/>
        <v>7.0000000000000007E-2</v>
      </c>
      <c r="L11" s="46">
        <f t="shared" si="0"/>
        <v>0.3912455309691758</v>
      </c>
      <c r="M11" s="46">
        <f t="shared" si="1"/>
        <v>0.6087544690308242</v>
      </c>
      <c r="N11" s="46">
        <f t="shared" si="2"/>
        <v>7.0000000000000007E-2</v>
      </c>
      <c r="O11" s="47">
        <f t="shared" si="2"/>
        <v>7.0000000000000007E-2</v>
      </c>
      <c r="P11" s="46">
        <f>E15</f>
        <v>0</v>
      </c>
      <c r="Q11" s="46">
        <f t="shared" si="4"/>
        <v>1</v>
      </c>
      <c r="R11" s="48">
        <f t="shared" si="5"/>
        <v>7.0000000000000007E-2</v>
      </c>
      <c r="S11" s="3">
        <v>1</v>
      </c>
    </row>
    <row r="12" spans="1:19">
      <c r="A12" s="43">
        <v>2</v>
      </c>
      <c r="B12" s="12" t="str">
        <f t="shared" ref="B12:B17" si="8">B3</f>
        <v>L 34</v>
      </c>
      <c r="C12" s="402">
        <v>270</v>
      </c>
      <c r="D12" s="393">
        <f t="shared" ref="D12:F12" si="9">D3/$C3</f>
        <v>0.69380378657487096</v>
      </c>
      <c r="E12" s="393">
        <f t="shared" si="9"/>
        <v>0</v>
      </c>
      <c r="F12" s="405">
        <f t="shared" si="9"/>
        <v>0</v>
      </c>
      <c r="I12" s="43">
        <v>6</v>
      </c>
      <c r="J12" s="12" t="s">
        <v>34</v>
      </c>
      <c r="K12" s="47">
        <f t="shared" si="6"/>
        <v>7.0000000000000007E-2</v>
      </c>
      <c r="L12" s="46">
        <f>D16</f>
        <v>0.32138777237148297</v>
      </c>
      <c r="M12" s="46">
        <f t="shared" si="1"/>
        <v>0.67861222762851703</v>
      </c>
      <c r="N12" s="46">
        <f t="shared" si="2"/>
        <v>7.0000000000000007E-2</v>
      </c>
      <c r="O12" s="47">
        <f t="shared" si="2"/>
        <v>7.0000000000000007E-2</v>
      </c>
      <c r="P12" s="46">
        <f t="shared" ref="P12:P13" si="10">E16</f>
        <v>1.650095197799873E-2</v>
      </c>
      <c r="Q12" s="46">
        <f t="shared" si="4"/>
        <v>0.98349904802200128</v>
      </c>
      <c r="R12" s="48">
        <f t="shared" si="5"/>
        <v>7.0000000000000007E-2</v>
      </c>
      <c r="S12" s="3">
        <v>1</v>
      </c>
    </row>
    <row r="13" spans="1:19" ht="18.75" thickBot="1">
      <c r="A13" s="399">
        <v>3</v>
      </c>
      <c r="B13" s="400" t="str">
        <f t="shared" si="8"/>
        <v>R 34</v>
      </c>
      <c r="C13" s="403">
        <v>210</v>
      </c>
      <c r="D13" s="389">
        <f t="shared" ref="D13:F13" si="11">D4/$C4</f>
        <v>1</v>
      </c>
      <c r="E13" s="389">
        <f>E4/$C4</f>
        <v>1.0428571428571429</v>
      </c>
      <c r="F13" s="406">
        <f t="shared" si="11"/>
        <v>1</v>
      </c>
      <c r="I13" s="42">
        <v>7</v>
      </c>
      <c r="J13" s="11" t="s">
        <v>35</v>
      </c>
      <c r="K13" s="49">
        <f t="shared" si="6"/>
        <v>7.0000000000000007E-2</v>
      </c>
      <c r="L13" s="50">
        <f>D17</f>
        <v>0.37572228443449046</v>
      </c>
      <c r="M13" s="50">
        <f>1-L13</f>
        <v>0.62427771556550948</v>
      </c>
      <c r="N13" s="50">
        <f t="shared" si="2"/>
        <v>7.0000000000000007E-2</v>
      </c>
      <c r="O13" s="49">
        <f t="shared" si="2"/>
        <v>7.0000000000000007E-2</v>
      </c>
      <c r="P13" s="50">
        <f t="shared" si="10"/>
        <v>0</v>
      </c>
      <c r="Q13" s="50">
        <f t="shared" si="4"/>
        <v>1</v>
      </c>
      <c r="R13" s="51">
        <f t="shared" si="5"/>
        <v>7.0000000000000007E-2</v>
      </c>
      <c r="S13" s="3">
        <v>1</v>
      </c>
    </row>
    <row r="14" spans="1:19">
      <c r="A14" s="43">
        <v>4</v>
      </c>
      <c r="B14" s="12" t="str">
        <f t="shared" si="8"/>
        <v>L 35</v>
      </c>
      <c r="C14" s="45">
        <v>917</v>
      </c>
      <c r="D14" s="23">
        <f t="shared" ref="D14:F14" si="12">D5/$C5</f>
        <v>0.31723282279455806</v>
      </c>
      <c r="E14" s="23">
        <f t="shared" si="12"/>
        <v>0</v>
      </c>
      <c r="F14" s="407">
        <f t="shared" si="12"/>
        <v>0</v>
      </c>
    </row>
    <row r="15" spans="1:19">
      <c r="A15" s="42">
        <v>5</v>
      </c>
      <c r="B15" s="11" t="str">
        <f t="shared" si="8"/>
        <v>R 35</v>
      </c>
      <c r="C15" s="44">
        <v>932</v>
      </c>
      <c r="D15" s="21">
        <f t="shared" ref="D15:F15" si="13">D6/$C6</f>
        <v>0.3912455309691758</v>
      </c>
      <c r="E15" s="21">
        <f t="shared" si="13"/>
        <v>0</v>
      </c>
      <c r="F15" s="408">
        <f t="shared" si="13"/>
        <v>0</v>
      </c>
    </row>
    <row r="16" spans="1:19">
      <c r="A16" s="43">
        <v>6</v>
      </c>
      <c r="B16" s="12" t="str">
        <f t="shared" si="8"/>
        <v>L 36</v>
      </c>
      <c r="C16" s="45">
        <v>1182</v>
      </c>
      <c r="D16" s="23">
        <f>D7/$C7</f>
        <v>0.32138777237148297</v>
      </c>
      <c r="E16" s="23">
        <f t="shared" ref="E16" si="14">E7/$C7</f>
        <v>1.650095197799873E-2</v>
      </c>
      <c r="F16" s="407">
        <f>F7/$C7</f>
        <v>0</v>
      </c>
    </row>
    <row r="17" spans="1:6">
      <c r="A17" s="42">
        <v>7</v>
      </c>
      <c r="B17" s="11" t="str">
        <f t="shared" si="8"/>
        <v>R 36</v>
      </c>
      <c r="C17" s="44">
        <v>1169</v>
      </c>
      <c r="D17" s="21">
        <f>D8/$C8</f>
        <v>0.37572228443449046</v>
      </c>
      <c r="E17" s="21">
        <f t="shared" ref="E17:F17" si="15">E8/$C8</f>
        <v>0</v>
      </c>
      <c r="F17" s="408">
        <f t="shared" si="15"/>
        <v>0</v>
      </c>
    </row>
  </sheetData>
  <mergeCells count="3">
    <mergeCell ref="A9:B9"/>
    <mergeCell ref="K5:N5"/>
    <mergeCell ref="O5:R5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8"/>
  <sheetViews>
    <sheetView showGridLines="0" rightToLeft="1" zoomScale="85" zoomScaleNormal="85" workbookViewId="0">
      <selection activeCell="D14" sqref="D14"/>
    </sheetView>
  </sheetViews>
  <sheetFormatPr defaultRowHeight="15"/>
  <cols>
    <col min="2" max="6" width="16" customWidth="1"/>
    <col min="7" max="7" width="16.28515625" bestFit="1" customWidth="1"/>
    <col min="8" max="8" width="15" bestFit="1" customWidth="1"/>
  </cols>
  <sheetData>
    <row r="1" spans="1:20" ht="48">
      <c r="A1" s="287" t="s">
        <v>11</v>
      </c>
      <c r="B1" s="287" t="s">
        <v>10</v>
      </c>
      <c r="C1" s="288" t="s">
        <v>46</v>
      </c>
      <c r="D1" s="288" t="s">
        <v>260</v>
      </c>
      <c r="E1" s="288" t="s">
        <v>47</v>
      </c>
      <c r="F1" s="288" t="s">
        <v>48</v>
      </c>
      <c r="G1" s="534" t="s">
        <v>330</v>
      </c>
      <c r="H1" s="534" t="s">
        <v>331</v>
      </c>
    </row>
    <row r="2" spans="1:20">
      <c r="A2" s="289">
        <v>1</v>
      </c>
      <c r="B2" s="289" t="s">
        <v>36</v>
      </c>
      <c r="C2" s="290">
        <f>[7]D2!D4</f>
        <v>120</v>
      </c>
      <c r="D2" s="290">
        <f>[7]D2!G4</f>
        <v>0</v>
      </c>
      <c r="E2" s="290">
        <f>[7]D2!K4</f>
        <v>0</v>
      </c>
      <c r="F2" s="290">
        <f>[7]D2!O4</f>
        <v>0</v>
      </c>
      <c r="G2" s="533" t="s">
        <v>355</v>
      </c>
      <c r="H2" s="533" t="s">
        <v>356</v>
      </c>
    </row>
    <row r="3" spans="1:20" ht="15.75" thickBot="1">
      <c r="A3" s="289">
        <v>2</v>
      </c>
      <c r="B3" s="289" t="s">
        <v>37</v>
      </c>
      <c r="C3" s="290">
        <f>[7]D2!D5</f>
        <v>40</v>
      </c>
      <c r="D3" s="290">
        <f>[7]D2!G5</f>
        <v>0</v>
      </c>
      <c r="E3" s="290">
        <f>[7]D2!K5</f>
        <v>0</v>
      </c>
      <c r="F3" s="290">
        <f>[7]D2!O5</f>
        <v>0</v>
      </c>
      <c r="G3" s="533" t="s">
        <v>357</v>
      </c>
      <c r="H3" s="533" t="s">
        <v>358</v>
      </c>
    </row>
    <row r="4" spans="1:20" ht="15.75" thickBot="1">
      <c r="A4" s="289">
        <v>3</v>
      </c>
      <c r="B4" s="289" t="s">
        <v>38</v>
      </c>
      <c r="C4" s="290">
        <f>[7]D2!D6</f>
        <v>197</v>
      </c>
      <c r="D4" s="290">
        <f>[7]D2!G6</f>
        <v>0</v>
      </c>
      <c r="E4" s="290">
        <f>[7]D2!K6</f>
        <v>0</v>
      </c>
      <c r="F4" s="290">
        <f>[7]D2!O6</f>
        <v>0</v>
      </c>
      <c r="G4" s="533" t="s">
        <v>359</v>
      </c>
      <c r="H4" s="533" t="s">
        <v>360</v>
      </c>
      <c r="M4" s="675" t="s">
        <v>75</v>
      </c>
      <c r="N4" s="676"/>
      <c r="O4" s="676"/>
      <c r="P4" s="677"/>
      <c r="Q4" s="675" t="s">
        <v>76</v>
      </c>
      <c r="R4" s="676"/>
      <c r="S4" s="676"/>
      <c r="T4" s="677"/>
    </row>
    <row r="5" spans="1:20">
      <c r="A5" s="289">
        <v>4</v>
      </c>
      <c r="B5" s="289" t="s">
        <v>39</v>
      </c>
      <c r="C5" s="290">
        <f>[7]D2!D7</f>
        <v>180</v>
      </c>
      <c r="D5" s="290">
        <f>[7]D2!G7</f>
        <v>0</v>
      </c>
      <c r="E5" s="290">
        <f>[7]D2!K7</f>
        <v>0</v>
      </c>
      <c r="F5" s="290">
        <f>[7]D2!O7</f>
        <v>0</v>
      </c>
      <c r="G5" s="533" t="s">
        <v>361</v>
      </c>
      <c r="H5" s="533" t="s">
        <v>362</v>
      </c>
      <c r="M5" s="67" t="s">
        <v>55</v>
      </c>
      <c r="N5" s="68" t="s">
        <v>56</v>
      </c>
      <c r="O5" s="68" t="s">
        <v>57</v>
      </c>
      <c r="P5" s="69" t="s">
        <v>58</v>
      </c>
      <c r="Q5" s="67" t="s">
        <v>55</v>
      </c>
      <c r="R5" s="68" t="s">
        <v>56</v>
      </c>
      <c r="S5" s="68" t="s">
        <v>57</v>
      </c>
      <c r="T5" s="69" t="s">
        <v>58</v>
      </c>
    </row>
    <row r="6" spans="1:20">
      <c r="A6" s="289">
        <v>5</v>
      </c>
      <c r="B6" s="289" t="s">
        <v>40</v>
      </c>
      <c r="C6" s="290">
        <f>[7]D2!D8</f>
        <v>158.91999999999999</v>
      </c>
      <c r="D6" s="290">
        <f>[7]D2!G8</f>
        <v>54.000000000000007</v>
      </c>
      <c r="E6" s="290">
        <f>[7]D2!K8</f>
        <v>0</v>
      </c>
      <c r="F6" s="290">
        <f>[7]D2!O8</f>
        <v>0</v>
      </c>
      <c r="G6" s="533" t="s">
        <v>363</v>
      </c>
      <c r="H6" s="533" t="s">
        <v>364</v>
      </c>
      <c r="I6" s="42">
        <v>1</v>
      </c>
      <c r="J6" s="55" t="s">
        <v>36</v>
      </c>
      <c r="K6" s="56"/>
      <c r="L6" s="59">
        <f>D17</f>
        <v>0</v>
      </c>
      <c r="M6" s="61">
        <v>7.0000000000000007E-2</v>
      </c>
      <c r="N6" s="62">
        <f>D17</f>
        <v>0</v>
      </c>
      <c r="O6" s="62">
        <f>1-N6</f>
        <v>1</v>
      </c>
      <c r="P6" s="63">
        <f>M6</f>
        <v>7.0000000000000007E-2</v>
      </c>
      <c r="Q6" s="61">
        <f>M6</f>
        <v>7.0000000000000007E-2</v>
      </c>
      <c r="R6" s="62">
        <f>E17</f>
        <v>0</v>
      </c>
      <c r="S6" s="62">
        <f>1-R6</f>
        <v>1</v>
      </c>
      <c r="T6" s="63">
        <f>Q6</f>
        <v>7.0000000000000007E-2</v>
      </c>
    </row>
    <row r="7" spans="1:20">
      <c r="A7" s="289">
        <v>6</v>
      </c>
      <c r="B7" s="289" t="s">
        <v>41</v>
      </c>
      <c r="C7" s="290">
        <f>[7]D2!D9</f>
        <v>130</v>
      </c>
      <c r="D7" s="290">
        <f>[7]D2!G9</f>
        <v>0</v>
      </c>
      <c r="E7" s="290">
        <f>[7]D2!K9</f>
        <v>0</v>
      </c>
      <c r="F7" s="290">
        <f>[7]D2!O9</f>
        <v>0</v>
      </c>
      <c r="G7" s="533" t="s">
        <v>365</v>
      </c>
      <c r="H7" s="533" t="s">
        <v>366</v>
      </c>
      <c r="I7" s="43">
        <v>2</v>
      </c>
      <c r="J7" s="57" t="s">
        <v>37</v>
      </c>
      <c r="K7" s="58"/>
      <c r="L7" s="59">
        <f>D18</f>
        <v>0</v>
      </c>
      <c r="M7" s="61">
        <f>$M$6</f>
        <v>7.0000000000000007E-2</v>
      </c>
      <c r="N7" s="62">
        <f t="shared" ref="N7:N17" si="0">D18</f>
        <v>0</v>
      </c>
      <c r="O7" s="62">
        <f t="shared" ref="O7:O17" si="1">1-N7</f>
        <v>1</v>
      </c>
      <c r="P7" s="63">
        <f t="shared" ref="P7:P17" si="2">M7</f>
        <v>7.0000000000000007E-2</v>
      </c>
      <c r="Q7" s="61">
        <f>$M$6</f>
        <v>7.0000000000000007E-2</v>
      </c>
      <c r="R7" s="62">
        <f t="shared" ref="R7:R17" si="3">E18</f>
        <v>0</v>
      </c>
      <c r="S7" s="62">
        <f t="shared" ref="S7:S17" si="4">1-R7</f>
        <v>1</v>
      </c>
      <c r="T7" s="63">
        <f t="shared" ref="T7:T17" si="5">Q7</f>
        <v>7.0000000000000007E-2</v>
      </c>
    </row>
    <row r="8" spans="1:20">
      <c r="A8" s="289">
        <v>7</v>
      </c>
      <c r="B8" s="289" t="s">
        <v>42</v>
      </c>
      <c r="C8" s="291">
        <f>[7]D2!D10</f>
        <v>512</v>
      </c>
      <c r="D8" s="291">
        <f>[7]D2!G10</f>
        <v>512</v>
      </c>
      <c r="E8" s="290">
        <f>[7]D2!K10</f>
        <v>204</v>
      </c>
      <c r="F8" s="290">
        <f>[7]D2!O10</f>
        <v>0</v>
      </c>
      <c r="G8" s="533" t="s">
        <v>367</v>
      </c>
      <c r="H8" s="533" t="s">
        <v>368</v>
      </c>
      <c r="I8" s="42">
        <v>3</v>
      </c>
      <c r="J8" s="55" t="s">
        <v>38</v>
      </c>
      <c r="K8" s="56"/>
      <c r="L8" s="59">
        <f>D19</f>
        <v>0</v>
      </c>
      <c r="M8" s="61">
        <f>$M$6</f>
        <v>7.0000000000000007E-2</v>
      </c>
      <c r="N8" s="62">
        <f t="shared" si="0"/>
        <v>0</v>
      </c>
      <c r="O8" s="62">
        <f t="shared" si="1"/>
        <v>1</v>
      </c>
      <c r="P8" s="63">
        <f t="shared" si="2"/>
        <v>7.0000000000000007E-2</v>
      </c>
      <c r="Q8" s="61">
        <f>$M$6</f>
        <v>7.0000000000000007E-2</v>
      </c>
      <c r="R8" s="62">
        <f t="shared" si="3"/>
        <v>0</v>
      </c>
      <c r="S8" s="62">
        <f t="shared" si="4"/>
        <v>1</v>
      </c>
      <c r="T8" s="63">
        <f t="shared" si="5"/>
        <v>7.0000000000000007E-2</v>
      </c>
    </row>
    <row r="9" spans="1:20">
      <c r="A9" s="289">
        <v>8</v>
      </c>
      <c r="B9" s="289" t="s">
        <v>43</v>
      </c>
      <c r="C9" s="291">
        <f>[7]D2!D11</f>
        <v>506</v>
      </c>
      <c r="D9" s="291">
        <f>[7]D2!G11</f>
        <v>506</v>
      </c>
      <c r="E9" s="290">
        <f>[7]D2!K11</f>
        <v>0</v>
      </c>
      <c r="F9" s="290">
        <f>[7]D2!O11</f>
        <v>0</v>
      </c>
      <c r="G9" s="533" t="s">
        <v>368</v>
      </c>
      <c r="H9" s="533" t="s">
        <v>369</v>
      </c>
      <c r="I9" s="43">
        <v>4</v>
      </c>
      <c r="J9" s="57" t="s">
        <v>39</v>
      </c>
      <c r="K9" s="56"/>
      <c r="L9" s="59"/>
      <c r="M9" s="61">
        <f t="shared" ref="M9:M11" si="6">$M$6</f>
        <v>7.0000000000000007E-2</v>
      </c>
      <c r="N9" s="62">
        <f t="shared" si="0"/>
        <v>0</v>
      </c>
      <c r="O9" s="62">
        <f t="shared" si="1"/>
        <v>1</v>
      </c>
      <c r="P9" s="63">
        <f t="shared" si="2"/>
        <v>7.0000000000000007E-2</v>
      </c>
      <c r="Q9" s="61">
        <f t="shared" ref="Q9:Q12" si="7">$M$6</f>
        <v>7.0000000000000007E-2</v>
      </c>
      <c r="R9" s="62">
        <f t="shared" si="3"/>
        <v>0</v>
      </c>
      <c r="S9" s="62">
        <f t="shared" si="4"/>
        <v>1</v>
      </c>
      <c r="T9" s="63">
        <f t="shared" si="5"/>
        <v>7.0000000000000007E-2</v>
      </c>
    </row>
    <row r="10" spans="1:20">
      <c r="A10" s="289">
        <v>9</v>
      </c>
      <c r="B10" s="464" t="s">
        <v>294</v>
      </c>
      <c r="C10" s="466">
        <f>[7]D2!D12</f>
        <v>480</v>
      </c>
      <c r="D10" s="466">
        <f>[7]D2!G12</f>
        <v>0</v>
      </c>
      <c r="E10" s="465">
        <f>[7]D2!K12</f>
        <v>0</v>
      </c>
      <c r="F10" s="465">
        <f>[7]D2!O12</f>
        <v>0</v>
      </c>
      <c r="G10" s="284" t="s">
        <v>422</v>
      </c>
      <c r="H10" s="284" t="s">
        <v>422</v>
      </c>
      <c r="I10" s="42">
        <v>5</v>
      </c>
      <c r="J10" s="55" t="s">
        <v>40</v>
      </c>
      <c r="K10" s="56"/>
      <c r="L10" s="59"/>
      <c r="M10" s="61">
        <f t="shared" si="6"/>
        <v>7.0000000000000007E-2</v>
      </c>
      <c r="N10" s="62">
        <f t="shared" si="0"/>
        <v>0.33979360684621202</v>
      </c>
      <c r="O10" s="62">
        <f t="shared" si="1"/>
        <v>0.66020639315378804</v>
      </c>
      <c r="P10" s="63">
        <f t="shared" si="2"/>
        <v>7.0000000000000007E-2</v>
      </c>
      <c r="Q10" s="61">
        <f t="shared" si="7"/>
        <v>7.0000000000000007E-2</v>
      </c>
      <c r="R10" s="62">
        <f t="shared" si="3"/>
        <v>0</v>
      </c>
      <c r="S10" s="62">
        <f t="shared" si="4"/>
        <v>1</v>
      </c>
      <c r="T10" s="63">
        <f t="shared" si="5"/>
        <v>7.0000000000000007E-2</v>
      </c>
    </row>
    <row r="11" spans="1:20">
      <c r="A11" s="289">
        <v>10</v>
      </c>
      <c r="B11" s="464" t="s">
        <v>295</v>
      </c>
      <c r="C11" s="466">
        <f>[7]D2!D13</f>
        <v>465</v>
      </c>
      <c r="D11" s="466">
        <f>[7]D2!G13</f>
        <v>0</v>
      </c>
      <c r="E11" s="465">
        <f>[7]D2!K13</f>
        <v>0</v>
      </c>
      <c r="F11" s="465">
        <f>[7]D2!O13</f>
        <v>0</v>
      </c>
      <c r="G11" s="284" t="s">
        <v>422</v>
      </c>
      <c r="H11" s="284" t="s">
        <v>422</v>
      </c>
      <c r="I11" s="43">
        <v>6</v>
      </c>
      <c r="J11" s="57" t="s">
        <v>41</v>
      </c>
      <c r="K11" s="56"/>
      <c r="L11" s="59"/>
      <c r="M11" s="61">
        <f t="shared" si="6"/>
        <v>7.0000000000000007E-2</v>
      </c>
      <c r="N11" s="62">
        <f t="shared" si="0"/>
        <v>0</v>
      </c>
      <c r="O11" s="62">
        <f t="shared" si="1"/>
        <v>1</v>
      </c>
      <c r="P11" s="63">
        <f t="shared" si="2"/>
        <v>7.0000000000000007E-2</v>
      </c>
      <c r="Q11" s="61">
        <f t="shared" si="7"/>
        <v>7.0000000000000007E-2</v>
      </c>
      <c r="R11" s="62">
        <f t="shared" si="3"/>
        <v>0</v>
      </c>
      <c r="S11" s="62">
        <f t="shared" si="4"/>
        <v>1</v>
      </c>
      <c r="T11" s="63">
        <f t="shared" si="5"/>
        <v>7.0000000000000007E-2</v>
      </c>
    </row>
    <row r="12" spans="1:20">
      <c r="A12" s="289">
        <v>11</v>
      </c>
      <c r="B12" s="289" t="s">
        <v>44</v>
      </c>
      <c r="C12" s="290">
        <f>[7]D2!D14</f>
        <v>397.7</v>
      </c>
      <c r="D12" s="290">
        <f>[7]D2!G14</f>
        <v>160.5</v>
      </c>
      <c r="E12" s="290">
        <f>[7]D2!K14</f>
        <v>0</v>
      </c>
      <c r="F12" s="290">
        <f>[7]D2!O14</f>
        <v>0</v>
      </c>
      <c r="G12" s="533" t="s">
        <v>370</v>
      </c>
      <c r="H12" s="533" t="s">
        <v>371</v>
      </c>
      <c r="I12" s="42">
        <v>7</v>
      </c>
      <c r="J12" s="55" t="s">
        <v>42</v>
      </c>
      <c r="K12" s="58"/>
      <c r="L12" s="59">
        <f t="shared" ref="L12:L17" si="8">D20</f>
        <v>0</v>
      </c>
      <c r="M12" s="61">
        <f t="shared" ref="M12:M17" si="9">$M$6</f>
        <v>7.0000000000000007E-2</v>
      </c>
      <c r="N12" s="62">
        <f t="shared" si="0"/>
        <v>1</v>
      </c>
      <c r="O12" s="62">
        <f t="shared" si="1"/>
        <v>0</v>
      </c>
      <c r="P12" s="63">
        <f t="shared" si="2"/>
        <v>7.0000000000000007E-2</v>
      </c>
      <c r="Q12" s="61">
        <f t="shared" si="7"/>
        <v>7.0000000000000007E-2</v>
      </c>
      <c r="R12" s="62">
        <f t="shared" si="3"/>
        <v>0.3984375</v>
      </c>
      <c r="S12" s="62">
        <f t="shared" si="4"/>
        <v>0.6015625</v>
      </c>
      <c r="T12" s="63">
        <f t="shared" si="5"/>
        <v>7.0000000000000007E-2</v>
      </c>
    </row>
    <row r="13" spans="1:20">
      <c r="A13" s="289">
        <v>12</v>
      </c>
      <c r="B13" s="289" t="s">
        <v>45</v>
      </c>
      <c r="C13" s="290">
        <f>[7]D2!D15</f>
        <v>394</v>
      </c>
      <c r="D13" s="290">
        <f>[7]D2!G15</f>
        <v>318.7</v>
      </c>
      <c r="E13" s="290">
        <f>[7]D2!K15</f>
        <v>50</v>
      </c>
      <c r="F13" s="290">
        <f>[7]D2!O15</f>
        <v>36</v>
      </c>
      <c r="G13" s="533" t="s">
        <v>372</v>
      </c>
      <c r="H13" s="533" t="s">
        <v>373</v>
      </c>
      <c r="I13" s="43">
        <v>8</v>
      </c>
      <c r="J13" s="57" t="s">
        <v>43</v>
      </c>
      <c r="K13" s="56"/>
      <c r="L13" s="59">
        <f t="shared" si="8"/>
        <v>0.33979360684621202</v>
      </c>
      <c r="M13" s="61">
        <f t="shared" si="9"/>
        <v>7.0000000000000007E-2</v>
      </c>
      <c r="N13" s="62">
        <f t="shared" si="0"/>
        <v>1</v>
      </c>
      <c r="O13" s="62">
        <f t="shared" si="1"/>
        <v>0</v>
      </c>
      <c r="P13" s="63">
        <f t="shared" si="2"/>
        <v>7.0000000000000007E-2</v>
      </c>
      <c r="Q13" s="61">
        <f t="shared" ref="Q13:Q17" si="10">$M$6</f>
        <v>7.0000000000000007E-2</v>
      </c>
      <c r="R13" s="62">
        <f t="shared" si="3"/>
        <v>0</v>
      </c>
      <c r="S13" s="62">
        <f t="shared" si="4"/>
        <v>1</v>
      </c>
      <c r="T13" s="63">
        <f t="shared" si="5"/>
        <v>7.0000000000000007E-2</v>
      </c>
    </row>
    <row r="14" spans="1:20" ht="21">
      <c r="A14" s="674" t="s">
        <v>12</v>
      </c>
      <c r="B14" s="674"/>
      <c r="C14" s="4">
        <f>SUBTOTAL(109,Table3[طول کل
متر])</f>
        <v>3580.62</v>
      </c>
      <c r="D14" s="4">
        <f>SUBTOTAL(109,Table3[تاپ
متر])</f>
        <v>1551.2</v>
      </c>
      <c r="E14" s="4">
        <f>SUM(Table3[بنچ
متر])</f>
        <v>254</v>
      </c>
      <c r="F14" s="4">
        <f>SUM(Table3[لاینینگ
متر])</f>
        <v>36</v>
      </c>
      <c r="I14" s="42">
        <v>9</v>
      </c>
      <c r="J14" s="55" t="s">
        <v>294</v>
      </c>
      <c r="K14" s="58"/>
      <c r="L14" s="59">
        <f t="shared" si="8"/>
        <v>0</v>
      </c>
      <c r="M14" s="61">
        <f t="shared" si="9"/>
        <v>7.0000000000000007E-2</v>
      </c>
      <c r="N14" s="62">
        <f t="shared" si="0"/>
        <v>0</v>
      </c>
      <c r="O14" s="62">
        <f t="shared" si="1"/>
        <v>1</v>
      </c>
      <c r="P14" s="63">
        <f t="shared" si="2"/>
        <v>7.0000000000000007E-2</v>
      </c>
      <c r="Q14" s="61">
        <f t="shared" si="10"/>
        <v>7.0000000000000007E-2</v>
      </c>
      <c r="R14" s="62">
        <f t="shared" si="3"/>
        <v>0</v>
      </c>
      <c r="S14" s="62">
        <f t="shared" si="4"/>
        <v>1</v>
      </c>
      <c r="T14" s="63">
        <f t="shared" si="5"/>
        <v>7.0000000000000007E-2</v>
      </c>
    </row>
    <row r="15" spans="1:20">
      <c r="I15" s="43">
        <v>10</v>
      </c>
      <c r="J15" s="57" t="s">
        <v>295</v>
      </c>
      <c r="K15" s="56"/>
      <c r="L15" s="59">
        <f t="shared" si="8"/>
        <v>1</v>
      </c>
      <c r="M15" s="61">
        <f t="shared" si="9"/>
        <v>7.0000000000000007E-2</v>
      </c>
      <c r="N15" s="62">
        <f t="shared" si="0"/>
        <v>0</v>
      </c>
      <c r="O15" s="62">
        <f t="shared" si="1"/>
        <v>1</v>
      </c>
      <c r="P15" s="63">
        <f t="shared" si="2"/>
        <v>7.0000000000000007E-2</v>
      </c>
      <c r="Q15" s="61">
        <f t="shared" si="10"/>
        <v>7.0000000000000007E-2</v>
      </c>
      <c r="R15" s="62">
        <f t="shared" si="3"/>
        <v>0</v>
      </c>
      <c r="S15" s="62">
        <f t="shared" si="4"/>
        <v>1</v>
      </c>
      <c r="T15" s="63">
        <f t="shared" si="5"/>
        <v>7.0000000000000007E-2</v>
      </c>
    </row>
    <row r="16" spans="1:20">
      <c r="D16" s="60" t="s">
        <v>52</v>
      </c>
      <c r="E16" s="60" t="s">
        <v>53</v>
      </c>
      <c r="F16" s="60" t="s">
        <v>54</v>
      </c>
      <c r="I16" s="42">
        <v>11</v>
      </c>
      <c r="J16" s="55" t="s">
        <v>44</v>
      </c>
      <c r="K16" s="58"/>
      <c r="L16" s="59">
        <f t="shared" si="8"/>
        <v>1</v>
      </c>
      <c r="M16" s="61">
        <f t="shared" si="9"/>
        <v>7.0000000000000007E-2</v>
      </c>
      <c r="N16" s="62">
        <f t="shared" si="0"/>
        <v>0.40357053055066633</v>
      </c>
      <c r="O16" s="62">
        <f t="shared" si="1"/>
        <v>0.59642946944933373</v>
      </c>
      <c r="P16" s="63">
        <f t="shared" si="2"/>
        <v>7.0000000000000007E-2</v>
      </c>
      <c r="Q16" s="61">
        <f t="shared" si="10"/>
        <v>7.0000000000000007E-2</v>
      </c>
      <c r="R16" s="62">
        <f t="shared" si="3"/>
        <v>0</v>
      </c>
      <c r="S16" s="62">
        <f t="shared" si="4"/>
        <v>1</v>
      </c>
      <c r="T16" s="63">
        <f t="shared" si="5"/>
        <v>7.0000000000000007E-2</v>
      </c>
    </row>
    <row r="17" spans="1:20" ht="15.75" thickBot="1">
      <c r="A17" s="42">
        <v>1</v>
      </c>
      <c r="B17" s="55" t="s">
        <v>36</v>
      </c>
      <c r="C17" s="56"/>
      <c r="D17" s="59">
        <f t="shared" ref="D17:F17" si="11">D2/$C2</f>
        <v>0</v>
      </c>
      <c r="E17" s="59">
        <f t="shared" si="11"/>
        <v>0</v>
      </c>
      <c r="F17" s="59">
        <f t="shared" si="11"/>
        <v>0</v>
      </c>
      <c r="I17" s="43">
        <v>12</v>
      </c>
      <c r="J17" s="57" t="s">
        <v>45</v>
      </c>
      <c r="K17" s="56"/>
      <c r="L17" s="59">
        <f t="shared" si="8"/>
        <v>0</v>
      </c>
      <c r="M17" s="64">
        <f t="shared" si="9"/>
        <v>7.0000000000000007E-2</v>
      </c>
      <c r="N17" s="65">
        <f t="shared" si="0"/>
        <v>0.8088832487309644</v>
      </c>
      <c r="O17" s="65">
        <f t="shared" si="1"/>
        <v>0.1911167512690356</v>
      </c>
      <c r="P17" s="66">
        <f t="shared" si="2"/>
        <v>7.0000000000000007E-2</v>
      </c>
      <c r="Q17" s="64">
        <f t="shared" si="10"/>
        <v>7.0000000000000007E-2</v>
      </c>
      <c r="R17" s="65">
        <f t="shared" si="3"/>
        <v>0.12690355329949238</v>
      </c>
      <c r="S17" s="65">
        <f t="shared" si="4"/>
        <v>0.87309644670050757</v>
      </c>
      <c r="T17" s="66">
        <f t="shared" si="5"/>
        <v>7.0000000000000007E-2</v>
      </c>
    </row>
    <row r="18" spans="1:20">
      <c r="A18" s="43">
        <v>2</v>
      </c>
      <c r="B18" s="57" t="s">
        <v>37</v>
      </c>
      <c r="C18" s="58"/>
      <c r="D18" s="59">
        <f t="shared" ref="D18:F18" si="12">D3/$C3</f>
        <v>0</v>
      </c>
      <c r="E18" s="59">
        <f t="shared" si="12"/>
        <v>0</v>
      </c>
      <c r="F18" s="59">
        <f t="shared" si="12"/>
        <v>0</v>
      </c>
    </row>
    <row r="19" spans="1:20">
      <c r="A19" s="42">
        <v>3</v>
      </c>
      <c r="B19" s="55" t="s">
        <v>38</v>
      </c>
      <c r="C19" s="56"/>
      <c r="D19" s="59">
        <f t="shared" ref="D19:F19" si="13">D4/$C4</f>
        <v>0</v>
      </c>
      <c r="E19" s="59">
        <f t="shared" si="13"/>
        <v>0</v>
      </c>
      <c r="F19" s="59">
        <f t="shared" si="13"/>
        <v>0</v>
      </c>
    </row>
    <row r="20" spans="1:20">
      <c r="A20" s="43">
        <v>4</v>
      </c>
      <c r="B20" s="57" t="s">
        <v>39</v>
      </c>
      <c r="C20" s="58"/>
      <c r="D20" s="59">
        <f t="shared" ref="D20:F20" si="14">D5/$C5</f>
        <v>0</v>
      </c>
      <c r="E20" s="59">
        <f t="shared" si="14"/>
        <v>0</v>
      </c>
      <c r="F20" s="59">
        <f t="shared" si="14"/>
        <v>0</v>
      </c>
    </row>
    <row r="21" spans="1:20">
      <c r="A21" s="42">
        <v>5</v>
      </c>
      <c r="B21" s="55" t="s">
        <v>40</v>
      </c>
      <c r="C21" s="56"/>
      <c r="D21" s="59">
        <f t="shared" ref="D21:F21" si="15">D6/$C6</f>
        <v>0.33979360684621202</v>
      </c>
      <c r="E21" s="59">
        <f t="shared" si="15"/>
        <v>0</v>
      </c>
      <c r="F21" s="59">
        <f t="shared" si="15"/>
        <v>0</v>
      </c>
    </row>
    <row r="22" spans="1:20">
      <c r="A22" s="43">
        <v>6</v>
      </c>
      <c r="B22" s="57" t="s">
        <v>41</v>
      </c>
      <c r="C22" s="58"/>
      <c r="D22" s="59">
        <f t="shared" ref="D22:F22" si="16">D7/$C7</f>
        <v>0</v>
      </c>
      <c r="E22" s="59">
        <f t="shared" si="16"/>
        <v>0</v>
      </c>
      <c r="F22" s="59">
        <f t="shared" si="16"/>
        <v>0</v>
      </c>
    </row>
    <row r="23" spans="1:20">
      <c r="A23" s="42">
        <v>7</v>
      </c>
      <c r="B23" s="55" t="s">
        <v>42</v>
      </c>
      <c r="C23" s="56"/>
      <c r="D23" s="59">
        <f t="shared" ref="D23:F23" si="17">D8/$C8</f>
        <v>1</v>
      </c>
      <c r="E23" s="59">
        <f t="shared" si="17"/>
        <v>0.3984375</v>
      </c>
      <c r="F23" s="59">
        <f t="shared" si="17"/>
        <v>0</v>
      </c>
    </row>
    <row r="24" spans="1:20">
      <c r="A24" s="43">
        <v>8</v>
      </c>
      <c r="B24" s="57" t="s">
        <v>43</v>
      </c>
      <c r="C24" s="58"/>
      <c r="D24" s="59">
        <f t="shared" ref="D24:F24" si="18">D9/$C9</f>
        <v>1</v>
      </c>
      <c r="E24" s="59">
        <f t="shared" si="18"/>
        <v>0</v>
      </c>
      <c r="F24" s="59">
        <f t="shared" si="18"/>
        <v>0</v>
      </c>
    </row>
    <row r="25" spans="1:20">
      <c r="A25" s="42">
        <v>9</v>
      </c>
      <c r="B25" s="55" t="s">
        <v>294</v>
      </c>
      <c r="C25" s="56"/>
      <c r="D25" s="59">
        <f t="shared" ref="D25:F25" si="19">D10/$C10</f>
        <v>0</v>
      </c>
      <c r="E25" s="59">
        <f t="shared" si="19"/>
        <v>0</v>
      </c>
      <c r="F25" s="59">
        <f t="shared" si="19"/>
        <v>0</v>
      </c>
    </row>
    <row r="26" spans="1:20">
      <c r="A26" s="43">
        <v>10</v>
      </c>
      <c r="B26" s="57" t="s">
        <v>295</v>
      </c>
      <c r="C26" s="58"/>
      <c r="D26" s="59">
        <f t="shared" ref="D26:F26" si="20">D11/$C11</f>
        <v>0</v>
      </c>
      <c r="E26" s="59">
        <f t="shared" si="20"/>
        <v>0</v>
      </c>
      <c r="F26" s="59">
        <f t="shared" si="20"/>
        <v>0</v>
      </c>
    </row>
    <row r="27" spans="1:20">
      <c r="A27" s="42">
        <v>11</v>
      </c>
      <c r="B27" s="55" t="s">
        <v>44</v>
      </c>
      <c r="D27" s="59">
        <f t="shared" ref="D27:F27" si="21">D12/$C12</f>
        <v>0.40357053055066633</v>
      </c>
      <c r="E27" s="59">
        <f t="shared" si="21"/>
        <v>0</v>
      </c>
      <c r="F27" s="59">
        <f t="shared" si="21"/>
        <v>0</v>
      </c>
    </row>
    <row r="28" spans="1:20">
      <c r="A28" s="43">
        <v>12</v>
      </c>
      <c r="B28" s="57" t="s">
        <v>45</v>
      </c>
      <c r="D28" s="59">
        <f t="shared" ref="D28:F28" si="22">D13/$C13</f>
        <v>0.8088832487309644</v>
      </c>
      <c r="E28" s="59">
        <f t="shared" si="22"/>
        <v>0.12690355329949238</v>
      </c>
      <c r="F28" s="59">
        <f t="shared" si="22"/>
        <v>9.1370558375634514E-2</v>
      </c>
    </row>
  </sheetData>
  <mergeCells count="3">
    <mergeCell ref="A14:B14"/>
    <mergeCell ref="M4:P4"/>
    <mergeCell ref="Q4:T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7</vt:i4>
      </vt:variant>
    </vt:vector>
  </HeadingPairs>
  <TitlesOfParts>
    <vt:vector size="38" baseType="lpstr">
      <vt:lpstr>مشخصات منطقه 2</vt:lpstr>
      <vt:lpstr>مشخصات منطقه</vt:lpstr>
      <vt:lpstr>مشخصات باند شرقی</vt:lpstr>
      <vt:lpstr>مشخصات باند غربی</vt:lpstr>
      <vt:lpstr>Sheet1</vt:lpstr>
      <vt:lpstr>A2</vt:lpstr>
      <vt:lpstr>B2</vt:lpstr>
      <vt:lpstr>C2</vt:lpstr>
      <vt:lpstr>D2</vt:lpstr>
      <vt:lpstr>WBS-با البرز شرقی</vt:lpstr>
      <vt:lpstr>کل منطقه 2 - با البرز شرقی</vt:lpstr>
      <vt:lpstr>WBS-بدون البرز شرقی</vt:lpstr>
      <vt:lpstr>کل منطقه 2 - بدون البرز شرقی</vt:lpstr>
      <vt:lpstr>گزارش مهندس بیگلر</vt:lpstr>
      <vt:lpstr>Bridges</vt:lpstr>
      <vt:lpstr>West Alborz Tunnel</vt:lpstr>
      <vt:lpstr>حفاری</vt:lpstr>
      <vt:lpstr>لاینینگ</vt:lpstr>
      <vt:lpstr>خاکبرداری</vt:lpstr>
      <vt:lpstr>خاکریزی</vt:lpstr>
      <vt:lpstr>خاکبرداری سال 97</vt:lpstr>
      <vt:lpstr>حفاری سال 97</vt:lpstr>
      <vt:lpstr>Every 2 Weeks</vt:lpstr>
      <vt:lpstr>2 pages report</vt:lpstr>
      <vt:lpstr>عملیات اجرایی</vt:lpstr>
      <vt:lpstr>وزن دهی کل پروژه</vt:lpstr>
      <vt:lpstr>وزن دهی قطعات-بدون البرز شرقی</vt:lpstr>
      <vt:lpstr>وضعیت مطالبات پیمانکاران</vt:lpstr>
      <vt:lpstr>خلاصه وضعیت مطالبات پیمانکاران</vt:lpstr>
      <vt:lpstr>مقایسه 96 و 97</vt:lpstr>
      <vt:lpstr>وضعیت تملک-نامه ویسان</vt:lpstr>
      <vt:lpstr>خاکبرداری!Print_Area</vt:lpstr>
      <vt:lpstr>'خلاصه وضعیت مطالبات پیمانکاران'!Print_Area</vt:lpstr>
      <vt:lpstr>'گزارش مهندس بیگلر'!Print_Area</vt:lpstr>
      <vt:lpstr>'مشخصات منطقه 2'!Print_Area</vt:lpstr>
      <vt:lpstr>'وزن دهی قطعات-بدون البرز شرقی'!Print_Area</vt:lpstr>
      <vt:lpstr>'وزن دهی کل پروژه'!Print_Area</vt:lpstr>
      <vt:lpstr>'وضعیت تملک-نامه ویسان'!Print_Area</vt:lpstr>
    </vt:vector>
  </TitlesOfParts>
  <Company>rahyab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امید رحمانی</dc:creator>
  <cp:lastModifiedBy>امید رحمانی</cp:lastModifiedBy>
  <cp:lastPrinted>2019-08-24T05:00:45Z</cp:lastPrinted>
  <dcterms:created xsi:type="dcterms:W3CDTF">2019-03-19T09:36:24Z</dcterms:created>
  <dcterms:modified xsi:type="dcterms:W3CDTF">2019-12-11T08:18:23Z</dcterms:modified>
</cp:coreProperties>
</file>