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amp; HLOOKUP  " sheetId="2" r:id="rId5"/>
    <sheet state="visible" name="INDEX(MATCH, MATCH)" sheetId="3" r:id="rId6"/>
    <sheet state="visible" name="Text &amp; Date Functions, Round &amp; " sheetId="4" r:id="rId7"/>
    <sheet state="visible" name="Practice" sheetId="5" r:id="rId8"/>
  </sheets>
  <definedNames>
    <definedName name="results_with_index">'INDEX(MATCH, MATCH)'!$C$2:$G$210</definedName>
    <definedName name="covid">'COVID-19 Raw Data'!$A$2:$AG$53</definedName>
    <definedName name="iso_code">'COVID-19 Raw Data'!$A$2:$A$53</definedName>
    <definedName name="location">'COVID-19 Raw Data'!$C$2:$C$53</definedName>
    <definedName name="total_cases_index">'INDEX(MATCH, MATCH)'!$D$2:$D$210</definedName>
    <definedName name="columns">'COVID-19 Raw Data'!$A$2:$AG$2</definedName>
    <definedName name="covid_vlookup">'COVID-19 Raw Data'!$C$2:$AG$53</definedName>
    <definedName name="covid_hlookup">'COVID-19 Raw Data'!$C$2:$AG$3</definedName>
  </definedNames>
  <calcPr/>
</workbook>
</file>

<file path=xl/sharedStrings.xml><?xml version="1.0" encoding="utf-8"?>
<sst xmlns="http://schemas.openxmlformats.org/spreadsheetml/2006/main" count="1673" uniqueCount="609">
  <si>
    <t>Source</t>
  </si>
  <si>
    <t>iso_code</t>
  </si>
  <si>
    <t>continent</t>
  </si>
  <si>
    <t>location</t>
  </si>
  <si>
    <t>Reproduction Rate</t>
  </si>
  <si>
    <t>Stringency Index</t>
  </si>
  <si>
    <t>Aged 65 Older</t>
  </si>
  <si>
    <t>Aged 70 Older</t>
  </si>
  <si>
    <t>Cardiovasc Death Rate</t>
  </si>
  <si>
    <t>Diabetes Prevalence</t>
  </si>
  <si>
    <t>Extreme Poverty</t>
  </si>
  <si>
    <t>Female Smokers</t>
  </si>
  <si>
    <t>Gdp Per Capita</t>
  </si>
  <si>
    <t>Handwashing Facilities</t>
  </si>
  <si>
    <t>Hosp Patients Per Million</t>
  </si>
  <si>
    <t>Hosp Patients</t>
  </si>
  <si>
    <t>Hospital Beds Per Thousand</t>
  </si>
  <si>
    <t>Human Development Index</t>
  </si>
  <si>
    <t>Icu Patients Per Million</t>
  </si>
  <si>
    <t>Icu Patients</t>
  </si>
  <si>
    <t>Life Expectancy</t>
  </si>
  <si>
    <t>Male Smokers</t>
  </si>
  <si>
    <t>Median Age</t>
  </si>
  <si>
    <t>people_fully_vaccinated</t>
  </si>
  <si>
    <t>people_fully_vaccinated_per_hundred</t>
  </si>
  <si>
    <t>people_vaccinated</t>
  </si>
  <si>
    <t>people_vaccinated_per_hundred</t>
  </si>
  <si>
    <t>Population Density</t>
  </si>
  <si>
    <t>Population</t>
  </si>
  <si>
    <t>Total Cases Per Million</t>
  </si>
  <si>
    <t>Total Cases</t>
  </si>
  <si>
    <t>Total Deaths Per Million</t>
  </si>
  <si>
    <t>Total Deaths</t>
  </si>
  <si>
    <t>Total Tests Per Thousand</t>
  </si>
  <si>
    <t>Total Tests</t>
  </si>
  <si>
    <t>Total Vaccinations Per Hundred</t>
  </si>
  <si>
    <t>Total Vaccinations</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</si>
  <si>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</si>
  <si>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</si>
  <si>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</si>
  <si>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</si>
  <si>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</si>
  <si>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</si>
  <si>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</si>
  <si>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</si>
  <si>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</si>
  <si>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</si>
  <si>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</si>
  <si>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</si>
  <si>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</si>
  <si>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</si>
  <si>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</si>
  <si>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</si>
  <si>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</si>
  <si>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</si>
  <si>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CYP</t>
  </si>
  <si>
    <t>Cyprus</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</si>
  <si>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</si>
  <si>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</si>
  <si>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</si>
  <si>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</si>
  <si>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</si>
  <si>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</si>
  <si>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</si>
  <si>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</si>
  <si>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</si>
  <si>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</si>
  <si>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</si>
  <si>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</si>
  <si>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</si>
  <si>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</si>
  <si>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</si>
  <si>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</si>
  <si>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</si>
  <si>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</si>
  <si>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</si>
  <si>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</si>
  <si>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</si>
  <si>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</si>
  <si>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</si>
  <si>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</si>
  <si>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</si>
  <si>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</si>
  <si>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</si>
  <si>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</si>
  <si>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</si>
  <si>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</si>
  <si>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</si>
  <si>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</si>
  <si>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</si>
  <si>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</si>
  <si>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</si>
  <si>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</si>
  <si>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</si>
  <si>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</si>
  <si>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</si>
  <si>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</si>
  <si>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</si>
  <si>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</si>
  <si>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</si>
  <si>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</si>
  <si>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</si>
  <si>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</si>
  <si>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</si>
  <si>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</si>
  <si>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</si>
  <si>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</si>
  <si>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</si>
  <si>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</si>
  <si>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</si>
  <si>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</si>
  <si>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</si>
  <si>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</si>
  <si>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</si>
  <si>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</si>
  <si>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</si>
  <si>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</si>
  <si>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OWID_KOS</t>
  </si>
  <si>
    <t>Kosovo</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</si>
  <si>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</si>
  <si>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</si>
  <si>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</si>
  <si>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</si>
  <si>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</si>
  <si>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</si>
  <si>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</si>
  <si>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</si>
  <si>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</si>
  <si>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</si>
  <si>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</si>
  <si>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</si>
  <si>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</si>
  <si>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</si>
  <si>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</si>
  <si>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</si>
  <si>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</si>
  <si>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</si>
  <si>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</si>
  <si>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</si>
  <si>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</si>
  <si>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</si>
  <si>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</si>
  <si>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</si>
  <si>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</si>
  <si>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</si>
  <si>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</si>
  <si>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</si>
  <si>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</si>
  <si>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</si>
  <si>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</si>
  <si>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</si>
  <si>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</si>
  <si>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</si>
  <si>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</si>
  <si>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</si>
  <si>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</si>
  <si>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</si>
  <si>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</si>
  <si>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</si>
  <si>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</si>
  <si>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</si>
  <si>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</si>
  <si>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</si>
  <si>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</si>
  <si>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</si>
  <si>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</si>
  <si>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</si>
  <si>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</si>
  <si>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</si>
  <si>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</si>
  <si>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</si>
  <si>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</si>
  <si>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</si>
  <si>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</si>
  <si>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</si>
  <si>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</si>
  <si>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</si>
  <si>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</si>
  <si>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</si>
  <si>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</si>
  <si>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</si>
  <si>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</si>
  <si>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</si>
  <si>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</si>
  <si>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</si>
  <si>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</si>
  <si>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</si>
  <si>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</si>
  <si>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</si>
  <si>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</si>
  <si>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</si>
  <si>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</si>
  <si>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</si>
  <si>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</si>
  <si>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</si>
  <si>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</si>
  <si>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</si>
  <si>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</si>
  <si>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</si>
  <si>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</si>
  <si>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</si>
  <si>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</si>
  <si>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</si>
  <si>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</si>
  <si>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</si>
  <si>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</si>
  <si>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</si>
  <si>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</si>
  <si>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</si>
  <si>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</si>
  <si>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</si>
  <si>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</si>
  <si>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</si>
  <si>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</si>
  <si>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</si>
  <si>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</si>
  <si>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</si>
  <si>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</si>
  <si>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</si>
  <si>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</si>
  <si>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</si>
  <si>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</si>
  <si>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</si>
  <si>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</si>
  <si>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</si>
  <si>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</si>
  <si>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</si>
  <si>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</si>
  <si>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</si>
  <si>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</si>
  <si>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</si>
  <si>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</si>
  <si>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</si>
  <si>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</si>
  <si>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</si>
  <si>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</si>
  <si>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</si>
  <si>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</si>
  <si>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</si>
  <si>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</si>
  <si>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</si>
  <si>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</si>
  <si>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</si>
  <si>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</si>
  <si>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</si>
  <si>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</si>
  <si>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</si>
  <si>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</si>
  <si>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</si>
  <si>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</si>
  <si>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</si>
  <si>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</si>
  <si>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</si>
  <si>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</si>
  <si>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</si>
  <si>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</si>
  <si>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</si>
  <si>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</si>
  <si>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</si>
  <si>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</si>
  <si>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</si>
  <si>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</si>
  <si>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</si>
  <si>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</si>
  <si>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</si>
  <si>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</si>
  <si>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</si>
  <si>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</si>
  <si>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</si>
  <si>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</si>
  <si>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</si>
  <si>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</si>
  <si>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</si>
  <si>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</si>
  <si>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</si>
  <si>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</si>
  <si>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</si>
  <si>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</si>
  <si>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</si>
  <si>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</si>
  <si>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</si>
  <si>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</si>
  <si>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</si>
  <si>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</si>
  <si>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</si>
  <si>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</si>
  <si>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</si>
  <si>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</si>
  <si>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</si>
  <si>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</si>
  <si>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</si>
  <si>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</si>
  <si>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</si>
  <si>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</si>
  <si>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</si>
  <si>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</si>
  <si>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</si>
  <si>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</si>
  <si>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</si>
  <si>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</si>
  <si>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</si>
  <si>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</si>
  <si>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</si>
  <si>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</si>
  <si>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</si>
  <si>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</si>
  <si>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</si>
  <si>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</si>
  <si>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</si>
  <si>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</si>
  <si>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</si>
  <si>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</si>
  <si>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</si>
  <si>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</si>
  <si>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</si>
  <si>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</si>
  <si>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</si>
  <si>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</si>
  <si>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</si>
  <si>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</si>
  <si>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</si>
  <si>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</si>
  <si>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</si>
  <si>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</si>
  <si>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</si>
  <si>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</si>
  <si>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</si>
  <si>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</si>
  <si>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</si>
  <si>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</si>
  <si>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</si>
  <si>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</si>
  <si>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</si>
  <si>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</si>
  <si>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</si>
  <si>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</si>
  <si>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</si>
  <si>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</si>
  <si>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</si>
  <si>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</si>
  <si>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</si>
  <si>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</si>
  <si>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</si>
  <si>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</si>
  <si>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</si>
  <si>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</si>
  <si>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</si>
  <si>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</si>
  <si>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</si>
  <si>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</si>
  <si>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</si>
  <si>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</si>
  <si>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</si>
  <si>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</si>
  <si>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</si>
  <si>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</si>
  <si>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</si>
  <si>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</si>
  <si>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</si>
  <si>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</si>
  <si>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</si>
  <si>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</si>
  <si>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</si>
  <si>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</si>
  <si>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</si>
  <si>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</si>
  <si>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</si>
  <si>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</si>
  <si>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</si>
  <si>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</si>
  <si>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</si>
  <si>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</si>
  <si>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</si>
  <si>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</si>
  <si>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</si>
  <si>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</si>
  <si>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</si>
  <si>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</si>
  <si>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</si>
  <si>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</si>
  <si>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</si>
  <si>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</si>
  <si>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</si>
  <si>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</si>
  <si>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</si>
  <si>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</si>
  <si>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</si>
  <si>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</si>
  <si>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</si>
  <si>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</si>
  <si>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</si>
  <si>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</si>
  <si>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</si>
  <si>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</si>
  <si>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</si>
  <si>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</si>
  <si>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</si>
  <si>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</si>
  <si>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</si>
  <si>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</si>
  <si>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</si>
  <si>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</si>
  <si>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</si>
  <si>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</si>
  <si>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</si>
  <si>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</si>
  <si>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</si>
  <si>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</si>
  <si>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</si>
  <si>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</si>
  <si>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</si>
  <si>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</si>
  <si>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</si>
  <si>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</si>
  <si>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</si>
  <si>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</si>
  <si>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</si>
  <si>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</si>
  <si>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</si>
  <si>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</si>
  <si>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</si>
  <si>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</si>
  <si>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</si>
  <si>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</si>
  <si>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</si>
  <si>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</si>
  <si>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</si>
  <si>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</si>
  <si>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</si>
  <si>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</si>
  <si>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</si>
  <si>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</si>
  <si>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</si>
  <si>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</si>
  <si>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</si>
  <si>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</si>
  <si>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</si>
  <si>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</si>
  <si>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</si>
  <si>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</si>
  <si>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</si>
  <si>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</si>
  <si>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</si>
  <si>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</si>
  <si>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</si>
  <si>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</si>
  <si>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</si>
  <si>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</si>
  <si>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</si>
  <si>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</si>
  <si>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</si>
  <si>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</si>
  <si>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</si>
  <si>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</si>
  <si>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</si>
  <si>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</si>
  <si>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</si>
  <si>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</si>
  <si>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</si>
  <si>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</si>
  <si>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</si>
  <si>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</si>
  <si>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</si>
  <si>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</si>
  <si>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</si>
  <si>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</si>
  <si>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</si>
  <si>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</si>
  <si>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</si>
  <si>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</si>
  <si>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CONCATENTATE, UPPER, LOWER, PROPER, LEFT, RIGHT, LEN, FIND/SEARCH, JOIN, TEXTJOIN, TRIM, SPLIT, and TRANSPOSE</t>
  </si>
  <si>
    <t>ROUND</t>
  </si>
  <si>
    <t>RAND</t>
  </si>
  <si>
    <t>RANDBETWEEN</t>
  </si>
  <si>
    <t>total_cases</t>
  </si>
  <si>
    <t>total_deaths</t>
  </si>
  <si>
    <t>%_death_per_cases</t>
  </si>
  <si>
    <t>Random Numbers</t>
  </si>
  <si>
    <t>Random Numbers 2</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</si>
  <si>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</si>
  <si>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</si>
  <si>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</si>
  <si>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</si>
  <si>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</si>
  <si>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</si>
  <si>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</si>
  <si>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</si>
  <si>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</si>
  <si>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</si>
  <si>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</si>
  <si>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</si>
  <si>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</si>
  <si>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</si>
  <si>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</si>
  <si>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</si>
  <si>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</si>
  <si>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</si>
  <si>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</si>
  <si>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</si>
  <si>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</si>
  <si>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</si>
  <si>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year, week, day, hour</t>
  </si>
  <si>
    <t>Group 4</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</si>
  <si>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</si>
  <si>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</si>
  <si>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</si>
  <si>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</si>
  <si>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</si>
  <si>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</si>
  <si>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</si>
  <si>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</si>
  <si>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</si>
  <si>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</si>
  <si>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</si>
  <si>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</si>
  <si>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</si>
  <si>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</si>
  <si>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</si>
  <si>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</si>
  <si>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</si>
  <si>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</si>
  <si>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</si>
  <si>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</si>
  <si>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</si>
  <si>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</si>
  <si>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</si>
  <si>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</si>
  <si>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</si>
  <si>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</si>
  <si>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</si>
  <si>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</si>
  <si>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</si>
  <si>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</si>
  <si>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</si>
  <si>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</si>
  <si>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</si>
  <si>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</si>
  <si>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</si>
  <si>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</si>
  <si>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</si>
  <si>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</si>
  <si>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</si>
  <si>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</si>
  <si>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</si>
  <si>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</si>
  <si>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</si>
  <si>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</si>
  <si>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</si>
  <si>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</si>
  <si>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</si>
  <si>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</si>
  <si>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</si>
  <si>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</si>
  <si>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</si>
  <si>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</si>
  <si>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</si>
  <si>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</si>
  <si>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</si>
  <si>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</si>
  <si>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</si>
  <si>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</si>
  <si>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</si>
  <si>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</si>
  <si>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</si>
  <si>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</si>
  <si>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</si>
  <si>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</si>
  <si>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</si>
  <si>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</si>
  <si>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</si>
  <si>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</si>
  <si>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</si>
  <si>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</si>
  <si>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</si>
  <si>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</si>
  <si>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</si>
  <si>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</si>
  <si>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</si>
  <si>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</si>
  <si>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</si>
  <si>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</si>
  <si>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</si>
  <si>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</si>
  <si>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</si>
  <si>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</si>
  <si>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</si>
  <si>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</si>
  <si>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</si>
  <si>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</si>
  <si>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</si>
  <si>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</si>
  <si>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</si>
  <si>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</si>
  <si>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</si>
  <si>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</si>
  <si>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</si>
  <si>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</si>
  <si>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</si>
  <si>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</si>
  <si>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</si>
  <si>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</si>
  <si>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</si>
  <si>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</si>
  <si>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</si>
  <si>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</si>
  <si>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</si>
  <si>
    <t>year</t>
  </si>
  <si>
    <t>week</t>
  </si>
  <si>
    <t>hour</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</si>
</sst>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yyyy h:mm:ss"/>
    <numFmt numFmtId="166" formatCode="dddd"/>
    <numFmt numFmtId="167" formatCode="&quot; &quot;dddd"/>
    <numFmt numFmtId="168" formatCode="[$£]#,##0"/>
    <numFmt numFmtId="169" formatCode="&quot;$&quot;#,##0"/>
    <numFmt numFmtId="170" formatCode="m/d/yyyy"/>
  </numFmts>
  <fonts count="6">
    <font>
      <sz val="10.0"/>
      <color rgb="FF000000"/>
      <name val="Arial"/>
    </font>
    <font>
      <u/>
      <color rgb="FF1155CC"/>
    </font>
    <font>
      <color theme="1"/>
      <name val="Arial"/>
    </font>
    <font>
      <b/>
      <color theme="1"/>
      <name val="Arial"/>
    </font>
    <font>
      <b/>
      <color theme="1"/>
      <name val="&quot;Source Sans Pro&quot;"/>
    </font>
    <font>
      <color theme="1"/>
      <name val="&quot;Source Sans Pro&quot;"/>
    </font>
  </fonts>
  <fills count="6">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
      <patternFill patternType="solid">
        <fgColor rgb="FFEFEFEF"/>
        <bgColor rgb="FFEFEFEF"/>
      </patternFill>
    </fill>
  </fills>
  <borders count="6">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2" fontId="3" numFmtId="0" xfId="0" applyAlignment="1" applyFill="1" applyFont="1">
      <alignment readingOrder="0" vertical="center"/>
    </xf>
    <xf borderId="0" fillId="2" fontId="3" numFmtId="0" xfId="0" applyAlignment="1" applyFont="1">
      <alignment readingOrder="0" vertical="center"/>
    </xf>
    <xf borderId="0" fillId="3" fontId="2" numFmtId="0" xfId="0" applyAlignment="1" applyFill="1" applyFont="1">
      <alignment vertical="center"/>
    </xf>
    <xf borderId="0" fillId="0" fontId="3" numFmtId="0" xfId="0" applyAlignment="1" applyFont="1">
      <alignment vertical="center"/>
    </xf>
    <xf borderId="0" fillId="0" fontId="3" numFmtId="0" xfId="0" applyAlignment="1" applyFont="1">
      <alignment readingOrder="0" vertical="center"/>
    </xf>
    <xf borderId="0" fillId="2" fontId="2" numFmtId="0" xfId="0" applyAlignment="1" applyFont="1">
      <alignment vertical="center"/>
    </xf>
    <xf borderId="0" fillId="0" fontId="4" numFmtId="0" xfId="0" applyAlignment="1" applyFont="1">
      <alignment horizontal="center" vertical="center"/>
    </xf>
    <xf borderId="1" fillId="4" fontId="2" numFmtId="0" xfId="0" applyAlignment="1" applyBorder="1" applyFill="1" applyFont="1">
      <alignment horizontal="center" readingOrder="0" vertical="center"/>
    </xf>
    <xf borderId="0" fillId="0" fontId="2" numFmtId="0" xfId="0" applyAlignment="1" applyFont="1">
      <alignment vertical="center"/>
    </xf>
    <xf borderId="1" fillId="4" fontId="5" numFmtId="0" xfId="0" applyAlignment="1" applyBorder="1" applyFont="1">
      <alignment horizontal="center" readingOrder="0" vertical="center"/>
    </xf>
    <xf borderId="0" fillId="0" fontId="2" numFmtId="0" xfId="0" applyFont="1"/>
    <xf borderId="0" fillId="5" fontId="3" numFmtId="0" xfId="0" applyAlignment="1" applyFill="1" applyFont="1">
      <alignment readingOrder="0" vertical="center"/>
    </xf>
    <xf borderId="0" fillId="5" fontId="2" numFmtId="0" xfId="0" applyAlignment="1" applyFont="1">
      <alignment readingOrder="0" vertical="center"/>
    </xf>
    <xf borderId="0" fillId="5" fontId="2" numFmtId="0" xfId="0" applyAlignment="1" applyFont="1">
      <alignment vertical="center"/>
    </xf>
    <xf borderId="0" fillId="3" fontId="2" numFmtId="0" xfId="0" applyAlignment="1" applyFont="1">
      <alignment vertical="center"/>
    </xf>
    <xf borderId="0" fillId="5" fontId="3" numFmtId="0" xfId="0" applyAlignment="1" applyFont="1">
      <alignment readingOrder="0" vertical="center"/>
    </xf>
    <xf borderId="0" fillId="5" fontId="3" numFmtId="0" xfId="0" applyAlignment="1" applyFont="1">
      <alignment vertical="center"/>
    </xf>
    <xf borderId="0" fillId="0" fontId="3" numFmtId="0" xfId="0" applyAlignment="1" applyFont="1">
      <alignment readingOrder="0" vertical="center"/>
    </xf>
    <xf borderId="0" fillId="0" fontId="2" numFmtId="0" xfId="0" applyAlignment="1" applyFont="1">
      <alignment readingOrder="0" vertical="center"/>
    </xf>
    <xf borderId="0" fillId="0" fontId="3" numFmtId="0" xfId="0" applyAlignment="1" applyFont="1">
      <alignment readingOrder="0" vertical="center"/>
    </xf>
    <xf borderId="0" fillId="2" fontId="3" numFmtId="0" xfId="0" applyAlignment="1" applyFont="1">
      <alignment readingOrder="0" vertical="center"/>
    </xf>
    <xf borderId="0" fillId="0" fontId="2" numFmtId="0" xfId="0" applyAlignment="1" applyFont="1">
      <alignment readingOrder="0" vertical="center"/>
    </xf>
    <xf borderId="0" fillId="0" fontId="2" numFmtId="10" xfId="0" applyAlignment="1" applyFont="1" applyNumberFormat="1">
      <alignment vertical="center"/>
    </xf>
    <xf borderId="2" fillId="0" fontId="3" numFmtId="0" xfId="0" applyAlignment="1" applyBorder="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1" fillId="2" fontId="2" numFmtId="0" xfId="0" applyAlignment="1" applyBorder="1" applyFont="1">
      <alignment horizontal="center" vertical="center"/>
    </xf>
    <xf borderId="3" fillId="2" fontId="2" numFmtId="0" xfId="0" applyAlignment="1" applyBorder="1" applyFont="1">
      <alignment readingOrder="0" vertical="center"/>
    </xf>
    <xf borderId="0" fillId="2" fontId="2" numFmtId="0" xfId="0" applyAlignment="1" applyFont="1">
      <alignment readingOrder="0" vertical="center"/>
    </xf>
    <xf borderId="4" fillId="0" fontId="2" numFmtId="0" xfId="0" applyAlignment="1" applyBorder="1" applyFont="1">
      <alignment readingOrder="0" vertical="center"/>
    </xf>
    <xf borderId="5" fillId="0" fontId="2" numFmtId="0" xfId="0" applyAlignment="1" applyBorder="1" applyFont="1">
      <alignment readingOrder="0" vertical="center"/>
    </xf>
    <xf borderId="0" fillId="2" fontId="2" numFmtId="0" xfId="0" applyAlignment="1" applyFont="1">
      <alignment readingOrder="0" vertical="center"/>
    </xf>
    <xf borderId="0" fillId="3" fontId="2" numFmtId="0" xfId="0" applyAlignment="1" applyFont="1">
      <alignment readingOrder="0" vertical="center"/>
    </xf>
    <xf borderId="5" fillId="0" fontId="2" numFmtId="0" xfId="0" applyAlignment="1" applyBorder="1" applyFont="1">
      <alignment vertical="center"/>
    </xf>
    <xf borderId="0" fillId="5" fontId="2" numFmtId="0" xfId="0" applyAlignment="1" applyFont="1">
      <alignment readingOrder="0" vertical="center"/>
    </xf>
    <xf borderId="0" fillId="5" fontId="2" numFmtId="0" xfId="0" applyAlignment="1" applyFont="1">
      <alignment vertical="center"/>
    </xf>
    <xf borderId="0" fillId="2" fontId="2" numFmtId="164" xfId="0" applyAlignment="1" applyFont="1" applyNumberFormat="1">
      <alignment horizontal="center" readingOrder="0" vertical="center"/>
    </xf>
    <xf borderId="0" fillId="2" fontId="2" numFmtId="165" xfId="0" applyAlignment="1" applyFont="1" applyNumberFormat="1">
      <alignment readingOrder="0" vertical="center"/>
    </xf>
    <xf borderId="0" fillId="2" fontId="2" numFmtId="166" xfId="0" applyAlignment="1" applyFont="1" applyNumberFormat="1">
      <alignment readingOrder="0" vertical="center"/>
    </xf>
    <xf borderId="0" fillId="0" fontId="2" numFmtId="167" xfId="0" applyAlignment="1" applyFont="1" applyNumberFormat="1">
      <alignment readingOrder="0" vertical="center"/>
    </xf>
    <xf borderId="0" fillId="2" fontId="2" numFmtId="14" xfId="0" applyAlignment="1" applyFont="1" applyNumberFormat="1">
      <alignment readingOrder="0" vertical="center"/>
    </xf>
    <xf borderId="0" fillId="0" fontId="2" numFmtId="0" xfId="0" applyAlignment="1" applyFont="1">
      <alignment vertical="center"/>
    </xf>
    <xf borderId="0" fillId="0" fontId="3" numFmtId="0" xfId="0" applyAlignment="1" applyFont="1">
      <alignment horizontal="center"/>
    </xf>
    <xf borderId="0" fillId="0" fontId="3" numFmtId="0" xfId="0" applyAlignment="1" applyFont="1">
      <alignment readingOrder="0"/>
    </xf>
    <xf borderId="0" fillId="2" fontId="3" numFmtId="0" xfId="0" applyAlignment="1" applyFont="1">
      <alignment readingOrder="0"/>
    </xf>
    <xf borderId="0" fillId="0" fontId="3" numFmtId="0" xfId="0" applyFont="1"/>
    <xf borderId="0" fillId="2" fontId="3" numFmtId="0" xfId="0" applyFont="1"/>
    <xf borderId="0" fillId="0" fontId="2" numFmtId="3" xfId="0" applyAlignment="1" applyFont="1" applyNumberFormat="1">
      <alignment horizontal="center" readingOrder="0"/>
    </xf>
    <xf borderId="0" fillId="0" fontId="2" numFmtId="0" xfId="0" applyFont="1"/>
    <xf borderId="0" fillId="0" fontId="2" numFmtId="14" xfId="0" applyAlignment="1" applyFont="1" applyNumberFormat="1">
      <alignment vertical="center"/>
    </xf>
    <xf borderId="0" fillId="0" fontId="2" numFmtId="168" xfId="0" applyAlignment="1" applyFont="1" applyNumberFormat="1">
      <alignment horizontal="right"/>
    </xf>
    <xf borderId="0" fillId="0" fontId="2" numFmtId="0" xfId="0" applyAlignment="1" applyFont="1">
      <alignment shrinkToFit="0" wrapText="0"/>
    </xf>
    <xf borderId="0" fillId="0" fontId="2" numFmtId="0" xfId="0" applyAlignment="1" applyFont="1">
      <alignment shrinkToFit="0" wrapText="1"/>
    </xf>
    <xf borderId="0" fillId="0" fontId="2" numFmtId="0" xfId="0" applyFont="1"/>
    <xf borderId="0" fillId="0" fontId="2" numFmtId="0" xfId="0" applyAlignment="1" applyFont="1">
      <alignment readingOrder="0"/>
    </xf>
    <xf borderId="0" fillId="0" fontId="2" numFmtId="169" xfId="0" applyAlignment="1" applyFont="1" applyNumberFormat="1">
      <alignment vertical="center"/>
    </xf>
    <xf borderId="0" fillId="0" fontId="2" numFmtId="17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coronavirus-source-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1.43"/>
    <col customWidth="1" min="2" max="2" width="8.86"/>
    <col customWidth="1" min="3" max="3" width="21.86"/>
    <col customWidth="1" min="4" max="4" width="17.0"/>
    <col customWidth="1" min="5" max="5" width="15.29"/>
    <col customWidth="1" min="6" max="7" width="13.43"/>
    <col customWidth="1" min="8" max="8" width="20.86"/>
    <col customWidth="1" min="9" max="9" width="18.71"/>
    <col customWidth="1" min="10" max="10" width="15.29"/>
    <col customWidth="1" min="11" max="11" width="15.57"/>
    <col customWidth="1" min="12" max="12" width="14.29"/>
    <col customWidth="1" min="13" max="13" width="20.57"/>
    <col customWidth="1" min="14" max="14" width="22.43"/>
    <col customWidth="1" min="15" max="15" width="13.0"/>
    <col customWidth="1" min="16" max="16" width="25.43"/>
    <col customWidth="1" min="17" max="17" width="24.29"/>
    <col customWidth="1" min="18" max="18" width="20.57"/>
    <col customWidth="1" min="19" max="19" width="11.14"/>
    <col customWidth="1" min="20" max="20" width="14.57"/>
    <col customWidth="1" min="21" max="21" width="13.29"/>
    <col customWidth="1" min="22" max="22" width="11.29"/>
    <col customWidth="1" min="23" max="23" width="21.43"/>
    <col customWidth="1" min="24" max="24" width="33.29"/>
    <col customWidth="1" min="25" max="25" width="17.0"/>
    <col customWidth="1" min="26" max="26" width="28.86"/>
    <col customWidth="1" min="27" max="27" width="17.0"/>
    <col customWidth="1" min="28" max="28" width="10.71"/>
    <col customWidth="1" min="29" max="29" width="20.57"/>
    <col customWidth="1" min="30" max="30" width="11.14"/>
    <col customWidth="1" min="31" max="31" width="21.14"/>
    <col customWidth="1" min="32" max="32" width="11.71"/>
    <col customWidth="1" min="33" max="33" width="22.57"/>
    <col customWidth="1" min="34" max="34" width="10.71"/>
    <col customWidth="1" min="35" max="35" width="27.71"/>
    <col customWidth="1" min="36" max="36" width="16.29"/>
    <col customWidth="1" min="37" max="37" width="25.57"/>
  </cols>
  <sheetData>
    <row r="1">
      <c r="A1" s="1" t="s">
        <v>0</v>
      </c>
      <c r="B1" s="2"/>
      <c r="C1" s="2"/>
      <c r="D1" s="3"/>
      <c r="E1" s="2"/>
      <c r="F1" s="3"/>
      <c r="G1" s="2"/>
      <c r="H1" s="3"/>
      <c r="I1" s="2"/>
      <c r="J1" s="3"/>
      <c r="K1" s="2"/>
      <c r="L1" s="3"/>
      <c r="M1" s="2"/>
      <c r="N1" s="3"/>
      <c r="O1" s="2"/>
      <c r="P1" s="3"/>
      <c r="Q1" s="2"/>
      <c r="R1" s="3"/>
      <c r="S1" s="2"/>
      <c r="T1" s="3"/>
      <c r="U1" s="2"/>
      <c r="V1" s="3"/>
      <c r="W1" s="2"/>
      <c r="X1" s="3"/>
      <c r="Y1" s="2"/>
      <c r="Z1" s="3"/>
      <c r="AA1" s="2"/>
      <c r="AB1" s="3"/>
      <c r="AC1" s="2"/>
      <c r="AD1" s="3"/>
      <c r="AE1" s="2"/>
      <c r="AF1" s="3"/>
      <c r="AG1" s="2"/>
      <c r="AH1" s="2"/>
      <c r="AI1" s="2"/>
      <c r="AJ1" s="2"/>
      <c r="AK1" s="2"/>
    </row>
    <row r="2">
      <c r="A2" s="2" t="s">
        <v>1</v>
      </c>
      <c r="B2" s="2" t="s">
        <v>2</v>
      </c>
      <c r="C2" s="2"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row>
    <row r="3">
      <c r="A3" s="4" t="s">
        <v>37</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5">
        <v>19.0</v>
      </c>
      <c r="V3" s="6">
        <v>20.0</v>
      </c>
      <c r="W3" s="5">
        <v>21.0</v>
      </c>
      <c r="X3" s="6">
        <v>22.0</v>
      </c>
      <c r="Y3" s="5">
        <v>23.0</v>
      </c>
      <c r="Z3" s="6">
        <v>24.0</v>
      </c>
      <c r="AA3" s="5">
        <v>25.0</v>
      </c>
      <c r="AB3" s="6">
        <v>26.0</v>
      </c>
      <c r="AC3" s="5">
        <v>27.0</v>
      </c>
      <c r="AD3" s="6">
        <v>28.0</v>
      </c>
      <c r="AE3" s="5">
        <v>29.0</v>
      </c>
      <c r="AF3" s="6">
        <v>30.0</v>
      </c>
      <c r="AG3" s="5">
        <v>31.0</v>
      </c>
      <c r="AH3" s="6">
        <v>32.0</v>
      </c>
      <c r="AI3" s="5">
        <v>33.0</v>
      </c>
      <c r="AJ3" s="6">
        <v>34.0</v>
      </c>
      <c r="AK3" s="2"/>
    </row>
    <row r="4">
      <c r="A4" s="3" t="s">
        <v>38</v>
      </c>
      <c r="B4" s="3" t="s">
        <v>39</v>
      </c>
      <c r="C4" s="3" t="s">
        <v>40</v>
      </c>
      <c r="D4" s="3">
        <v>1.071930295</v>
      </c>
      <c r="E4" s="3">
        <v>63.72170918</v>
      </c>
      <c r="F4" s="3">
        <v>13.188</v>
      </c>
      <c r="G4" s="3">
        <v>8.643</v>
      </c>
      <c r="H4" s="3">
        <v>304.195</v>
      </c>
      <c r="I4" s="3">
        <v>10.08</v>
      </c>
      <c r="J4" s="3">
        <v>1.1</v>
      </c>
      <c r="K4" s="3">
        <v>7.1</v>
      </c>
      <c r="L4" s="3">
        <v>11803.431</v>
      </c>
      <c r="M4" s="2"/>
      <c r="N4" s="2"/>
      <c r="O4" s="2"/>
      <c r="P4" s="3">
        <v>2.89</v>
      </c>
      <c r="Q4" s="3">
        <v>0.795</v>
      </c>
      <c r="R4" s="2"/>
      <c r="S4" s="2"/>
      <c r="T4" s="3">
        <v>78.57</v>
      </c>
      <c r="U4" s="3">
        <v>51.2</v>
      </c>
      <c r="V4" s="3">
        <v>38.0</v>
      </c>
      <c r="W4" s="3">
        <v>655.0</v>
      </c>
      <c r="X4" s="3">
        <v>0.02</v>
      </c>
      <c r="Y4" s="3">
        <v>6073.0</v>
      </c>
      <c r="Z4" s="3">
        <v>0.21</v>
      </c>
      <c r="AA4" s="3">
        <v>104.871</v>
      </c>
      <c r="AB4" s="3">
        <v>2877800.0</v>
      </c>
      <c r="AC4" s="3">
        <v>43728.543</v>
      </c>
      <c r="AD4" s="3">
        <v>125842.0</v>
      </c>
      <c r="AE4" s="3">
        <v>780.805</v>
      </c>
      <c r="AF4" s="3">
        <v>2247.0</v>
      </c>
      <c r="AG4" s="3">
        <v>187.464</v>
      </c>
      <c r="AH4" s="3">
        <v>539484.0</v>
      </c>
      <c r="AI4" s="3">
        <v>4.15</v>
      </c>
      <c r="AJ4" s="3">
        <v>119321.0</v>
      </c>
      <c r="AK4" s="2"/>
    </row>
    <row r="5">
      <c r="A5" s="3" t="s">
        <v>41</v>
      </c>
      <c r="B5" s="3" t="s">
        <v>39</v>
      </c>
      <c r="C5" s="3" t="s">
        <v>42</v>
      </c>
      <c r="D5" s="3">
        <v>0.958395722</v>
      </c>
      <c r="E5" s="3">
        <v>47.91770026</v>
      </c>
      <c r="F5" s="2"/>
      <c r="G5" s="2"/>
      <c r="H5" s="3">
        <v>109.135</v>
      </c>
      <c r="I5" s="3">
        <v>7.97</v>
      </c>
      <c r="J5" s="2"/>
      <c r="K5" s="3">
        <v>29.0</v>
      </c>
      <c r="L5" s="2"/>
      <c r="M5" s="2"/>
      <c r="N5" s="2"/>
      <c r="O5" s="2"/>
      <c r="P5" s="2"/>
      <c r="Q5" s="3">
        <v>0.868</v>
      </c>
      <c r="R5" s="2"/>
      <c r="S5" s="2"/>
      <c r="T5" s="3">
        <v>83.73</v>
      </c>
      <c r="U5" s="3">
        <v>37.8</v>
      </c>
      <c r="V5" s="2"/>
      <c r="W5" s="3">
        <v>1265.0</v>
      </c>
      <c r="X5" s="3">
        <v>1.64</v>
      </c>
      <c r="Y5" s="3">
        <v>7098.0</v>
      </c>
      <c r="Z5" s="3">
        <v>9.19</v>
      </c>
      <c r="AA5" s="3">
        <v>163.755</v>
      </c>
      <c r="AB5" s="3">
        <v>77265.0</v>
      </c>
      <c r="AC5" s="3">
        <v>156798.033</v>
      </c>
      <c r="AD5" s="3">
        <v>12115.0</v>
      </c>
      <c r="AE5" s="3">
        <v>1501.327</v>
      </c>
      <c r="AF5" s="3">
        <v>116.0</v>
      </c>
      <c r="AG5" s="3">
        <v>2177.493</v>
      </c>
      <c r="AH5" s="3">
        <v>168244.0</v>
      </c>
      <c r="AI5" s="3">
        <v>12.02</v>
      </c>
      <c r="AJ5" s="3">
        <v>9288.0</v>
      </c>
      <c r="AK5" s="2"/>
    </row>
    <row r="6">
      <c r="A6" s="3" t="s">
        <v>43</v>
      </c>
      <c r="B6" s="3" t="s">
        <v>39</v>
      </c>
      <c r="C6" s="3" t="s">
        <v>44</v>
      </c>
      <c r="D6" s="3">
        <v>1.118762887</v>
      </c>
      <c r="E6" s="3">
        <v>59.83541562</v>
      </c>
      <c r="F6" s="3">
        <v>19.202</v>
      </c>
      <c r="G6" s="3">
        <v>13.748</v>
      </c>
      <c r="H6" s="3">
        <v>145.183</v>
      </c>
      <c r="I6" s="3">
        <v>6.35</v>
      </c>
      <c r="J6" s="3">
        <v>0.7</v>
      </c>
      <c r="K6" s="3">
        <v>28.4</v>
      </c>
      <c r="L6" s="3">
        <v>45436.686</v>
      </c>
      <c r="M6" s="2"/>
      <c r="N6" s="3">
        <v>442.463</v>
      </c>
      <c r="O6" s="3">
        <v>3985.0</v>
      </c>
      <c r="P6" s="3">
        <v>7.37</v>
      </c>
      <c r="Q6" s="3">
        <v>0.922</v>
      </c>
      <c r="R6" s="3">
        <v>78.722</v>
      </c>
      <c r="S6" s="3">
        <v>709.0</v>
      </c>
      <c r="T6" s="3">
        <v>81.54</v>
      </c>
      <c r="U6" s="3">
        <v>30.9</v>
      </c>
      <c r="V6" s="3">
        <v>44.4</v>
      </c>
      <c r="W6" s="3">
        <v>459709.0</v>
      </c>
      <c r="X6" s="3">
        <v>5.1</v>
      </c>
      <c r="Y6" s="3">
        <v>1223240.0</v>
      </c>
      <c r="Z6" s="3">
        <v>13.58</v>
      </c>
      <c r="AA6" s="3">
        <v>106.749</v>
      </c>
      <c r="AB6" s="3">
        <v>9006400.0</v>
      </c>
      <c r="AC6" s="3">
        <v>61370.692</v>
      </c>
      <c r="AD6" s="3">
        <v>552729.0</v>
      </c>
      <c r="AE6" s="3">
        <v>1043.369</v>
      </c>
      <c r="AF6" s="3">
        <v>9397.0</v>
      </c>
      <c r="AG6" s="3">
        <v>2603.873</v>
      </c>
      <c r="AH6" s="3">
        <v>2.3451521E7</v>
      </c>
      <c r="AI6" s="3">
        <v>18.69</v>
      </c>
      <c r="AJ6" s="3">
        <v>1682949.0</v>
      </c>
      <c r="AK6" s="2"/>
    </row>
    <row r="7">
      <c r="A7" s="3" t="s">
        <v>45</v>
      </c>
      <c r="B7" s="3" t="s">
        <v>39</v>
      </c>
      <c r="C7" s="3" t="s">
        <v>46</v>
      </c>
      <c r="D7" s="3">
        <v>1.137717949</v>
      </c>
      <c r="E7" s="3">
        <v>57.09302158</v>
      </c>
      <c r="F7" s="3">
        <v>18.571</v>
      </c>
      <c r="G7" s="3">
        <v>12.849</v>
      </c>
      <c r="H7" s="3">
        <v>114.898</v>
      </c>
      <c r="I7" s="3">
        <v>4.29</v>
      </c>
      <c r="J7" s="3">
        <v>0.2</v>
      </c>
      <c r="K7" s="3">
        <v>25.1</v>
      </c>
      <c r="L7" s="3">
        <v>42658.576</v>
      </c>
      <c r="M7" s="2"/>
      <c r="N7" s="3">
        <v>643.766</v>
      </c>
      <c r="O7" s="3">
        <v>7461.0</v>
      </c>
      <c r="P7" s="3">
        <v>5.64</v>
      </c>
      <c r="Q7" s="3">
        <v>0.931</v>
      </c>
      <c r="R7" s="3">
        <v>127.183</v>
      </c>
      <c r="S7" s="3">
        <v>1474.0</v>
      </c>
      <c r="T7" s="3">
        <v>81.63</v>
      </c>
      <c r="U7" s="3">
        <v>31.4</v>
      </c>
      <c r="V7" s="3">
        <v>41.8</v>
      </c>
      <c r="W7" s="3">
        <v>546555.0</v>
      </c>
      <c r="X7" s="3">
        <v>4.72</v>
      </c>
      <c r="Y7" s="3">
        <v>1404877.0</v>
      </c>
      <c r="Z7" s="3">
        <v>12.12</v>
      </c>
      <c r="AA7" s="3">
        <v>375.564</v>
      </c>
      <c r="AB7" s="3">
        <v>1.1589616E7</v>
      </c>
      <c r="AC7" s="3">
        <v>77015.925</v>
      </c>
      <c r="AD7" s="3">
        <v>892585.0</v>
      </c>
      <c r="AE7" s="3">
        <v>1991.697</v>
      </c>
      <c r="AF7" s="3">
        <v>23083.0</v>
      </c>
      <c r="AG7" s="3">
        <v>969.394</v>
      </c>
      <c r="AH7" s="3">
        <v>1.1234903E7</v>
      </c>
      <c r="AI7" s="3">
        <v>16.84</v>
      </c>
      <c r="AJ7" s="3">
        <v>1951432.0</v>
      </c>
      <c r="AK7" s="2"/>
    </row>
    <row r="8">
      <c r="A8" s="3" t="s">
        <v>47</v>
      </c>
      <c r="B8" s="3" t="s">
        <v>39</v>
      </c>
      <c r="C8" s="3" t="s">
        <v>48</v>
      </c>
      <c r="D8" s="3">
        <v>1.122553191</v>
      </c>
      <c r="E8" s="3">
        <v>49.65159794</v>
      </c>
      <c r="F8" s="3">
        <v>20.801</v>
      </c>
      <c r="G8" s="3">
        <v>13.272</v>
      </c>
      <c r="H8" s="3">
        <v>424.688</v>
      </c>
      <c r="I8" s="3">
        <v>5.81</v>
      </c>
      <c r="J8" s="3">
        <v>1.5</v>
      </c>
      <c r="K8" s="3">
        <v>30.1</v>
      </c>
      <c r="L8" s="3">
        <v>18563.307</v>
      </c>
      <c r="M8" s="2"/>
      <c r="N8" s="3">
        <v>1392.254</v>
      </c>
      <c r="O8" s="3">
        <v>9674.0</v>
      </c>
      <c r="P8" s="3">
        <v>7.454</v>
      </c>
      <c r="Q8" s="3">
        <v>0.816</v>
      </c>
      <c r="R8" s="3">
        <v>110.672</v>
      </c>
      <c r="S8" s="3">
        <v>769.0</v>
      </c>
      <c r="T8" s="3">
        <v>75.05</v>
      </c>
      <c r="U8" s="3">
        <v>44.4</v>
      </c>
      <c r="V8" s="3">
        <v>44.7</v>
      </c>
      <c r="W8" s="3">
        <v>99882.0</v>
      </c>
      <c r="X8" s="3">
        <v>1.44</v>
      </c>
      <c r="Y8" s="3">
        <v>398203.0</v>
      </c>
      <c r="Z8" s="3">
        <v>5.73</v>
      </c>
      <c r="AA8" s="3">
        <v>65.18</v>
      </c>
      <c r="AB8" s="3">
        <v>6948445.0</v>
      </c>
      <c r="AC8" s="3">
        <v>50419.914</v>
      </c>
      <c r="AD8" s="3">
        <v>350340.0</v>
      </c>
      <c r="AE8" s="3">
        <v>1933.958</v>
      </c>
      <c r="AF8" s="3">
        <v>13438.0</v>
      </c>
      <c r="AG8" s="3">
        <v>307.236</v>
      </c>
      <c r="AH8" s="3">
        <v>2134815.0</v>
      </c>
      <c r="AI8" s="3">
        <v>7.17</v>
      </c>
      <c r="AJ8" s="3">
        <v>498085.0</v>
      </c>
      <c r="AK8" s="2"/>
    </row>
    <row r="9">
      <c r="A9" s="3" t="s">
        <v>49</v>
      </c>
      <c r="B9" s="3" t="s">
        <v>39</v>
      </c>
      <c r="C9" s="3" t="s">
        <v>50</v>
      </c>
      <c r="D9" s="3">
        <v>1.144465241</v>
      </c>
      <c r="E9" s="3">
        <v>54.17256345</v>
      </c>
      <c r="F9" s="3">
        <v>16.569</v>
      </c>
      <c r="G9" s="3">
        <v>10.711</v>
      </c>
      <c r="H9" s="3">
        <v>329.635</v>
      </c>
      <c r="I9" s="3">
        <v>10.08</v>
      </c>
      <c r="J9" s="3">
        <v>0.2</v>
      </c>
      <c r="K9" s="3">
        <v>30.2</v>
      </c>
      <c r="L9" s="3">
        <v>11713.895</v>
      </c>
      <c r="M9" s="3">
        <v>97.164</v>
      </c>
      <c r="N9" s="2"/>
      <c r="O9" s="2"/>
      <c r="P9" s="3">
        <v>3.5</v>
      </c>
      <c r="Q9" s="3">
        <v>0.78</v>
      </c>
      <c r="R9" s="2"/>
      <c r="S9" s="2"/>
      <c r="T9" s="3">
        <v>77.4</v>
      </c>
      <c r="U9" s="3">
        <v>47.7</v>
      </c>
      <c r="V9" s="3">
        <v>42.5</v>
      </c>
      <c r="W9" s="2"/>
      <c r="X9" s="2"/>
      <c r="Y9" s="2"/>
      <c r="Z9" s="2"/>
      <c r="AA9" s="3">
        <v>68.496</v>
      </c>
      <c r="AB9" s="3">
        <v>3280815.0</v>
      </c>
      <c r="AC9" s="3">
        <v>52876.496</v>
      </c>
      <c r="AD9" s="3">
        <v>173478.0</v>
      </c>
      <c r="AE9" s="3">
        <v>2061.378</v>
      </c>
      <c r="AF9" s="3">
        <v>6763.0</v>
      </c>
      <c r="AG9" s="3">
        <v>242.759</v>
      </c>
      <c r="AH9" s="3">
        <v>796448.0</v>
      </c>
      <c r="AI9" s="2"/>
      <c r="AJ9" s="2"/>
      <c r="AK9" s="2"/>
    </row>
    <row r="10">
      <c r="A10" s="3" t="s">
        <v>51</v>
      </c>
      <c r="B10" s="3" t="s">
        <v>39</v>
      </c>
      <c r="C10" s="3" t="s">
        <v>52</v>
      </c>
      <c r="D10" s="3">
        <v>1.094617486</v>
      </c>
      <c r="E10" s="3">
        <v>19.2008</v>
      </c>
      <c r="F10" s="3">
        <v>14.799</v>
      </c>
      <c r="G10" s="3">
        <v>9.788</v>
      </c>
      <c r="H10" s="3">
        <v>443.129</v>
      </c>
      <c r="I10" s="3">
        <v>5.18</v>
      </c>
      <c r="J10" s="2"/>
      <c r="K10" s="3">
        <v>10.5</v>
      </c>
      <c r="L10" s="3">
        <v>17167.967</v>
      </c>
      <c r="M10" s="2"/>
      <c r="N10" s="2"/>
      <c r="O10" s="2"/>
      <c r="P10" s="3">
        <v>11.0</v>
      </c>
      <c r="Q10" s="3">
        <v>0.823</v>
      </c>
      <c r="R10" s="2"/>
      <c r="S10" s="2"/>
      <c r="T10" s="3">
        <v>74.79</v>
      </c>
      <c r="U10" s="3">
        <v>46.1</v>
      </c>
      <c r="V10" s="3">
        <v>40.3</v>
      </c>
      <c r="W10" s="3">
        <v>26100.0</v>
      </c>
      <c r="X10" s="3">
        <v>0.28</v>
      </c>
      <c r="Y10" s="3">
        <v>40518.0</v>
      </c>
      <c r="Z10" s="3">
        <v>0.43</v>
      </c>
      <c r="AA10" s="3">
        <v>46.858</v>
      </c>
      <c r="AB10" s="3">
        <v>9449321.0</v>
      </c>
      <c r="AC10" s="3">
        <v>34361.622</v>
      </c>
      <c r="AD10" s="3">
        <v>324694.0</v>
      </c>
      <c r="AE10" s="3">
        <v>239.911</v>
      </c>
      <c r="AF10" s="3">
        <v>2267.0</v>
      </c>
      <c r="AG10" s="3">
        <v>570.253</v>
      </c>
      <c r="AH10" s="3">
        <v>5388505.0</v>
      </c>
      <c r="AI10" s="3">
        <v>0.71</v>
      </c>
      <c r="AJ10" s="3">
        <v>66618.0</v>
      </c>
      <c r="AK10" s="2"/>
    </row>
    <row r="11">
      <c r="A11" s="3" t="s">
        <v>53</v>
      </c>
      <c r="B11" s="3" t="s">
        <v>39</v>
      </c>
      <c r="C11" s="3" t="s">
        <v>54</v>
      </c>
      <c r="D11" s="3">
        <v>1.148132992</v>
      </c>
      <c r="E11" s="3">
        <v>49.67127098</v>
      </c>
      <c r="F11" s="3">
        <v>18.436</v>
      </c>
      <c r="G11" s="3">
        <v>12.644</v>
      </c>
      <c r="H11" s="3">
        <v>99.739</v>
      </c>
      <c r="I11" s="3">
        <v>5.59</v>
      </c>
      <c r="J11" s="2"/>
      <c r="K11" s="3">
        <v>22.6</v>
      </c>
      <c r="L11" s="3">
        <v>57410.166</v>
      </c>
      <c r="M11" s="2"/>
      <c r="N11" s="2"/>
      <c r="O11" s="2"/>
      <c r="P11" s="3">
        <v>4.53</v>
      </c>
      <c r="Q11" s="3">
        <v>0.955</v>
      </c>
      <c r="R11" s="2"/>
      <c r="S11" s="2"/>
      <c r="T11" s="3">
        <v>83.78</v>
      </c>
      <c r="U11" s="3">
        <v>28.9</v>
      </c>
      <c r="V11" s="3">
        <v>43.1</v>
      </c>
      <c r="W11" s="3">
        <v>574627.0</v>
      </c>
      <c r="X11" s="3">
        <v>6.64</v>
      </c>
      <c r="Y11" s="3">
        <v>961559.0</v>
      </c>
      <c r="Z11" s="3">
        <v>11.11</v>
      </c>
      <c r="AA11" s="3">
        <v>214.243</v>
      </c>
      <c r="AB11" s="3">
        <v>8654618.0</v>
      </c>
      <c r="AC11" s="3">
        <v>69944.393</v>
      </c>
      <c r="AD11" s="3">
        <v>605342.0</v>
      </c>
      <c r="AE11" s="3">
        <v>1196.009</v>
      </c>
      <c r="AF11" s="3">
        <v>10351.0</v>
      </c>
      <c r="AG11" s="3">
        <v>701.313</v>
      </c>
      <c r="AH11" s="3">
        <v>6069595.0</v>
      </c>
      <c r="AI11" s="3">
        <v>17.75</v>
      </c>
      <c r="AJ11" s="3">
        <v>1536186.0</v>
      </c>
      <c r="AK11" s="2"/>
    </row>
    <row r="12">
      <c r="A12" s="3" t="s">
        <v>55</v>
      </c>
      <c r="B12" s="3" t="s">
        <v>39</v>
      </c>
      <c r="C12" s="3" t="s">
        <v>56</v>
      </c>
      <c r="D12" s="3">
        <v>1.09849866</v>
      </c>
      <c r="E12" s="3">
        <v>68.05065963</v>
      </c>
      <c r="F12" s="3">
        <v>13.416</v>
      </c>
      <c r="G12" s="3">
        <v>8.563</v>
      </c>
      <c r="H12" s="3">
        <v>141.171</v>
      </c>
      <c r="I12" s="3">
        <v>9.24</v>
      </c>
      <c r="J12" s="2"/>
      <c r="K12" s="3">
        <v>19.6</v>
      </c>
      <c r="L12" s="3">
        <v>32415.132</v>
      </c>
      <c r="M12" s="2"/>
      <c r="N12" s="3">
        <v>253.454</v>
      </c>
      <c r="O12" s="3">
        <v>222.0</v>
      </c>
      <c r="P12" s="3">
        <v>3.4</v>
      </c>
      <c r="Q12" s="3">
        <v>0.887</v>
      </c>
      <c r="R12" s="3">
        <v>44.526</v>
      </c>
      <c r="S12" s="3">
        <v>39.0</v>
      </c>
      <c r="T12" s="3">
        <v>80.98</v>
      </c>
      <c r="U12" s="3">
        <v>52.7</v>
      </c>
      <c r="V12" s="3">
        <v>37.3</v>
      </c>
      <c r="W12" s="3">
        <v>35963.0</v>
      </c>
      <c r="X12" s="3">
        <v>4.11</v>
      </c>
      <c r="Y12" s="3">
        <v>93475.0</v>
      </c>
      <c r="Z12" s="3">
        <v>10.67</v>
      </c>
      <c r="AA12" s="3">
        <v>127.657</v>
      </c>
      <c r="AB12" s="3">
        <v>875899.0</v>
      </c>
      <c r="AC12" s="3">
        <v>53519.869</v>
      </c>
      <c r="AD12" s="3">
        <v>46878.0</v>
      </c>
      <c r="AE12" s="3">
        <v>297.98</v>
      </c>
      <c r="AF12" s="3">
        <v>261.0</v>
      </c>
      <c r="AG12" s="3">
        <v>4195.87</v>
      </c>
      <c r="AH12" s="3">
        <v>3675158.0</v>
      </c>
      <c r="AI12" s="3">
        <v>14.78</v>
      </c>
      <c r="AJ12" s="3">
        <v>129438.0</v>
      </c>
      <c r="AK12" s="2"/>
    </row>
    <row r="13">
      <c r="A13" s="3" t="s">
        <v>57</v>
      </c>
      <c r="B13" s="3" t="s">
        <v>39</v>
      </c>
      <c r="C13" s="3" t="s">
        <v>58</v>
      </c>
      <c r="D13" s="3">
        <v>1.132375979</v>
      </c>
      <c r="E13" s="3">
        <v>57.629799</v>
      </c>
      <c r="F13" s="3">
        <v>19.027</v>
      </c>
      <c r="G13" s="3">
        <v>11.58</v>
      </c>
      <c r="H13" s="3">
        <v>227.485</v>
      </c>
      <c r="I13" s="3">
        <v>6.82</v>
      </c>
      <c r="J13" s="2"/>
      <c r="K13" s="3">
        <v>30.5</v>
      </c>
      <c r="L13" s="3">
        <v>32605.906</v>
      </c>
      <c r="M13" s="2"/>
      <c r="N13" s="3">
        <v>883.371</v>
      </c>
      <c r="O13" s="3">
        <v>9460.0</v>
      </c>
      <c r="P13" s="3">
        <v>6.63</v>
      </c>
      <c r="Q13" s="3">
        <v>0.9</v>
      </c>
      <c r="R13" s="3">
        <v>193.016</v>
      </c>
      <c r="S13" s="3">
        <v>2067.0</v>
      </c>
      <c r="T13" s="3">
        <v>79.38</v>
      </c>
      <c r="U13" s="3">
        <v>38.3</v>
      </c>
      <c r="V13" s="3">
        <v>43.3</v>
      </c>
      <c r="W13" s="3">
        <v>556832.0</v>
      </c>
      <c r="X13" s="3">
        <v>5.2</v>
      </c>
      <c r="Y13" s="3">
        <v>1226081.0</v>
      </c>
      <c r="Z13" s="3">
        <v>11.45</v>
      </c>
      <c r="AA13" s="3">
        <v>137.176</v>
      </c>
      <c r="AB13" s="3">
        <v>1.0708982E7</v>
      </c>
      <c r="AC13" s="3">
        <v>144352.19</v>
      </c>
      <c r="AD13" s="3">
        <v>1545865.0</v>
      </c>
      <c r="AE13" s="3">
        <v>2499.304</v>
      </c>
      <c r="AF13" s="3">
        <v>26765.0</v>
      </c>
      <c r="AG13" s="2"/>
      <c r="AH13" s="2"/>
      <c r="AI13" s="3">
        <v>16.65</v>
      </c>
      <c r="AJ13" s="3">
        <v>1782913.0</v>
      </c>
      <c r="AK13" s="2"/>
    </row>
    <row r="14">
      <c r="A14" s="3" t="s">
        <v>59</v>
      </c>
      <c r="B14" s="3" t="s">
        <v>39</v>
      </c>
      <c r="C14" s="3" t="s">
        <v>60</v>
      </c>
      <c r="D14" s="3">
        <v>1.156531646</v>
      </c>
      <c r="E14" s="3">
        <v>60.99002347</v>
      </c>
      <c r="F14" s="3">
        <v>21.453</v>
      </c>
      <c r="G14" s="3">
        <v>15.957</v>
      </c>
      <c r="H14" s="3">
        <v>156.139</v>
      </c>
      <c r="I14" s="3">
        <v>8.31</v>
      </c>
      <c r="J14" s="2"/>
      <c r="K14" s="3">
        <v>28.2</v>
      </c>
      <c r="L14" s="3">
        <v>45229.245</v>
      </c>
      <c r="M14" s="2"/>
      <c r="N14" s="2"/>
      <c r="O14" s="2"/>
      <c r="P14" s="3">
        <v>8.0</v>
      </c>
      <c r="Q14" s="3">
        <v>0.947</v>
      </c>
      <c r="R14" s="3">
        <v>68.569</v>
      </c>
      <c r="S14" s="3">
        <v>5745.0</v>
      </c>
      <c r="T14" s="3">
        <v>81.33</v>
      </c>
      <c r="U14" s="3">
        <v>33.1</v>
      </c>
      <c r="V14" s="3">
        <v>46.6</v>
      </c>
      <c r="W14" s="3">
        <v>4152394.0</v>
      </c>
      <c r="X14" s="3">
        <v>4.96</v>
      </c>
      <c r="Y14" s="3">
        <v>9620262.0</v>
      </c>
      <c r="Z14" s="3">
        <v>11.48</v>
      </c>
      <c r="AA14" s="3">
        <v>237.016</v>
      </c>
      <c r="AB14" s="3">
        <v>8.3783945E7</v>
      </c>
      <c r="AC14" s="3">
        <v>34402.247</v>
      </c>
      <c r="AD14" s="3">
        <v>2882356.0</v>
      </c>
      <c r="AE14" s="3">
        <v>918.314</v>
      </c>
      <c r="AF14" s="3">
        <v>76940.0</v>
      </c>
      <c r="AG14" s="3">
        <v>600.712</v>
      </c>
      <c r="AH14" s="3">
        <v>5.0329993E7</v>
      </c>
      <c r="AI14" s="3">
        <v>16.44</v>
      </c>
      <c r="AJ14" s="3">
        <v>1.3772656E7</v>
      </c>
      <c r="AK14" s="2"/>
    </row>
    <row r="15">
      <c r="A15" s="3" t="s">
        <v>61</v>
      </c>
      <c r="B15" s="3" t="s">
        <v>39</v>
      </c>
      <c r="C15" s="3" t="s">
        <v>62</v>
      </c>
      <c r="D15" s="3">
        <v>1.084093264</v>
      </c>
      <c r="E15" s="3">
        <v>52.88</v>
      </c>
      <c r="F15" s="3">
        <v>19.677</v>
      </c>
      <c r="G15" s="3">
        <v>12.325</v>
      </c>
      <c r="H15" s="3">
        <v>114.767</v>
      </c>
      <c r="I15" s="3">
        <v>6.41</v>
      </c>
      <c r="J15" s="3">
        <v>0.2</v>
      </c>
      <c r="K15" s="3">
        <v>19.3</v>
      </c>
      <c r="L15" s="3">
        <v>46682.515</v>
      </c>
      <c r="M15" s="2"/>
      <c r="N15" s="3">
        <v>166.431</v>
      </c>
      <c r="O15" s="3">
        <v>964.0</v>
      </c>
      <c r="P15" s="3">
        <v>2.5</v>
      </c>
      <c r="Q15" s="3">
        <v>0.94</v>
      </c>
      <c r="R15" s="3">
        <v>24.343</v>
      </c>
      <c r="S15" s="3">
        <v>141.0</v>
      </c>
      <c r="T15" s="3">
        <v>80.9</v>
      </c>
      <c r="U15" s="3">
        <v>18.8</v>
      </c>
      <c r="V15" s="3">
        <v>42.3</v>
      </c>
      <c r="W15" s="3">
        <v>396713.0</v>
      </c>
      <c r="X15" s="3">
        <v>6.85</v>
      </c>
      <c r="Y15" s="3">
        <v>748324.0</v>
      </c>
      <c r="Z15" s="3">
        <v>12.92</v>
      </c>
      <c r="AA15" s="3">
        <v>136.52</v>
      </c>
      <c r="AB15" s="3">
        <v>5792203.0</v>
      </c>
      <c r="AC15" s="3">
        <v>40168.654</v>
      </c>
      <c r="AD15" s="3">
        <v>232665.0</v>
      </c>
      <c r="AE15" s="3">
        <v>418.666</v>
      </c>
      <c r="AF15" s="3">
        <v>2425.0</v>
      </c>
      <c r="AG15" s="3">
        <v>3720.18</v>
      </c>
      <c r="AH15" s="3">
        <v>2.1548035E7</v>
      </c>
      <c r="AI15" s="3">
        <v>19.77</v>
      </c>
      <c r="AJ15" s="3">
        <v>1145037.0</v>
      </c>
      <c r="AK15" s="2"/>
    </row>
    <row r="16">
      <c r="A16" s="3" t="s">
        <v>63</v>
      </c>
      <c r="B16" s="3" t="s">
        <v>39</v>
      </c>
      <c r="C16" s="3" t="s">
        <v>64</v>
      </c>
      <c r="D16" s="3">
        <v>1.187969543</v>
      </c>
      <c r="E16" s="3">
        <v>63.30042755</v>
      </c>
      <c r="F16" s="3">
        <v>19.436</v>
      </c>
      <c r="G16" s="3">
        <v>13.799</v>
      </c>
      <c r="H16" s="3">
        <v>99.403</v>
      </c>
      <c r="I16" s="3">
        <v>7.17</v>
      </c>
      <c r="J16" s="3">
        <v>1.0</v>
      </c>
      <c r="K16" s="3">
        <v>27.4</v>
      </c>
      <c r="L16" s="3">
        <v>34272.36</v>
      </c>
      <c r="M16" s="2"/>
      <c r="N16" s="3">
        <v>684.914</v>
      </c>
      <c r="O16" s="3">
        <v>32023.0</v>
      </c>
      <c r="P16" s="3">
        <v>2.97</v>
      </c>
      <c r="Q16" s="3">
        <v>0.904</v>
      </c>
      <c r="R16" s="3">
        <v>104.674</v>
      </c>
      <c r="S16" s="3">
        <v>4894.0</v>
      </c>
      <c r="T16" s="3">
        <v>83.56</v>
      </c>
      <c r="U16" s="3">
        <v>31.4</v>
      </c>
      <c r="V16" s="3">
        <v>45.5</v>
      </c>
      <c r="W16" s="3">
        <v>2797015.0</v>
      </c>
      <c r="X16" s="3">
        <v>5.98</v>
      </c>
      <c r="Y16" s="3">
        <v>5545140.0</v>
      </c>
      <c r="Z16" s="3">
        <v>11.86</v>
      </c>
      <c r="AA16" s="3">
        <v>93.105</v>
      </c>
      <c r="AB16" s="3">
        <v>4.6754783E7</v>
      </c>
      <c r="AC16" s="3">
        <v>70396.947</v>
      </c>
      <c r="AD16" s="3">
        <v>3291394.0</v>
      </c>
      <c r="AE16" s="3">
        <v>1615.685</v>
      </c>
      <c r="AF16" s="3">
        <v>75541.0</v>
      </c>
      <c r="AG16" s="3">
        <v>776.404</v>
      </c>
      <c r="AH16" s="3">
        <v>3.6300583E7</v>
      </c>
      <c r="AI16" s="3">
        <v>17.84</v>
      </c>
      <c r="AJ16" s="3">
        <v>8342155.0</v>
      </c>
      <c r="AK16" s="2"/>
    </row>
    <row r="17">
      <c r="A17" s="3" t="s">
        <v>65</v>
      </c>
      <c r="B17" s="3" t="s">
        <v>39</v>
      </c>
      <c r="C17" s="3" t="s">
        <v>66</v>
      </c>
      <c r="D17" s="3">
        <v>1.100575916</v>
      </c>
      <c r="E17" s="3">
        <v>43.53727273</v>
      </c>
      <c r="F17" s="3">
        <v>19.452</v>
      </c>
      <c r="G17" s="3">
        <v>13.491</v>
      </c>
      <c r="H17" s="3">
        <v>255.569</v>
      </c>
      <c r="I17" s="3">
        <v>4.02</v>
      </c>
      <c r="J17" s="3">
        <v>0.5</v>
      </c>
      <c r="K17" s="3">
        <v>24.5</v>
      </c>
      <c r="L17" s="3">
        <v>29481.252</v>
      </c>
      <c r="M17" s="2"/>
      <c r="N17" s="3">
        <v>554.827</v>
      </c>
      <c r="O17" s="3">
        <v>736.0</v>
      </c>
      <c r="P17" s="3">
        <v>4.69</v>
      </c>
      <c r="Q17" s="3">
        <v>0.892</v>
      </c>
      <c r="R17" s="3">
        <v>54.277</v>
      </c>
      <c r="S17" s="3">
        <v>72.0</v>
      </c>
      <c r="T17" s="3">
        <v>78.74</v>
      </c>
      <c r="U17" s="3">
        <v>39.3</v>
      </c>
      <c r="V17" s="3">
        <v>42.7</v>
      </c>
      <c r="W17" s="3">
        <v>67645.0</v>
      </c>
      <c r="X17" s="3">
        <v>5.1</v>
      </c>
      <c r="Y17" s="3">
        <v>211367.0</v>
      </c>
      <c r="Z17" s="3">
        <v>15.93</v>
      </c>
      <c r="AA17" s="3">
        <v>31.033</v>
      </c>
      <c r="AB17" s="3">
        <v>1326539.0</v>
      </c>
      <c r="AC17" s="3">
        <v>81729.976</v>
      </c>
      <c r="AD17" s="3">
        <v>108418.0</v>
      </c>
      <c r="AE17" s="3">
        <v>695.042</v>
      </c>
      <c r="AF17" s="3">
        <v>922.0</v>
      </c>
      <c r="AG17" s="3">
        <v>866.013</v>
      </c>
      <c r="AH17" s="3">
        <v>1148800.0</v>
      </c>
      <c r="AI17" s="3">
        <v>21.03</v>
      </c>
      <c r="AJ17" s="3">
        <v>279012.0</v>
      </c>
      <c r="AK17" s="2"/>
    </row>
    <row r="18">
      <c r="A18" s="3" t="s">
        <v>67</v>
      </c>
      <c r="B18" s="3" t="s">
        <v>39</v>
      </c>
      <c r="C18" s="3" t="s">
        <v>68</v>
      </c>
      <c r="D18" s="3">
        <v>1.084255875</v>
      </c>
      <c r="E18" s="3">
        <v>43.03408984</v>
      </c>
      <c r="F18" s="3">
        <v>21.228</v>
      </c>
      <c r="G18" s="3">
        <v>13.264</v>
      </c>
      <c r="H18" s="3">
        <v>153.507</v>
      </c>
      <c r="I18" s="3">
        <v>5.76</v>
      </c>
      <c r="J18" s="2"/>
      <c r="K18" s="3">
        <v>18.3</v>
      </c>
      <c r="L18" s="3">
        <v>40585.721</v>
      </c>
      <c r="M18" s="2"/>
      <c r="N18" s="3">
        <v>56.491</v>
      </c>
      <c r="O18" s="3">
        <v>313.0</v>
      </c>
      <c r="P18" s="3">
        <v>3.28</v>
      </c>
      <c r="Q18" s="3">
        <v>0.938</v>
      </c>
      <c r="R18" s="3">
        <v>14.98</v>
      </c>
      <c r="S18" s="3">
        <v>83.0</v>
      </c>
      <c r="T18" s="3">
        <v>81.91</v>
      </c>
      <c r="U18" s="3">
        <v>22.6</v>
      </c>
      <c r="V18" s="3">
        <v>42.8</v>
      </c>
      <c r="W18" s="3">
        <v>89687.0</v>
      </c>
      <c r="X18" s="3">
        <v>1.62</v>
      </c>
      <c r="Y18" s="3">
        <v>965298.0</v>
      </c>
      <c r="Z18" s="3">
        <v>17.42</v>
      </c>
      <c r="AA18" s="3">
        <v>18.136</v>
      </c>
      <c r="AB18" s="3">
        <v>5540718.0</v>
      </c>
      <c r="AC18" s="3">
        <v>14198.882</v>
      </c>
      <c r="AD18" s="3">
        <v>78672.0</v>
      </c>
      <c r="AE18" s="3">
        <v>152.688</v>
      </c>
      <c r="AF18" s="3">
        <v>846.0</v>
      </c>
      <c r="AG18" s="3">
        <v>718.884</v>
      </c>
      <c r="AH18" s="3">
        <v>3983132.0</v>
      </c>
      <c r="AI18" s="3">
        <v>19.04</v>
      </c>
      <c r="AJ18" s="3">
        <v>1054985.0</v>
      </c>
      <c r="AK18" s="2"/>
    </row>
    <row r="19">
      <c r="A19" s="3" t="s">
        <v>69</v>
      </c>
      <c r="B19" s="3" t="s">
        <v>39</v>
      </c>
      <c r="C19" s="3" t="s">
        <v>70</v>
      </c>
      <c r="D19" s="3">
        <v>1.185227273</v>
      </c>
      <c r="E19" s="3">
        <v>59.13845794</v>
      </c>
      <c r="F19" s="3">
        <v>19.718</v>
      </c>
      <c r="G19" s="3">
        <v>13.079</v>
      </c>
      <c r="H19" s="3">
        <v>86.06</v>
      </c>
      <c r="I19" s="3">
        <v>4.77</v>
      </c>
      <c r="J19" s="2"/>
      <c r="K19" s="3">
        <v>30.1</v>
      </c>
      <c r="L19" s="3">
        <v>38605.671</v>
      </c>
      <c r="M19" s="2"/>
      <c r="N19" s="3">
        <v>491.08</v>
      </c>
      <c r="O19" s="3">
        <v>33466.0</v>
      </c>
      <c r="P19" s="3">
        <v>5.98</v>
      </c>
      <c r="Q19" s="3">
        <v>0.901</v>
      </c>
      <c r="R19" s="3">
        <v>102.997</v>
      </c>
      <c r="S19" s="3">
        <v>7019.0</v>
      </c>
      <c r="T19" s="3">
        <v>82.66</v>
      </c>
      <c r="U19" s="3">
        <v>35.6</v>
      </c>
      <c r="V19" s="3">
        <v>42.0</v>
      </c>
      <c r="W19" s="3">
        <v>2938186.0</v>
      </c>
      <c r="X19" s="3">
        <v>4.31</v>
      </c>
      <c r="Y19" s="3">
        <v>8833275.0</v>
      </c>
      <c r="Z19" s="3">
        <v>12.96</v>
      </c>
      <c r="AA19" s="3">
        <v>122.578</v>
      </c>
      <c r="AB19" s="3">
        <v>6.8147687E7</v>
      </c>
      <c r="AC19" s="3">
        <v>70471.313</v>
      </c>
      <c r="AD19" s="3">
        <v>4802457.0</v>
      </c>
      <c r="AE19" s="3">
        <v>1415.132</v>
      </c>
      <c r="AF19" s="3">
        <v>96438.0</v>
      </c>
      <c r="AG19" s="2"/>
      <c r="AH19" s="2"/>
      <c r="AI19" s="3">
        <v>17.27</v>
      </c>
      <c r="AJ19" s="3">
        <v>1.1771461E7</v>
      </c>
      <c r="AK19" s="2"/>
    </row>
    <row r="20">
      <c r="A20" s="3" t="s">
        <v>71</v>
      </c>
      <c r="B20" s="3" t="s">
        <v>39</v>
      </c>
      <c r="C20" s="3" t="s">
        <v>72</v>
      </c>
      <c r="D20" s="2"/>
      <c r="E20" s="3">
        <v>45.9275</v>
      </c>
      <c r="F20" s="2"/>
      <c r="G20" s="2"/>
      <c r="H20" s="2"/>
      <c r="I20" s="2"/>
      <c r="J20" s="2"/>
      <c r="K20" s="2"/>
      <c r="L20" s="2"/>
      <c r="M20" s="2"/>
      <c r="N20" s="2"/>
      <c r="O20" s="2"/>
      <c r="P20" s="2"/>
      <c r="Q20" s="2"/>
      <c r="R20" s="2"/>
      <c r="S20" s="2"/>
      <c r="T20" s="3">
        <v>80.67</v>
      </c>
      <c r="U20" s="2"/>
      <c r="V20" s="2"/>
      <c r="W20" s="3">
        <v>4129.0</v>
      </c>
      <c r="X20" s="3">
        <v>8.45</v>
      </c>
      <c r="Y20" s="3">
        <v>6641.0</v>
      </c>
      <c r="Z20" s="3">
        <v>13.59</v>
      </c>
      <c r="AA20" s="3">
        <v>35.308</v>
      </c>
      <c r="AB20" s="3">
        <v>48865.0</v>
      </c>
      <c r="AC20" s="2"/>
      <c r="AD20" s="2"/>
      <c r="AE20" s="2"/>
      <c r="AF20" s="2"/>
      <c r="AG20" s="2"/>
      <c r="AH20" s="2"/>
      <c r="AI20" s="3">
        <v>22.04</v>
      </c>
      <c r="AJ20" s="3">
        <v>10770.0</v>
      </c>
      <c r="AK20" s="2"/>
    </row>
    <row r="21">
      <c r="A21" s="3" t="s">
        <v>73</v>
      </c>
      <c r="B21" s="3" t="s">
        <v>39</v>
      </c>
      <c r="C21" s="3" t="s">
        <v>74</v>
      </c>
      <c r="D21" s="3">
        <v>1.114365482</v>
      </c>
      <c r="E21" s="3">
        <v>66.62650118</v>
      </c>
      <c r="F21" s="3">
        <v>18.517</v>
      </c>
      <c r="G21" s="3">
        <v>12.527</v>
      </c>
      <c r="H21" s="3">
        <v>122.137</v>
      </c>
      <c r="I21" s="3">
        <v>4.28</v>
      </c>
      <c r="J21" s="3">
        <v>0.2</v>
      </c>
      <c r="K21" s="3">
        <v>20.0</v>
      </c>
      <c r="L21" s="3">
        <v>39753.244</v>
      </c>
      <c r="M21" s="2"/>
      <c r="N21" s="3">
        <v>578.16</v>
      </c>
      <c r="O21" s="3">
        <v>39249.0</v>
      </c>
      <c r="P21" s="3">
        <v>2.54</v>
      </c>
      <c r="Q21" s="3">
        <v>0.932</v>
      </c>
      <c r="R21" s="3">
        <v>60.057</v>
      </c>
      <c r="S21" s="3">
        <v>4077.0</v>
      </c>
      <c r="T21" s="3">
        <v>81.32</v>
      </c>
      <c r="U21" s="3">
        <v>24.7</v>
      </c>
      <c r="V21" s="3">
        <v>40.8</v>
      </c>
      <c r="W21" s="3">
        <v>4948635.0</v>
      </c>
      <c r="X21" s="3">
        <v>7.29</v>
      </c>
      <c r="Y21" s="3">
        <v>3.1301267E7</v>
      </c>
      <c r="Z21" s="3">
        <v>46.11</v>
      </c>
      <c r="AA21" s="3">
        <v>272.898</v>
      </c>
      <c r="AB21" s="3">
        <v>6.7886004E7</v>
      </c>
      <c r="AC21" s="3">
        <v>64342.703</v>
      </c>
      <c r="AD21" s="3">
        <v>4367969.0</v>
      </c>
      <c r="AE21" s="3">
        <v>1871.638</v>
      </c>
      <c r="AF21" s="3">
        <v>127058.0</v>
      </c>
      <c r="AG21" s="3">
        <v>1828.76</v>
      </c>
      <c r="AH21" s="3">
        <v>1.24147198E8</v>
      </c>
      <c r="AI21" s="3">
        <v>53.4</v>
      </c>
      <c r="AJ21" s="3">
        <v>3.6249902E7</v>
      </c>
      <c r="AK21" s="2"/>
    </row>
    <row r="22">
      <c r="A22" s="3" t="s">
        <v>75</v>
      </c>
      <c r="B22" s="3" t="s">
        <v>39</v>
      </c>
      <c r="C22" s="3" t="s">
        <v>76</v>
      </c>
      <c r="D22" s="2"/>
      <c r="E22" s="2"/>
      <c r="F22" s="2"/>
      <c r="G22" s="2"/>
      <c r="H22" s="2"/>
      <c r="I22" s="2"/>
      <c r="J22" s="2"/>
      <c r="K22" s="2"/>
      <c r="L22" s="2"/>
      <c r="M22" s="2"/>
      <c r="N22" s="2"/>
      <c r="O22" s="2"/>
      <c r="P22" s="2"/>
      <c r="Q22" s="2"/>
      <c r="R22" s="2"/>
      <c r="S22" s="2"/>
      <c r="T22" s="2"/>
      <c r="U22" s="2"/>
      <c r="V22" s="2"/>
      <c r="W22" s="3">
        <v>7883.0</v>
      </c>
      <c r="X22" s="3">
        <v>11.76</v>
      </c>
      <c r="Y22" s="3">
        <v>25746.0</v>
      </c>
      <c r="Z22" s="3">
        <v>38.4</v>
      </c>
      <c r="AA22" s="2"/>
      <c r="AB22" s="3">
        <v>67052.0</v>
      </c>
      <c r="AC22" s="2"/>
      <c r="AD22" s="2"/>
      <c r="AE22" s="2"/>
      <c r="AF22" s="2"/>
      <c r="AG22" s="2"/>
      <c r="AH22" s="2"/>
      <c r="AI22" s="3">
        <v>49.81</v>
      </c>
      <c r="AJ22" s="3">
        <v>33400.0</v>
      </c>
      <c r="AK22" s="2"/>
    </row>
    <row r="23">
      <c r="A23" s="3" t="s">
        <v>77</v>
      </c>
      <c r="B23" s="3" t="s">
        <v>39</v>
      </c>
      <c r="C23" s="3" t="s">
        <v>78</v>
      </c>
      <c r="D23" s="2"/>
      <c r="E23" s="2"/>
      <c r="F23" s="2"/>
      <c r="G23" s="2"/>
      <c r="H23" s="2"/>
      <c r="I23" s="2"/>
      <c r="J23" s="2"/>
      <c r="K23" s="2"/>
      <c r="L23" s="2"/>
      <c r="M23" s="2"/>
      <c r="N23" s="2"/>
      <c r="O23" s="2"/>
      <c r="P23" s="2"/>
      <c r="Q23" s="2"/>
      <c r="R23" s="2"/>
      <c r="S23" s="2"/>
      <c r="T23" s="3">
        <v>79.93</v>
      </c>
      <c r="U23" s="2"/>
      <c r="V23" s="2"/>
      <c r="W23" s="3">
        <v>28614.0</v>
      </c>
      <c r="X23" s="3">
        <v>84.93</v>
      </c>
      <c r="Y23" s="3">
        <v>32293.0</v>
      </c>
      <c r="Z23" s="3">
        <v>95.85</v>
      </c>
      <c r="AA23" s="3">
        <v>3457.1</v>
      </c>
      <c r="AB23" s="3">
        <v>33691.0</v>
      </c>
      <c r="AC23" s="2"/>
      <c r="AD23" s="2"/>
      <c r="AE23" s="2"/>
      <c r="AF23" s="2"/>
      <c r="AG23" s="2"/>
      <c r="AH23" s="2"/>
      <c r="AI23" s="3">
        <v>180.78</v>
      </c>
      <c r="AJ23" s="3">
        <v>60907.0</v>
      </c>
      <c r="AK23" s="2"/>
    </row>
    <row r="24">
      <c r="A24" s="3" t="s">
        <v>79</v>
      </c>
      <c r="B24" s="3" t="s">
        <v>39</v>
      </c>
      <c r="C24" s="3" t="s">
        <v>80</v>
      </c>
      <c r="D24" s="3">
        <v>1.108877285</v>
      </c>
      <c r="E24" s="3">
        <v>66.8864268</v>
      </c>
      <c r="F24" s="3">
        <v>20.396</v>
      </c>
      <c r="G24" s="3">
        <v>14.524</v>
      </c>
      <c r="H24" s="3">
        <v>175.695</v>
      </c>
      <c r="I24" s="3">
        <v>4.55</v>
      </c>
      <c r="J24" s="3">
        <v>1.5</v>
      </c>
      <c r="K24" s="3">
        <v>35.3</v>
      </c>
      <c r="L24" s="3">
        <v>24574.382</v>
      </c>
      <c r="M24" s="2"/>
      <c r="N24" s="2"/>
      <c r="O24" s="2"/>
      <c r="P24" s="3">
        <v>4.21</v>
      </c>
      <c r="Q24" s="3">
        <v>0.888</v>
      </c>
      <c r="R24" s="2"/>
      <c r="S24" s="2"/>
      <c r="T24" s="3">
        <v>82.24</v>
      </c>
      <c r="U24" s="3">
        <v>52.0</v>
      </c>
      <c r="V24" s="3">
        <v>45.3</v>
      </c>
      <c r="W24" s="3">
        <v>641917.0</v>
      </c>
      <c r="X24" s="3">
        <v>6.16</v>
      </c>
      <c r="Y24" s="3">
        <v>1135585.0</v>
      </c>
      <c r="Z24" s="3">
        <v>10.89</v>
      </c>
      <c r="AA24" s="3">
        <v>83.479</v>
      </c>
      <c r="AB24" s="3">
        <v>1.0423056E7</v>
      </c>
      <c r="AC24" s="3">
        <v>25926.178</v>
      </c>
      <c r="AD24" s="3">
        <v>270230.0</v>
      </c>
      <c r="AE24" s="3">
        <v>789.788</v>
      </c>
      <c r="AF24" s="3">
        <v>8232.0</v>
      </c>
      <c r="AG24" s="3">
        <v>632.176</v>
      </c>
      <c r="AH24" s="3">
        <v>6589204.0</v>
      </c>
      <c r="AI24" s="3">
        <v>17.05</v>
      </c>
      <c r="AJ24" s="3">
        <v>1777502.0</v>
      </c>
      <c r="AK24" s="2"/>
    </row>
    <row r="25">
      <c r="A25" s="3" t="s">
        <v>81</v>
      </c>
      <c r="B25" s="3" t="s">
        <v>39</v>
      </c>
      <c r="C25" s="3" t="s">
        <v>82</v>
      </c>
      <c r="D25" s="3">
        <v>1.115039788</v>
      </c>
      <c r="E25" s="3">
        <v>48.44098485</v>
      </c>
      <c r="F25" s="3">
        <v>19.724</v>
      </c>
      <c r="G25" s="3">
        <v>13.053</v>
      </c>
      <c r="H25" s="3">
        <v>253.782</v>
      </c>
      <c r="I25" s="3">
        <v>5.59</v>
      </c>
      <c r="J25" s="3">
        <v>0.7</v>
      </c>
      <c r="K25" s="3">
        <v>34.3</v>
      </c>
      <c r="L25" s="3">
        <v>22669.797</v>
      </c>
      <c r="M25" s="2"/>
      <c r="N25" s="3">
        <v>724.922</v>
      </c>
      <c r="O25" s="3">
        <v>2976.0</v>
      </c>
      <c r="P25" s="3">
        <v>5.54</v>
      </c>
      <c r="Q25" s="3">
        <v>0.851</v>
      </c>
      <c r="R25" s="2"/>
      <c r="S25" s="2"/>
      <c r="T25" s="3">
        <v>78.49</v>
      </c>
      <c r="U25" s="3">
        <v>39.9</v>
      </c>
      <c r="V25" s="3">
        <v>44.0</v>
      </c>
      <c r="W25" s="3">
        <v>89313.0</v>
      </c>
      <c r="X25" s="3">
        <v>2.18</v>
      </c>
      <c r="Y25" s="3">
        <v>385724.0</v>
      </c>
      <c r="Z25" s="3">
        <v>9.4</v>
      </c>
      <c r="AA25" s="3">
        <v>73.726</v>
      </c>
      <c r="AB25" s="3">
        <v>4105268.0</v>
      </c>
      <c r="AC25" s="3">
        <v>67332.023</v>
      </c>
      <c r="AD25" s="3">
        <v>276416.0</v>
      </c>
      <c r="AE25" s="3">
        <v>1460.562</v>
      </c>
      <c r="AF25" s="3">
        <v>5996.0</v>
      </c>
      <c r="AG25" s="3">
        <v>379.836</v>
      </c>
      <c r="AH25" s="3">
        <v>1559330.0</v>
      </c>
      <c r="AI25" s="3">
        <v>11.57</v>
      </c>
      <c r="AJ25" s="3">
        <v>475037.0</v>
      </c>
      <c r="AK25" s="2"/>
    </row>
    <row r="26">
      <c r="A26" s="3" t="s">
        <v>83</v>
      </c>
      <c r="B26" s="3" t="s">
        <v>39</v>
      </c>
      <c r="C26" s="3" t="s">
        <v>84</v>
      </c>
      <c r="D26" s="3">
        <v>1.140026667</v>
      </c>
      <c r="E26" s="3">
        <v>61.84565553</v>
      </c>
      <c r="F26" s="3">
        <v>18.577</v>
      </c>
      <c r="G26" s="3">
        <v>11.976</v>
      </c>
      <c r="H26" s="3">
        <v>278.296</v>
      </c>
      <c r="I26" s="3">
        <v>7.55</v>
      </c>
      <c r="J26" s="3">
        <v>0.5</v>
      </c>
      <c r="K26" s="3">
        <v>26.8</v>
      </c>
      <c r="L26" s="3">
        <v>26777.561</v>
      </c>
      <c r="M26" s="2"/>
      <c r="N26" s="3">
        <v>1229.044</v>
      </c>
      <c r="O26" s="3">
        <v>11873.0</v>
      </c>
      <c r="P26" s="3">
        <v>7.02</v>
      </c>
      <c r="Q26" s="3">
        <v>0.854</v>
      </c>
      <c r="R26" s="2"/>
      <c r="S26" s="2"/>
      <c r="T26" s="3">
        <v>76.88</v>
      </c>
      <c r="U26" s="3">
        <v>34.8</v>
      </c>
      <c r="V26" s="3">
        <v>43.4</v>
      </c>
      <c r="W26" s="3">
        <v>863195.0</v>
      </c>
      <c r="X26" s="3">
        <v>8.94</v>
      </c>
      <c r="Y26" s="3">
        <v>2156680.0</v>
      </c>
      <c r="Z26" s="3">
        <v>22.33</v>
      </c>
      <c r="AA26" s="3">
        <v>108.043</v>
      </c>
      <c r="AB26" s="3">
        <v>9660350.0</v>
      </c>
      <c r="AC26" s="3">
        <v>69435.994</v>
      </c>
      <c r="AD26" s="3">
        <v>670776.0</v>
      </c>
      <c r="AE26" s="3">
        <v>2200.955</v>
      </c>
      <c r="AF26" s="3">
        <v>21262.0</v>
      </c>
      <c r="AG26" s="3">
        <v>434.638</v>
      </c>
      <c r="AH26" s="3">
        <v>4198760.0</v>
      </c>
      <c r="AI26" s="3">
        <v>31.26</v>
      </c>
      <c r="AJ26" s="3">
        <v>3019875.0</v>
      </c>
      <c r="AK26" s="2"/>
    </row>
    <row r="27">
      <c r="A27" s="3" t="s">
        <v>85</v>
      </c>
      <c r="B27" s="3" t="s">
        <v>39</v>
      </c>
      <c r="C27" s="3" t="s">
        <v>86</v>
      </c>
      <c r="D27" s="2"/>
      <c r="E27" s="2"/>
      <c r="F27" s="2"/>
      <c r="G27" s="2"/>
      <c r="H27" s="2"/>
      <c r="I27" s="2"/>
      <c r="J27" s="2"/>
      <c r="K27" s="2"/>
      <c r="L27" s="2"/>
      <c r="M27" s="2"/>
      <c r="N27" s="2"/>
      <c r="O27" s="2"/>
      <c r="P27" s="2"/>
      <c r="Q27" s="2"/>
      <c r="R27" s="2"/>
      <c r="S27" s="2"/>
      <c r="T27" s="3">
        <v>81.4</v>
      </c>
      <c r="U27" s="2"/>
      <c r="V27" s="2"/>
      <c r="W27" s="3">
        <v>15340.0</v>
      </c>
      <c r="X27" s="3">
        <v>18.04</v>
      </c>
      <c r="Y27" s="3">
        <v>37491.0</v>
      </c>
      <c r="Z27" s="3">
        <v>44.09</v>
      </c>
      <c r="AA27" s="3">
        <v>147.872</v>
      </c>
      <c r="AB27" s="3">
        <v>85032.0</v>
      </c>
      <c r="AC27" s="2"/>
      <c r="AD27" s="2"/>
      <c r="AE27" s="2"/>
      <c r="AF27" s="2"/>
      <c r="AG27" s="2"/>
      <c r="AH27" s="2"/>
      <c r="AI27" s="3">
        <v>62.13</v>
      </c>
      <c r="AJ27" s="3">
        <v>52831.0</v>
      </c>
      <c r="AK27" s="2"/>
    </row>
    <row r="28">
      <c r="A28" s="3" t="s">
        <v>87</v>
      </c>
      <c r="B28" s="3" t="s">
        <v>39</v>
      </c>
      <c r="C28" s="3" t="s">
        <v>88</v>
      </c>
      <c r="D28" s="3">
        <v>1.095837696</v>
      </c>
      <c r="E28" s="3">
        <v>70.33498759</v>
      </c>
      <c r="F28" s="3">
        <v>13.928</v>
      </c>
      <c r="G28" s="3">
        <v>8.678</v>
      </c>
      <c r="H28" s="3">
        <v>126.459</v>
      </c>
      <c r="I28" s="3">
        <v>3.28</v>
      </c>
      <c r="J28" s="3">
        <v>0.2</v>
      </c>
      <c r="K28" s="3">
        <v>23.0</v>
      </c>
      <c r="L28" s="3">
        <v>67335.293</v>
      </c>
      <c r="M28" s="2"/>
      <c r="N28" s="3">
        <v>409.089</v>
      </c>
      <c r="O28" s="3">
        <v>2020.0</v>
      </c>
      <c r="P28" s="3">
        <v>2.96</v>
      </c>
      <c r="Q28" s="3">
        <v>0.955</v>
      </c>
      <c r="R28" s="3">
        <v>44.757</v>
      </c>
      <c r="S28" s="3">
        <v>221.0</v>
      </c>
      <c r="T28" s="3">
        <v>82.3</v>
      </c>
      <c r="U28" s="3">
        <v>25.7</v>
      </c>
      <c r="V28" s="3">
        <v>38.7</v>
      </c>
      <c r="W28" s="3">
        <v>236759.0</v>
      </c>
      <c r="X28" s="3">
        <v>4.79</v>
      </c>
      <c r="Y28" s="3">
        <v>603802.0</v>
      </c>
      <c r="Z28" s="3">
        <v>12.23</v>
      </c>
      <c r="AA28" s="3">
        <v>69.874</v>
      </c>
      <c r="AB28" s="3">
        <v>4937796.0</v>
      </c>
      <c r="AC28" s="3">
        <v>48034.994</v>
      </c>
      <c r="AD28" s="3">
        <v>237187.0</v>
      </c>
      <c r="AE28" s="3">
        <v>954.474</v>
      </c>
      <c r="AF28" s="3">
        <v>4713.0</v>
      </c>
      <c r="AG28" s="3">
        <v>815.276</v>
      </c>
      <c r="AH28" s="3">
        <v>4025669.0</v>
      </c>
      <c r="AI28" s="3">
        <v>17.02</v>
      </c>
      <c r="AJ28" s="3">
        <v>840561.0</v>
      </c>
      <c r="AK28" s="2"/>
    </row>
    <row r="29">
      <c r="A29" s="3" t="s">
        <v>89</v>
      </c>
      <c r="B29" s="3" t="s">
        <v>39</v>
      </c>
      <c r="C29" s="3" t="s">
        <v>90</v>
      </c>
      <c r="D29" s="3">
        <v>0.965520833</v>
      </c>
      <c r="E29" s="3">
        <v>44.81010025</v>
      </c>
      <c r="F29" s="3">
        <v>14.431</v>
      </c>
      <c r="G29" s="3">
        <v>9.207</v>
      </c>
      <c r="H29" s="3">
        <v>117.992</v>
      </c>
      <c r="I29" s="3">
        <v>5.31</v>
      </c>
      <c r="J29" s="3">
        <v>0.2</v>
      </c>
      <c r="K29" s="3">
        <v>14.3</v>
      </c>
      <c r="L29" s="3">
        <v>46482.958</v>
      </c>
      <c r="M29" s="2"/>
      <c r="N29" s="3">
        <v>234.432</v>
      </c>
      <c r="O29" s="3">
        <v>80.0</v>
      </c>
      <c r="P29" s="3">
        <v>2.91</v>
      </c>
      <c r="Q29" s="3">
        <v>0.949</v>
      </c>
      <c r="R29" s="3">
        <v>41.026</v>
      </c>
      <c r="S29" s="3">
        <v>14.0</v>
      </c>
      <c r="T29" s="3">
        <v>82.99</v>
      </c>
      <c r="U29" s="3">
        <v>15.2</v>
      </c>
      <c r="V29" s="3">
        <v>37.3</v>
      </c>
      <c r="W29" s="3">
        <v>23698.0</v>
      </c>
      <c r="X29" s="3">
        <v>6.94</v>
      </c>
      <c r="Y29" s="3">
        <v>49289.0</v>
      </c>
      <c r="Z29" s="3">
        <v>14.44</v>
      </c>
      <c r="AA29" s="3">
        <v>3.404</v>
      </c>
      <c r="AB29" s="3">
        <v>341250.0</v>
      </c>
      <c r="AC29" s="3">
        <v>18183.15</v>
      </c>
      <c r="AD29" s="3">
        <v>6205.0</v>
      </c>
      <c r="AE29" s="3">
        <v>84.982</v>
      </c>
      <c r="AF29" s="3">
        <v>29.0</v>
      </c>
      <c r="AG29" s="3">
        <v>903.546</v>
      </c>
      <c r="AH29" s="3">
        <v>308335.0</v>
      </c>
      <c r="AI29" s="3">
        <v>21.39</v>
      </c>
      <c r="AJ29" s="3">
        <v>72987.0</v>
      </c>
      <c r="AK29" s="2"/>
    </row>
    <row r="30">
      <c r="A30" s="3" t="s">
        <v>91</v>
      </c>
      <c r="B30" s="3" t="s">
        <v>39</v>
      </c>
      <c r="C30" s="3" t="s">
        <v>92</v>
      </c>
      <c r="D30" s="3">
        <v>1.142711443</v>
      </c>
      <c r="E30" s="3">
        <v>67.20154394</v>
      </c>
      <c r="F30" s="3">
        <v>23.021</v>
      </c>
      <c r="G30" s="3">
        <v>16.24</v>
      </c>
      <c r="H30" s="3">
        <v>113.151</v>
      </c>
      <c r="I30" s="3">
        <v>4.78</v>
      </c>
      <c r="J30" s="3">
        <v>2.0</v>
      </c>
      <c r="K30" s="3">
        <v>19.8</v>
      </c>
      <c r="L30" s="3">
        <v>35220.084</v>
      </c>
      <c r="M30" s="2"/>
      <c r="N30" s="3">
        <v>636.881</v>
      </c>
      <c r="O30" s="3">
        <v>38507.0</v>
      </c>
      <c r="P30" s="3">
        <v>3.18</v>
      </c>
      <c r="Q30" s="3">
        <v>0.892</v>
      </c>
      <c r="R30" s="3">
        <v>67.282</v>
      </c>
      <c r="S30" s="3">
        <v>4068.0</v>
      </c>
      <c r="T30" s="3">
        <v>83.51</v>
      </c>
      <c r="U30" s="3">
        <v>27.8</v>
      </c>
      <c r="V30" s="3">
        <v>47.9</v>
      </c>
      <c r="W30" s="3">
        <v>3366062.0</v>
      </c>
      <c r="X30" s="3">
        <v>5.57</v>
      </c>
      <c r="Y30" s="3">
        <v>7403351.0</v>
      </c>
      <c r="Z30" s="3">
        <v>12.24</v>
      </c>
      <c r="AA30" s="3">
        <v>205.859</v>
      </c>
      <c r="AB30" s="3">
        <v>6.0461828E7</v>
      </c>
      <c r="AC30" s="3">
        <v>60021.341</v>
      </c>
      <c r="AD30" s="3">
        <v>3629000.0</v>
      </c>
      <c r="AE30" s="3">
        <v>1824.755</v>
      </c>
      <c r="AF30" s="3">
        <v>110328.0</v>
      </c>
      <c r="AG30" s="3">
        <v>831.247</v>
      </c>
      <c r="AH30" s="3">
        <v>5.0258742E7</v>
      </c>
      <c r="AI30" s="3">
        <v>17.81</v>
      </c>
      <c r="AJ30" s="3">
        <v>1.0769413E7</v>
      </c>
      <c r="AK30" s="2"/>
    </row>
    <row r="31">
      <c r="A31" s="3" t="s">
        <v>93</v>
      </c>
      <c r="B31" s="3" t="s">
        <v>39</v>
      </c>
      <c r="C31" s="3" t="s">
        <v>94</v>
      </c>
      <c r="D31" s="2"/>
      <c r="E31" s="2"/>
      <c r="F31" s="2"/>
      <c r="G31" s="2"/>
      <c r="H31" s="2"/>
      <c r="I31" s="2"/>
      <c r="J31" s="2"/>
      <c r="K31" s="2"/>
      <c r="L31" s="2"/>
      <c r="M31" s="2"/>
      <c r="N31" s="2"/>
      <c r="O31" s="2"/>
      <c r="P31" s="2"/>
      <c r="Q31" s="2"/>
      <c r="R31" s="2"/>
      <c r="S31" s="2"/>
      <c r="T31" s="2"/>
      <c r="U31" s="2"/>
      <c r="V31" s="2"/>
      <c r="W31" s="3">
        <v>14814.0</v>
      </c>
      <c r="X31" s="3">
        <v>14.66</v>
      </c>
      <c r="Y31" s="3">
        <v>44318.0</v>
      </c>
      <c r="Z31" s="3">
        <v>43.85</v>
      </c>
      <c r="AA31" s="2"/>
      <c r="AB31" s="3">
        <v>101073.0</v>
      </c>
      <c r="AC31" s="2"/>
      <c r="AD31" s="2"/>
      <c r="AE31" s="2"/>
      <c r="AF31" s="2"/>
      <c r="AG31" s="2"/>
      <c r="AH31" s="2"/>
      <c r="AI31" s="3">
        <v>58.5</v>
      </c>
      <c r="AJ31" s="3">
        <v>59132.0</v>
      </c>
      <c r="AK31" s="2"/>
    </row>
    <row r="32">
      <c r="A32" s="3" t="s">
        <v>95</v>
      </c>
      <c r="B32" s="3" t="s">
        <v>39</v>
      </c>
      <c r="C32" s="3" t="s">
        <v>96</v>
      </c>
      <c r="D32" s="3">
        <v>0.988584475</v>
      </c>
      <c r="E32" s="2"/>
      <c r="F32" s="2"/>
      <c r="G32" s="2"/>
      <c r="H32" s="2"/>
      <c r="I32" s="3">
        <v>7.77</v>
      </c>
      <c r="J32" s="2"/>
      <c r="K32" s="2"/>
      <c r="L32" s="2"/>
      <c r="M32" s="2"/>
      <c r="N32" s="2"/>
      <c r="O32" s="2"/>
      <c r="P32" s="3">
        <v>2.397</v>
      </c>
      <c r="Q32" s="3">
        <v>0.919</v>
      </c>
      <c r="R32" s="2"/>
      <c r="S32" s="2"/>
      <c r="T32" s="3">
        <v>82.49</v>
      </c>
      <c r="U32" s="2"/>
      <c r="V32" s="2"/>
      <c r="W32" s="2"/>
      <c r="X32" s="2"/>
      <c r="Y32" s="2"/>
      <c r="Z32" s="2"/>
      <c r="AA32" s="3">
        <v>237.012</v>
      </c>
      <c r="AB32" s="3">
        <v>38137.0</v>
      </c>
      <c r="AC32" s="3">
        <v>70220.521</v>
      </c>
      <c r="AD32" s="3">
        <v>2678.0</v>
      </c>
      <c r="AE32" s="3">
        <v>1468.39</v>
      </c>
      <c r="AF32" s="3">
        <v>56.0</v>
      </c>
      <c r="AG32" s="2"/>
      <c r="AH32" s="2"/>
      <c r="AI32" s="3">
        <v>15.99</v>
      </c>
      <c r="AJ32" s="3">
        <v>6100.0</v>
      </c>
      <c r="AK32" s="2"/>
    </row>
    <row r="33">
      <c r="A33" s="3" t="s">
        <v>97</v>
      </c>
      <c r="B33" s="3" t="s">
        <v>39</v>
      </c>
      <c r="C33" s="3" t="s">
        <v>98</v>
      </c>
      <c r="D33" s="3">
        <v>1.080828877</v>
      </c>
      <c r="E33" s="3">
        <v>54.031175</v>
      </c>
      <c r="F33" s="3">
        <v>19.002</v>
      </c>
      <c r="G33" s="3">
        <v>13.778</v>
      </c>
      <c r="H33" s="3">
        <v>342.989</v>
      </c>
      <c r="I33" s="3">
        <v>3.67</v>
      </c>
      <c r="J33" s="3">
        <v>0.7</v>
      </c>
      <c r="K33" s="3">
        <v>21.3</v>
      </c>
      <c r="L33" s="3">
        <v>29524.265</v>
      </c>
      <c r="M33" s="2"/>
      <c r="N33" s="3">
        <v>944.425</v>
      </c>
      <c r="O33" s="3">
        <v>2571.0</v>
      </c>
      <c r="P33" s="3">
        <v>6.56</v>
      </c>
      <c r="Q33" s="3">
        <v>0.882</v>
      </c>
      <c r="R33" s="2"/>
      <c r="S33" s="2"/>
      <c r="T33" s="3">
        <v>75.93</v>
      </c>
      <c r="U33" s="3">
        <v>38.0</v>
      </c>
      <c r="V33" s="3">
        <v>43.5</v>
      </c>
      <c r="W33" s="3">
        <v>165716.0</v>
      </c>
      <c r="X33" s="3">
        <v>6.09</v>
      </c>
      <c r="Y33" s="3">
        <v>349571.0</v>
      </c>
      <c r="Z33" s="3">
        <v>12.84</v>
      </c>
      <c r="AA33" s="3">
        <v>45.135</v>
      </c>
      <c r="AB33" s="3">
        <v>2722291.0</v>
      </c>
      <c r="AC33" s="3">
        <v>80030.019</v>
      </c>
      <c r="AD33" s="3">
        <v>217865.0</v>
      </c>
      <c r="AE33" s="3">
        <v>1320.212</v>
      </c>
      <c r="AF33" s="3">
        <v>3594.0</v>
      </c>
      <c r="AG33" s="3">
        <v>867.264</v>
      </c>
      <c r="AH33" s="3">
        <v>2360944.0</v>
      </c>
      <c r="AI33" s="3">
        <v>18.93</v>
      </c>
      <c r="AJ33" s="3">
        <v>515287.0</v>
      </c>
      <c r="AK33" s="2"/>
    </row>
    <row r="34">
      <c r="A34" s="3" t="s">
        <v>99</v>
      </c>
      <c r="B34" s="3" t="s">
        <v>39</v>
      </c>
      <c r="C34" s="3" t="s">
        <v>100</v>
      </c>
      <c r="D34" s="3">
        <v>1.111556728</v>
      </c>
      <c r="E34" s="3">
        <v>52.993025</v>
      </c>
      <c r="F34" s="3">
        <v>14.312</v>
      </c>
      <c r="G34" s="3">
        <v>9.842</v>
      </c>
      <c r="H34" s="3">
        <v>128.275</v>
      </c>
      <c r="I34" s="3">
        <v>4.42</v>
      </c>
      <c r="J34" s="3">
        <v>0.2</v>
      </c>
      <c r="K34" s="3">
        <v>20.9</v>
      </c>
      <c r="L34" s="3">
        <v>94277.965</v>
      </c>
      <c r="M34" s="2"/>
      <c r="N34" s="3">
        <v>394.584</v>
      </c>
      <c r="O34" s="3">
        <v>247.0</v>
      </c>
      <c r="P34" s="3">
        <v>4.51</v>
      </c>
      <c r="Q34" s="3">
        <v>0.916</v>
      </c>
      <c r="R34" s="3">
        <v>79.875</v>
      </c>
      <c r="S34" s="3">
        <v>50.0</v>
      </c>
      <c r="T34" s="3">
        <v>82.25</v>
      </c>
      <c r="U34" s="3">
        <v>26.0</v>
      </c>
      <c r="V34" s="3">
        <v>39.7</v>
      </c>
      <c r="W34" s="3">
        <v>23494.0</v>
      </c>
      <c r="X34" s="3">
        <v>3.75</v>
      </c>
      <c r="Y34" s="3">
        <v>75862.0</v>
      </c>
      <c r="Z34" s="3">
        <v>12.12</v>
      </c>
      <c r="AA34" s="3">
        <v>231.447</v>
      </c>
      <c r="AB34" s="3">
        <v>625976.0</v>
      </c>
      <c r="AC34" s="3">
        <v>99213.069</v>
      </c>
      <c r="AD34" s="3">
        <v>62105.0</v>
      </c>
      <c r="AE34" s="3">
        <v>1198.129</v>
      </c>
      <c r="AF34" s="3">
        <v>750.0</v>
      </c>
      <c r="AG34" s="3">
        <v>3852.926</v>
      </c>
      <c r="AH34" s="3">
        <v>2411839.0</v>
      </c>
      <c r="AI34" s="3">
        <v>15.87</v>
      </c>
      <c r="AJ34" s="3">
        <v>99356.0</v>
      </c>
      <c r="AK34" s="2"/>
    </row>
    <row r="35">
      <c r="A35" s="3" t="s">
        <v>101</v>
      </c>
      <c r="B35" s="3" t="s">
        <v>39</v>
      </c>
      <c r="C35" s="3" t="s">
        <v>102</v>
      </c>
      <c r="D35" s="3">
        <v>1.09643617</v>
      </c>
      <c r="E35" s="3">
        <v>51.40568922</v>
      </c>
      <c r="F35" s="3">
        <v>19.754</v>
      </c>
      <c r="G35" s="3">
        <v>14.136</v>
      </c>
      <c r="H35" s="3">
        <v>350.06</v>
      </c>
      <c r="I35" s="3">
        <v>4.91</v>
      </c>
      <c r="J35" s="3">
        <v>0.7</v>
      </c>
      <c r="K35" s="3">
        <v>25.6</v>
      </c>
      <c r="L35" s="3">
        <v>25063.846</v>
      </c>
      <c r="M35" s="2"/>
      <c r="N35" s="3">
        <v>648.923</v>
      </c>
      <c r="O35" s="3">
        <v>1224.0</v>
      </c>
      <c r="P35" s="3">
        <v>5.57</v>
      </c>
      <c r="Q35" s="3">
        <v>0.866</v>
      </c>
      <c r="R35" s="2"/>
      <c r="S35" s="2"/>
      <c r="T35" s="3">
        <v>75.29</v>
      </c>
      <c r="U35" s="3">
        <v>51.0</v>
      </c>
      <c r="V35" s="3">
        <v>43.9</v>
      </c>
      <c r="W35" s="3">
        <v>24821.0</v>
      </c>
      <c r="X35" s="3">
        <v>1.32</v>
      </c>
      <c r="Y35" s="3">
        <v>118979.0</v>
      </c>
      <c r="Z35" s="3">
        <v>6.31</v>
      </c>
      <c r="AA35" s="3">
        <v>31.212</v>
      </c>
      <c r="AB35" s="3">
        <v>1886202.0</v>
      </c>
      <c r="AC35" s="3">
        <v>54918.826</v>
      </c>
      <c r="AD35" s="3">
        <v>103588.0</v>
      </c>
      <c r="AE35" s="3">
        <v>1018.979</v>
      </c>
      <c r="AF35" s="3">
        <v>1922.0</v>
      </c>
      <c r="AG35" s="3">
        <v>984.924</v>
      </c>
      <c r="AH35" s="3">
        <v>1857766.0</v>
      </c>
      <c r="AI35" s="3">
        <v>7.6</v>
      </c>
      <c r="AJ35" s="3">
        <v>143318.0</v>
      </c>
      <c r="AK35" s="2"/>
    </row>
    <row r="36">
      <c r="A36" s="3" t="s">
        <v>103</v>
      </c>
      <c r="B36" s="3" t="s">
        <v>39</v>
      </c>
      <c r="C36" s="3" t="s">
        <v>104</v>
      </c>
      <c r="D36" s="3">
        <v>0.989434629</v>
      </c>
      <c r="E36" s="3">
        <v>62.68356962</v>
      </c>
      <c r="F36" s="2"/>
      <c r="G36" s="2"/>
      <c r="H36" s="2"/>
      <c r="I36" s="3">
        <v>5.46</v>
      </c>
      <c r="J36" s="2"/>
      <c r="K36" s="2"/>
      <c r="L36" s="2"/>
      <c r="M36" s="2"/>
      <c r="N36" s="2"/>
      <c r="O36" s="2"/>
      <c r="P36" s="3">
        <v>13.8</v>
      </c>
      <c r="Q36" s="2"/>
      <c r="R36" s="2"/>
      <c r="S36" s="2"/>
      <c r="T36" s="3">
        <v>86.75</v>
      </c>
      <c r="U36" s="2"/>
      <c r="V36" s="2"/>
      <c r="W36" s="3">
        <v>8331.0</v>
      </c>
      <c r="X36" s="3">
        <v>21.23</v>
      </c>
      <c r="Y36" s="3">
        <v>9750.0</v>
      </c>
      <c r="Z36" s="3">
        <v>24.84</v>
      </c>
      <c r="AA36" s="3">
        <v>19347.5</v>
      </c>
      <c r="AB36" s="3">
        <v>39244.0</v>
      </c>
      <c r="AC36" s="3">
        <v>59117.317</v>
      </c>
      <c r="AD36" s="3">
        <v>2320.0</v>
      </c>
      <c r="AE36" s="3">
        <v>713.485</v>
      </c>
      <c r="AF36" s="3">
        <v>28.0</v>
      </c>
      <c r="AG36" s="2"/>
      <c r="AH36" s="2"/>
      <c r="AI36" s="3">
        <v>46.07</v>
      </c>
      <c r="AJ36" s="3">
        <v>18081.0</v>
      </c>
      <c r="AK36" s="2"/>
    </row>
    <row r="37">
      <c r="A37" s="3" t="s">
        <v>105</v>
      </c>
      <c r="B37" s="3" t="s">
        <v>39</v>
      </c>
      <c r="C37" s="3" t="s">
        <v>106</v>
      </c>
      <c r="D37" s="3">
        <v>1.09849866</v>
      </c>
      <c r="E37" s="3">
        <v>62.71363158</v>
      </c>
      <c r="F37" s="3">
        <v>10.864</v>
      </c>
      <c r="G37" s="3">
        <v>6.955</v>
      </c>
      <c r="H37" s="3">
        <v>408.502</v>
      </c>
      <c r="I37" s="3">
        <v>5.72</v>
      </c>
      <c r="J37" s="3">
        <v>0.2</v>
      </c>
      <c r="K37" s="3">
        <v>5.9</v>
      </c>
      <c r="L37" s="3">
        <v>5189.972</v>
      </c>
      <c r="M37" s="3">
        <v>86.979</v>
      </c>
      <c r="N37" s="2"/>
      <c r="O37" s="2"/>
      <c r="P37" s="3">
        <v>5.8</v>
      </c>
      <c r="Q37" s="3">
        <v>0.75</v>
      </c>
      <c r="R37" s="2"/>
      <c r="S37" s="2"/>
      <c r="T37" s="3">
        <v>71.9</v>
      </c>
      <c r="U37" s="3">
        <v>44.6</v>
      </c>
      <c r="V37" s="3">
        <v>37.6</v>
      </c>
      <c r="W37" s="2"/>
      <c r="X37" s="2"/>
      <c r="Y37" s="3">
        <v>42154.0</v>
      </c>
      <c r="Z37" s="3">
        <v>1.04</v>
      </c>
      <c r="AA37" s="3">
        <v>123.655</v>
      </c>
      <c r="AB37" s="3">
        <v>4033963.0</v>
      </c>
      <c r="AC37" s="3">
        <v>57793.292</v>
      </c>
      <c r="AD37" s="3">
        <v>233136.0</v>
      </c>
      <c r="AE37" s="3">
        <v>1251.375</v>
      </c>
      <c r="AF37" s="3">
        <v>5048.0</v>
      </c>
      <c r="AG37" s="2"/>
      <c r="AH37" s="2"/>
      <c r="AI37" s="3">
        <v>1.04</v>
      </c>
      <c r="AJ37" s="3">
        <v>42154.0</v>
      </c>
      <c r="AK37" s="2"/>
    </row>
    <row r="38">
      <c r="A38" s="3" t="s">
        <v>107</v>
      </c>
      <c r="B38" s="3" t="s">
        <v>39</v>
      </c>
      <c r="C38" s="3" t="s">
        <v>108</v>
      </c>
      <c r="D38" s="3">
        <v>1.094812834</v>
      </c>
      <c r="E38" s="2"/>
      <c r="F38" s="3">
        <v>13.26</v>
      </c>
      <c r="G38" s="3">
        <v>8.16</v>
      </c>
      <c r="H38" s="3">
        <v>322.688</v>
      </c>
      <c r="I38" s="3">
        <v>10.08</v>
      </c>
      <c r="J38" s="3">
        <v>5.0</v>
      </c>
      <c r="K38" s="2"/>
      <c r="L38" s="3">
        <v>13111.214</v>
      </c>
      <c r="M38" s="2"/>
      <c r="N38" s="2"/>
      <c r="O38" s="2"/>
      <c r="P38" s="3">
        <v>4.28</v>
      </c>
      <c r="Q38" s="3">
        <v>0.774</v>
      </c>
      <c r="R38" s="2"/>
      <c r="S38" s="2"/>
      <c r="T38" s="3">
        <v>75.8</v>
      </c>
      <c r="U38" s="2"/>
      <c r="V38" s="3">
        <v>39.1</v>
      </c>
      <c r="W38" s="2"/>
      <c r="X38" s="2"/>
      <c r="Y38" s="3">
        <v>8398.0</v>
      </c>
      <c r="Z38" s="3">
        <v>0.4</v>
      </c>
      <c r="AA38" s="3">
        <v>82.6</v>
      </c>
      <c r="AB38" s="3">
        <v>2083380.0</v>
      </c>
      <c r="AC38" s="3">
        <v>63713.773</v>
      </c>
      <c r="AD38" s="3">
        <v>132740.0</v>
      </c>
      <c r="AE38" s="3">
        <v>1852.758</v>
      </c>
      <c r="AF38" s="3">
        <v>3860.0</v>
      </c>
      <c r="AG38" s="3">
        <v>299.822</v>
      </c>
      <c r="AH38" s="3">
        <v>624644.0</v>
      </c>
      <c r="AI38" s="3">
        <v>0.4</v>
      </c>
      <c r="AJ38" s="3">
        <v>8398.0</v>
      </c>
      <c r="AK38" s="2"/>
    </row>
    <row r="39">
      <c r="A39" s="3" t="s">
        <v>109</v>
      </c>
      <c r="B39" s="3" t="s">
        <v>39</v>
      </c>
      <c r="C39" s="3" t="s">
        <v>110</v>
      </c>
      <c r="D39" s="3">
        <v>0.974155496</v>
      </c>
      <c r="E39" s="3">
        <v>51.95184211</v>
      </c>
      <c r="F39" s="3">
        <v>19.426</v>
      </c>
      <c r="G39" s="3">
        <v>11.324</v>
      </c>
      <c r="H39" s="3">
        <v>168.711</v>
      </c>
      <c r="I39" s="3">
        <v>8.83</v>
      </c>
      <c r="J39" s="3">
        <v>0.2</v>
      </c>
      <c r="K39" s="3">
        <v>20.9</v>
      </c>
      <c r="L39" s="3">
        <v>36513.323</v>
      </c>
      <c r="M39" s="2"/>
      <c r="N39" s="2"/>
      <c r="O39" s="2"/>
      <c r="P39" s="3">
        <v>4.485</v>
      </c>
      <c r="Q39" s="3">
        <v>0.895</v>
      </c>
      <c r="R39" s="2"/>
      <c r="S39" s="2"/>
      <c r="T39" s="3">
        <v>82.53</v>
      </c>
      <c r="U39" s="3">
        <v>30.2</v>
      </c>
      <c r="V39" s="3">
        <v>42.4</v>
      </c>
      <c r="W39" s="3">
        <v>55597.0</v>
      </c>
      <c r="X39" s="3">
        <v>12.59</v>
      </c>
      <c r="Y39" s="3">
        <v>147956.0</v>
      </c>
      <c r="Z39" s="3">
        <v>33.51</v>
      </c>
      <c r="AA39" s="3">
        <v>1454.037</v>
      </c>
      <c r="AB39" s="3">
        <v>441539.0</v>
      </c>
      <c r="AC39" s="3">
        <v>65966.993</v>
      </c>
      <c r="AD39" s="3">
        <v>29127.0</v>
      </c>
      <c r="AE39" s="3">
        <v>894.598</v>
      </c>
      <c r="AF39" s="3">
        <v>395.0</v>
      </c>
      <c r="AG39" s="3">
        <v>1836.988</v>
      </c>
      <c r="AH39" s="3">
        <v>811102.0</v>
      </c>
      <c r="AI39" s="3">
        <v>46.1</v>
      </c>
      <c r="AJ39" s="3">
        <v>203553.0</v>
      </c>
      <c r="AK39" s="2"/>
    </row>
    <row r="40">
      <c r="A40" s="3" t="s">
        <v>111</v>
      </c>
      <c r="B40" s="3" t="s">
        <v>39</v>
      </c>
      <c r="C40" s="3" t="s">
        <v>112</v>
      </c>
      <c r="D40" s="3">
        <v>0.927616438</v>
      </c>
      <c r="E40" s="2"/>
      <c r="F40" s="3">
        <v>14.762</v>
      </c>
      <c r="G40" s="3">
        <v>9.395</v>
      </c>
      <c r="H40" s="3">
        <v>387.305</v>
      </c>
      <c r="I40" s="3">
        <v>10.08</v>
      </c>
      <c r="J40" s="3">
        <v>1.0</v>
      </c>
      <c r="K40" s="3">
        <v>44.0</v>
      </c>
      <c r="L40" s="3">
        <v>16409.288</v>
      </c>
      <c r="M40" s="2"/>
      <c r="N40" s="2"/>
      <c r="O40" s="2"/>
      <c r="P40" s="3">
        <v>3.861</v>
      </c>
      <c r="Q40" s="3">
        <v>0.829</v>
      </c>
      <c r="R40" s="2"/>
      <c r="S40" s="2"/>
      <c r="T40" s="3">
        <v>76.88</v>
      </c>
      <c r="U40" s="3">
        <v>47.9</v>
      </c>
      <c r="V40" s="3">
        <v>39.1</v>
      </c>
      <c r="W40" s="3">
        <v>3808.0</v>
      </c>
      <c r="X40" s="3">
        <v>0.61</v>
      </c>
      <c r="Y40" s="3">
        <v>21195.0</v>
      </c>
      <c r="Z40" s="3">
        <v>3.37</v>
      </c>
      <c r="AA40" s="3">
        <v>46.28</v>
      </c>
      <c r="AB40" s="3">
        <v>628062.0</v>
      </c>
      <c r="AC40" s="3">
        <v>146332.687</v>
      </c>
      <c r="AD40" s="3">
        <v>91906.0</v>
      </c>
      <c r="AE40" s="3">
        <v>2063.491</v>
      </c>
      <c r="AF40" s="3">
        <v>1296.0</v>
      </c>
      <c r="AG40" s="2"/>
      <c r="AH40" s="2"/>
      <c r="AI40" s="3">
        <v>3.98</v>
      </c>
      <c r="AJ40" s="3">
        <v>25003.0</v>
      </c>
      <c r="AK40" s="2"/>
    </row>
    <row r="41">
      <c r="A41" s="3" t="s">
        <v>113</v>
      </c>
      <c r="B41" s="3" t="s">
        <v>39</v>
      </c>
      <c r="C41" s="3" t="s">
        <v>114</v>
      </c>
      <c r="D41" s="3">
        <v>1.126512821</v>
      </c>
      <c r="E41" s="3">
        <v>62.08467822</v>
      </c>
      <c r="F41" s="3">
        <v>18.779</v>
      </c>
      <c r="G41" s="3">
        <v>11.881</v>
      </c>
      <c r="H41" s="3">
        <v>109.361</v>
      </c>
      <c r="I41" s="3">
        <v>5.29</v>
      </c>
      <c r="J41" s="2"/>
      <c r="K41" s="3">
        <v>24.4</v>
      </c>
      <c r="L41" s="3">
        <v>48472.545</v>
      </c>
      <c r="M41" s="2"/>
      <c r="N41" s="3">
        <v>191.656</v>
      </c>
      <c r="O41" s="3">
        <v>3284.0</v>
      </c>
      <c r="P41" s="3">
        <v>3.32</v>
      </c>
      <c r="Q41" s="3">
        <v>0.944</v>
      </c>
      <c r="R41" s="3">
        <v>83.105</v>
      </c>
      <c r="S41" s="3">
        <v>1424.0</v>
      </c>
      <c r="T41" s="3">
        <v>82.28</v>
      </c>
      <c r="U41" s="3">
        <v>27.3</v>
      </c>
      <c r="V41" s="3">
        <v>43.2</v>
      </c>
      <c r="W41" s="3">
        <v>690062.0</v>
      </c>
      <c r="X41" s="3">
        <v>4.03</v>
      </c>
      <c r="Y41" s="3">
        <v>1688490.0</v>
      </c>
      <c r="Z41" s="3">
        <v>9.85</v>
      </c>
      <c r="AA41" s="3">
        <v>508.544</v>
      </c>
      <c r="AB41" s="3">
        <v>1.7134873E7</v>
      </c>
      <c r="AC41" s="3">
        <v>76380.724</v>
      </c>
      <c r="AD41" s="3">
        <v>1308774.0</v>
      </c>
      <c r="AE41" s="3">
        <v>976.546</v>
      </c>
      <c r="AF41" s="3">
        <v>16733.0</v>
      </c>
      <c r="AG41" s="3">
        <v>453.354</v>
      </c>
      <c r="AH41" s="3">
        <v>7768157.0</v>
      </c>
      <c r="AI41" s="3">
        <v>13.88</v>
      </c>
      <c r="AJ41" s="3">
        <v>2378552.0</v>
      </c>
      <c r="AK41" s="2"/>
    </row>
    <row r="42">
      <c r="A42" s="3" t="s">
        <v>115</v>
      </c>
      <c r="B42" s="3" t="s">
        <v>39</v>
      </c>
      <c r="C42" s="3" t="s">
        <v>116</v>
      </c>
      <c r="D42" s="3">
        <v>1.104076923</v>
      </c>
      <c r="E42" s="3">
        <v>52.68750617</v>
      </c>
      <c r="F42" s="3">
        <v>16.821</v>
      </c>
      <c r="G42" s="3">
        <v>10.813</v>
      </c>
      <c r="H42" s="3">
        <v>114.316</v>
      </c>
      <c r="I42" s="3">
        <v>5.31</v>
      </c>
      <c r="J42" s="3">
        <v>0.2</v>
      </c>
      <c r="K42" s="3">
        <v>19.6</v>
      </c>
      <c r="L42" s="3">
        <v>64800.057</v>
      </c>
      <c r="M42" s="2"/>
      <c r="N42" s="3">
        <v>59.949</v>
      </c>
      <c r="O42" s="3">
        <v>325.0</v>
      </c>
      <c r="P42" s="3">
        <v>3.6</v>
      </c>
      <c r="Q42" s="3">
        <v>0.957</v>
      </c>
      <c r="R42" s="2"/>
      <c r="S42" s="2"/>
      <c r="T42" s="3">
        <v>82.4</v>
      </c>
      <c r="U42" s="3">
        <v>20.7</v>
      </c>
      <c r="V42" s="3">
        <v>39.7</v>
      </c>
      <c r="W42" s="3">
        <v>283835.0</v>
      </c>
      <c r="X42" s="3">
        <v>5.24</v>
      </c>
      <c r="Y42" s="3">
        <v>699089.0</v>
      </c>
      <c r="Z42" s="3">
        <v>12.9</v>
      </c>
      <c r="AA42" s="3">
        <v>14.462</v>
      </c>
      <c r="AB42" s="3">
        <v>5421242.0</v>
      </c>
      <c r="AC42" s="3">
        <v>17968.207</v>
      </c>
      <c r="AD42" s="3">
        <v>97410.0</v>
      </c>
      <c r="AE42" s="3">
        <v>124.141</v>
      </c>
      <c r="AF42" s="3">
        <v>673.0</v>
      </c>
      <c r="AG42" s="3">
        <v>859.78</v>
      </c>
      <c r="AH42" s="3">
        <v>4661073.0</v>
      </c>
      <c r="AI42" s="3">
        <v>18.13</v>
      </c>
      <c r="AJ42" s="3">
        <v>982924.0</v>
      </c>
      <c r="AK42" s="2"/>
    </row>
    <row r="43">
      <c r="A43" s="3" t="s">
        <v>117</v>
      </c>
      <c r="B43" s="3" t="s">
        <v>39</v>
      </c>
      <c r="C43" s="3" t="s">
        <v>118</v>
      </c>
      <c r="D43" s="3">
        <v>1.137452055</v>
      </c>
      <c r="E43" s="3">
        <v>70.46339474</v>
      </c>
      <c r="F43" s="2"/>
      <c r="G43" s="2"/>
      <c r="H43" s="2"/>
      <c r="I43" s="2"/>
      <c r="J43" s="3">
        <v>0.6</v>
      </c>
      <c r="K43" s="2"/>
      <c r="L43" s="3">
        <v>9795.834</v>
      </c>
      <c r="M43" s="2"/>
      <c r="N43" s="2"/>
      <c r="O43" s="2"/>
      <c r="P43" s="2"/>
      <c r="Q43" s="2"/>
      <c r="R43" s="2"/>
      <c r="S43" s="2"/>
      <c r="T43" s="2"/>
      <c r="U43" s="2"/>
      <c r="V43" s="2"/>
      <c r="W43" s="2"/>
      <c r="X43" s="2"/>
      <c r="Y43" s="2"/>
      <c r="Z43" s="2"/>
      <c r="AA43" s="3">
        <v>168.155</v>
      </c>
      <c r="AB43" s="3">
        <v>1932774.0</v>
      </c>
      <c r="AC43" s="3">
        <v>47123.461</v>
      </c>
      <c r="AD43" s="3">
        <v>91079.0</v>
      </c>
      <c r="AE43" s="3">
        <v>978.904</v>
      </c>
      <c r="AF43" s="3">
        <v>1892.0</v>
      </c>
      <c r="AG43" s="2"/>
      <c r="AH43" s="2"/>
      <c r="AI43" s="2"/>
      <c r="AJ43" s="2"/>
      <c r="AK43" s="2"/>
    </row>
    <row r="44">
      <c r="A44" s="3" t="s">
        <v>119</v>
      </c>
      <c r="B44" s="3" t="s">
        <v>39</v>
      </c>
      <c r="C44" s="3" t="s">
        <v>120</v>
      </c>
      <c r="D44" s="3">
        <v>1.153298429</v>
      </c>
      <c r="E44" s="3">
        <v>60.42762025</v>
      </c>
      <c r="F44" s="3">
        <v>16.763</v>
      </c>
      <c r="G44" s="3">
        <v>10.202</v>
      </c>
      <c r="H44" s="3">
        <v>227.331</v>
      </c>
      <c r="I44" s="3">
        <v>5.91</v>
      </c>
      <c r="J44" s="2"/>
      <c r="K44" s="3">
        <v>23.3</v>
      </c>
      <c r="L44" s="3">
        <v>27216.445</v>
      </c>
      <c r="M44" s="2"/>
      <c r="N44" s="3">
        <v>768.127</v>
      </c>
      <c r="O44" s="3">
        <v>29071.0</v>
      </c>
      <c r="P44" s="3">
        <v>6.62</v>
      </c>
      <c r="Q44" s="3">
        <v>0.88</v>
      </c>
      <c r="R44" s="2"/>
      <c r="S44" s="2"/>
      <c r="T44" s="3">
        <v>78.73</v>
      </c>
      <c r="U44" s="3">
        <v>33.1</v>
      </c>
      <c r="V44" s="3">
        <v>41.8</v>
      </c>
      <c r="W44" s="3">
        <v>2058204.0</v>
      </c>
      <c r="X44" s="3">
        <v>5.44</v>
      </c>
      <c r="Y44" s="3">
        <v>4404565.0</v>
      </c>
      <c r="Z44" s="3">
        <v>11.64</v>
      </c>
      <c r="AA44" s="3">
        <v>124.027</v>
      </c>
      <c r="AB44" s="3">
        <v>3.7846605E7</v>
      </c>
      <c r="AC44" s="3">
        <v>63083.888</v>
      </c>
      <c r="AD44" s="3">
        <v>2387511.0</v>
      </c>
      <c r="AE44" s="3">
        <v>1431.172</v>
      </c>
      <c r="AF44" s="3">
        <v>54165.0</v>
      </c>
      <c r="AG44" s="3">
        <v>320.913</v>
      </c>
      <c r="AH44" s="3">
        <v>1.214547E7</v>
      </c>
      <c r="AI44" s="3">
        <v>17.08</v>
      </c>
      <c r="AJ44" s="3">
        <v>6462769.0</v>
      </c>
      <c r="AK44" s="2"/>
    </row>
    <row r="45">
      <c r="A45" s="3" t="s">
        <v>121</v>
      </c>
      <c r="B45" s="3" t="s">
        <v>39</v>
      </c>
      <c r="C45" s="3" t="s">
        <v>122</v>
      </c>
      <c r="D45" s="3">
        <v>1.088563969</v>
      </c>
      <c r="E45" s="3">
        <v>67.94244389</v>
      </c>
      <c r="F45" s="3">
        <v>21.502</v>
      </c>
      <c r="G45" s="3">
        <v>14.924</v>
      </c>
      <c r="H45" s="3">
        <v>127.842</v>
      </c>
      <c r="I45" s="3">
        <v>9.85</v>
      </c>
      <c r="J45" s="3">
        <v>0.5</v>
      </c>
      <c r="K45" s="3">
        <v>16.3</v>
      </c>
      <c r="L45" s="3">
        <v>27936.896</v>
      </c>
      <c r="M45" s="2"/>
      <c r="N45" s="3">
        <v>673.649</v>
      </c>
      <c r="O45" s="3">
        <v>6869.0</v>
      </c>
      <c r="P45" s="3">
        <v>3.39</v>
      </c>
      <c r="Q45" s="3">
        <v>0.864</v>
      </c>
      <c r="R45" s="3">
        <v>88.656</v>
      </c>
      <c r="S45" s="3">
        <v>904.0</v>
      </c>
      <c r="T45" s="3">
        <v>82.05</v>
      </c>
      <c r="U45" s="3">
        <v>30.0</v>
      </c>
      <c r="V45" s="3">
        <v>46.2</v>
      </c>
      <c r="W45" s="3">
        <v>494521.0</v>
      </c>
      <c r="X45" s="3">
        <v>4.85</v>
      </c>
      <c r="Y45" s="3">
        <v>1196971.0</v>
      </c>
      <c r="Z45" s="3">
        <v>11.74</v>
      </c>
      <c r="AA45" s="3">
        <v>112.371</v>
      </c>
      <c r="AB45" s="3">
        <v>1.0196707E7</v>
      </c>
      <c r="AC45" s="3">
        <v>80698.798</v>
      </c>
      <c r="AD45" s="3">
        <v>822862.0</v>
      </c>
      <c r="AE45" s="3">
        <v>1654.26</v>
      </c>
      <c r="AF45" s="3">
        <v>16868.0</v>
      </c>
      <c r="AG45" s="3">
        <v>892.585</v>
      </c>
      <c r="AH45" s="3">
        <v>9101428.0</v>
      </c>
      <c r="AI45" s="3">
        <v>16.59</v>
      </c>
      <c r="AJ45" s="3">
        <v>1691535.0</v>
      </c>
      <c r="AK45" s="2"/>
    </row>
    <row r="46">
      <c r="A46" s="3" t="s">
        <v>123</v>
      </c>
      <c r="B46" s="3" t="s">
        <v>39</v>
      </c>
      <c r="C46" s="3" t="s">
        <v>124</v>
      </c>
      <c r="D46" s="3">
        <v>1.118691099</v>
      </c>
      <c r="E46" s="3">
        <v>61.61324121</v>
      </c>
      <c r="F46" s="3">
        <v>17.85</v>
      </c>
      <c r="G46" s="3">
        <v>11.69</v>
      </c>
      <c r="H46" s="3">
        <v>370.946</v>
      </c>
      <c r="I46" s="3">
        <v>9.74</v>
      </c>
      <c r="J46" s="3">
        <v>5.7</v>
      </c>
      <c r="K46" s="3">
        <v>22.9</v>
      </c>
      <c r="L46" s="3">
        <v>23313.199</v>
      </c>
      <c r="M46" s="2"/>
      <c r="N46" s="2"/>
      <c r="O46" s="2"/>
      <c r="P46" s="3">
        <v>6.892</v>
      </c>
      <c r="Q46" s="3">
        <v>0.828</v>
      </c>
      <c r="R46" s="3">
        <v>71.37</v>
      </c>
      <c r="S46" s="3">
        <v>1373.0</v>
      </c>
      <c r="T46" s="3">
        <v>76.05</v>
      </c>
      <c r="U46" s="3">
        <v>37.1</v>
      </c>
      <c r="V46" s="3">
        <v>43.0</v>
      </c>
      <c r="W46" s="3">
        <v>1105375.0</v>
      </c>
      <c r="X46" s="3">
        <v>5.75</v>
      </c>
      <c r="Y46" s="3">
        <v>2040532.0</v>
      </c>
      <c r="Z46" s="3">
        <v>10.61</v>
      </c>
      <c r="AA46" s="3">
        <v>85.129</v>
      </c>
      <c r="AB46" s="3">
        <v>1.9237682E7</v>
      </c>
      <c r="AC46" s="3">
        <v>50147.726</v>
      </c>
      <c r="AD46" s="3">
        <v>964726.0</v>
      </c>
      <c r="AE46" s="3">
        <v>1238.143</v>
      </c>
      <c r="AF46" s="3">
        <v>23819.0</v>
      </c>
      <c r="AG46" s="3">
        <v>350.593</v>
      </c>
      <c r="AH46" s="3">
        <v>6744605.0</v>
      </c>
      <c r="AI46" s="3">
        <v>16.35</v>
      </c>
      <c r="AJ46" s="3">
        <v>3145907.0</v>
      </c>
      <c r="AK46" s="2"/>
    </row>
    <row r="47">
      <c r="A47" s="3" t="s">
        <v>125</v>
      </c>
      <c r="B47" s="3" t="s">
        <v>39</v>
      </c>
      <c r="C47" s="3" t="s">
        <v>126</v>
      </c>
      <c r="D47" s="3">
        <v>1.126042216</v>
      </c>
      <c r="E47" s="3">
        <v>53.44090047</v>
      </c>
      <c r="F47" s="3">
        <v>14.178</v>
      </c>
      <c r="G47" s="3">
        <v>9.393</v>
      </c>
      <c r="H47" s="3">
        <v>431.297</v>
      </c>
      <c r="I47" s="3">
        <v>6.18</v>
      </c>
      <c r="J47" s="3">
        <v>0.1</v>
      </c>
      <c r="K47" s="3">
        <v>23.4</v>
      </c>
      <c r="L47" s="3">
        <v>24765.954</v>
      </c>
      <c r="M47" s="2"/>
      <c r="N47" s="2"/>
      <c r="O47" s="2"/>
      <c r="P47" s="3">
        <v>8.05</v>
      </c>
      <c r="Q47" s="3">
        <v>0.824</v>
      </c>
      <c r="R47" s="2"/>
      <c r="S47" s="2"/>
      <c r="T47" s="3">
        <v>72.58</v>
      </c>
      <c r="U47" s="3">
        <v>58.3</v>
      </c>
      <c r="V47" s="3">
        <v>39.6</v>
      </c>
      <c r="W47" s="3">
        <v>4531816.0</v>
      </c>
      <c r="X47" s="3">
        <v>3.11</v>
      </c>
      <c r="Y47" s="3">
        <v>7247479.0</v>
      </c>
      <c r="Z47" s="3">
        <v>4.97</v>
      </c>
      <c r="AA47" s="3">
        <v>8.823</v>
      </c>
      <c r="AB47" s="3">
        <v>1.4593446E8</v>
      </c>
      <c r="AC47" s="3">
        <v>30917.804</v>
      </c>
      <c r="AD47" s="3">
        <v>4511973.0</v>
      </c>
      <c r="AE47" s="3">
        <v>671.438</v>
      </c>
      <c r="AF47" s="3">
        <v>97986.0</v>
      </c>
      <c r="AG47" s="3">
        <v>828.931</v>
      </c>
      <c r="AH47" s="3">
        <v>1.2096962E8</v>
      </c>
      <c r="AI47" s="3">
        <v>8.07</v>
      </c>
      <c r="AJ47" s="3">
        <v>1.1779295E7</v>
      </c>
      <c r="AK47" s="2"/>
    </row>
    <row r="48">
      <c r="A48" s="3" t="s">
        <v>127</v>
      </c>
      <c r="B48" s="3" t="s">
        <v>39</v>
      </c>
      <c r="C48" s="3" t="s">
        <v>128</v>
      </c>
      <c r="D48" s="3">
        <v>0.788503937</v>
      </c>
      <c r="E48" s="3">
        <v>52.11471795</v>
      </c>
      <c r="F48" s="2"/>
      <c r="G48" s="2"/>
      <c r="H48" s="2"/>
      <c r="I48" s="3">
        <v>5.64</v>
      </c>
      <c r="J48" s="2"/>
      <c r="K48" s="2"/>
      <c r="L48" s="3">
        <v>56861.47</v>
      </c>
      <c r="M48" s="2"/>
      <c r="N48" s="2"/>
      <c r="O48" s="2"/>
      <c r="P48" s="3">
        <v>3.8</v>
      </c>
      <c r="Q48" s="2"/>
      <c r="R48" s="2"/>
      <c r="S48" s="2"/>
      <c r="T48" s="3">
        <v>84.97</v>
      </c>
      <c r="U48" s="2"/>
      <c r="V48" s="2"/>
      <c r="W48" s="3">
        <v>3523.0</v>
      </c>
      <c r="X48" s="3">
        <v>10.38</v>
      </c>
      <c r="Y48" s="3">
        <v>8818.0</v>
      </c>
      <c r="Z48" s="3">
        <v>25.98</v>
      </c>
      <c r="AA48" s="3">
        <v>556.667</v>
      </c>
      <c r="AB48" s="3">
        <v>33938.0</v>
      </c>
      <c r="AC48" s="3">
        <v>140697.743</v>
      </c>
      <c r="AD48" s="3">
        <v>4775.0</v>
      </c>
      <c r="AE48" s="3">
        <v>2475.102</v>
      </c>
      <c r="AF48" s="3">
        <v>84.0</v>
      </c>
      <c r="AG48" s="2"/>
      <c r="AH48" s="2"/>
      <c r="AI48" s="3">
        <v>36.36</v>
      </c>
      <c r="AJ48" s="3">
        <v>12341.0</v>
      </c>
      <c r="AK48" s="2"/>
    </row>
    <row r="49">
      <c r="A49" s="3" t="s">
        <v>129</v>
      </c>
      <c r="B49" s="3" t="s">
        <v>39</v>
      </c>
      <c r="C49" s="3" t="s">
        <v>130</v>
      </c>
      <c r="D49" s="3">
        <v>1.126525199</v>
      </c>
      <c r="E49" s="3">
        <v>57.70440806</v>
      </c>
      <c r="F49" s="3">
        <v>17.366</v>
      </c>
      <c r="G49" s="2"/>
      <c r="H49" s="3">
        <v>439.415</v>
      </c>
      <c r="I49" s="3">
        <v>10.08</v>
      </c>
      <c r="J49" s="2"/>
      <c r="K49" s="3">
        <v>37.7</v>
      </c>
      <c r="L49" s="3">
        <v>14048.881</v>
      </c>
      <c r="M49" s="3">
        <v>97.719</v>
      </c>
      <c r="N49" s="2"/>
      <c r="O49" s="2"/>
      <c r="P49" s="3">
        <v>5.609</v>
      </c>
      <c r="Q49" s="3">
        <v>0.806</v>
      </c>
      <c r="R49" s="2"/>
      <c r="S49" s="2"/>
      <c r="T49" s="3">
        <v>76.0</v>
      </c>
      <c r="U49" s="3">
        <v>40.2</v>
      </c>
      <c r="V49" s="3">
        <v>41.2</v>
      </c>
      <c r="W49" s="3">
        <v>1063559.0</v>
      </c>
      <c r="X49" s="3">
        <v>15.63</v>
      </c>
      <c r="Y49" s="3">
        <v>1458304.0</v>
      </c>
      <c r="Z49" s="3">
        <v>21.43</v>
      </c>
      <c r="AA49" s="3">
        <v>80.291</v>
      </c>
      <c r="AB49" s="3">
        <v>6804596.0</v>
      </c>
      <c r="AC49" s="3">
        <v>89679.387</v>
      </c>
      <c r="AD49" s="3">
        <v>610232.0</v>
      </c>
      <c r="AE49" s="3">
        <v>791.23</v>
      </c>
      <c r="AF49" s="3">
        <v>5384.0</v>
      </c>
      <c r="AG49" s="3">
        <v>497.916</v>
      </c>
      <c r="AH49" s="3">
        <v>3388114.0</v>
      </c>
      <c r="AI49" s="3">
        <v>37.06</v>
      </c>
      <c r="AJ49" s="3">
        <v>2521863.0</v>
      </c>
      <c r="AK49" s="2"/>
    </row>
    <row r="50">
      <c r="A50" s="3" t="s">
        <v>131</v>
      </c>
      <c r="B50" s="3" t="s">
        <v>39</v>
      </c>
      <c r="C50" s="3" t="s">
        <v>132</v>
      </c>
      <c r="D50" s="3">
        <v>1.116984127</v>
      </c>
      <c r="E50" s="3">
        <v>58.35607235</v>
      </c>
      <c r="F50" s="3">
        <v>15.07</v>
      </c>
      <c r="G50" s="3">
        <v>9.167</v>
      </c>
      <c r="H50" s="3">
        <v>287.959</v>
      </c>
      <c r="I50" s="3">
        <v>7.29</v>
      </c>
      <c r="J50" s="3">
        <v>0.7</v>
      </c>
      <c r="K50" s="3">
        <v>23.1</v>
      </c>
      <c r="L50" s="3">
        <v>30155.152</v>
      </c>
      <c r="M50" s="2"/>
      <c r="N50" s="3">
        <v>702.61</v>
      </c>
      <c r="O50" s="3">
        <v>3836.0</v>
      </c>
      <c r="P50" s="3">
        <v>5.82</v>
      </c>
      <c r="Q50" s="3">
        <v>0.86</v>
      </c>
      <c r="R50" s="2"/>
      <c r="S50" s="2"/>
      <c r="T50" s="3">
        <v>77.54</v>
      </c>
      <c r="U50" s="3">
        <v>37.7</v>
      </c>
      <c r="V50" s="3">
        <v>41.2</v>
      </c>
      <c r="W50" s="3">
        <v>263415.0</v>
      </c>
      <c r="X50" s="3">
        <v>4.82</v>
      </c>
      <c r="Y50" s="3">
        <v>737496.0</v>
      </c>
      <c r="Z50" s="3">
        <v>13.51</v>
      </c>
      <c r="AA50" s="3">
        <v>113.128</v>
      </c>
      <c r="AB50" s="3">
        <v>5459643.0</v>
      </c>
      <c r="AC50" s="3">
        <v>66647.947</v>
      </c>
      <c r="AD50" s="3">
        <v>363874.0</v>
      </c>
      <c r="AE50" s="3">
        <v>1809.093</v>
      </c>
      <c r="AF50" s="3">
        <v>9877.0</v>
      </c>
      <c r="AG50" s="3">
        <v>4656.634</v>
      </c>
      <c r="AH50" s="3">
        <v>2.5423558E7</v>
      </c>
      <c r="AI50" s="3">
        <v>18.33</v>
      </c>
      <c r="AJ50" s="3">
        <v>1000911.0</v>
      </c>
      <c r="AK50" s="2"/>
    </row>
    <row r="51">
      <c r="A51" s="3" t="s">
        <v>133</v>
      </c>
      <c r="B51" s="3" t="s">
        <v>39</v>
      </c>
      <c r="C51" s="3" t="s">
        <v>134</v>
      </c>
      <c r="D51" s="3">
        <v>1.103342037</v>
      </c>
      <c r="E51" s="3">
        <v>55.28106024</v>
      </c>
      <c r="F51" s="3">
        <v>19.062</v>
      </c>
      <c r="G51" s="3">
        <v>12.93</v>
      </c>
      <c r="H51" s="3">
        <v>153.493</v>
      </c>
      <c r="I51" s="3">
        <v>7.25</v>
      </c>
      <c r="J51" s="2"/>
      <c r="K51" s="3">
        <v>20.1</v>
      </c>
      <c r="L51" s="3">
        <v>31400.84</v>
      </c>
      <c r="M51" s="2"/>
      <c r="N51" s="3">
        <v>636.865</v>
      </c>
      <c r="O51" s="3">
        <v>1324.0</v>
      </c>
      <c r="P51" s="3">
        <v>4.5</v>
      </c>
      <c r="Q51" s="3">
        <v>0.917</v>
      </c>
      <c r="R51" s="3">
        <v>101.975</v>
      </c>
      <c r="S51" s="3">
        <v>212.0</v>
      </c>
      <c r="T51" s="3">
        <v>81.32</v>
      </c>
      <c r="U51" s="3">
        <v>25.0</v>
      </c>
      <c r="V51" s="3">
        <v>44.5</v>
      </c>
      <c r="W51" s="3">
        <v>118710.0</v>
      </c>
      <c r="X51" s="3">
        <v>5.71</v>
      </c>
      <c r="Y51" s="3">
        <v>279172.0</v>
      </c>
      <c r="Z51" s="3">
        <v>13.43</v>
      </c>
      <c r="AA51" s="3">
        <v>102.619</v>
      </c>
      <c r="AB51" s="3">
        <v>2078932.0</v>
      </c>
      <c r="AC51" s="3">
        <v>104916.371</v>
      </c>
      <c r="AD51" s="3">
        <v>218114.0</v>
      </c>
      <c r="AE51" s="3">
        <v>1954.369</v>
      </c>
      <c r="AF51" s="3">
        <v>4063.0</v>
      </c>
      <c r="AG51" s="3">
        <v>511.959</v>
      </c>
      <c r="AH51" s="3">
        <v>1064328.0</v>
      </c>
      <c r="AI51" s="3">
        <v>19.14</v>
      </c>
      <c r="AJ51" s="3">
        <v>397882.0</v>
      </c>
      <c r="AK51" s="2"/>
    </row>
    <row r="52">
      <c r="A52" s="3" t="s">
        <v>135</v>
      </c>
      <c r="B52" s="3" t="s">
        <v>39</v>
      </c>
      <c r="C52" s="3" t="s">
        <v>136</v>
      </c>
      <c r="D52" s="3">
        <v>1.219512821</v>
      </c>
      <c r="E52" s="3">
        <v>56.02288056</v>
      </c>
      <c r="F52" s="3">
        <v>19.985</v>
      </c>
      <c r="G52" s="3">
        <v>13.433</v>
      </c>
      <c r="H52" s="3">
        <v>133.982</v>
      </c>
      <c r="I52" s="3">
        <v>4.79</v>
      </c>
      <c r="J52" s="3">
        <v>0.5</v>
      </c>
      <c r="K52" s="3">
        <v>18.8</v>
      </c>
      <c r="L52" s="3">
        <v>46949.283</v>
      </c>
      <c r="M52" s="2"/>
      <c r="N52" s="3">
        <v>297.546</v>
      </c>
      <c r="O52" s="3">
        <v>3005.0</v>
      </c>
      <c r="P52" s="3">
        <v>2.22</v>
      </c>
      <c r="Q52" s="3">
        <v>0.945</v>
      </c>
      <c r="R52" s="3">
        <v>54.558</v>
      </c>
      <c r="S52" s="3">
        <v>551.0</v>
      </c>
      <c r="T52" s="3">
        <v>82.8</v>
      </c>
      <c r="U52" s="3">
        <v>18.9</v>
      </c>
      <c r="V52" s="3">
        <v>41.0</v>
      </c>
      <c r="W52" s="3">
        <v>499251.0</v>
      </c>
      <c r="X52" s="3">
        <v>4.94</v>
      </c>
      <c r="Y52" s="3">
        <v>1167532.0</v>
      </c>
      <c r="Z52" s="3">
        <v>11.56</v>
      </c>
      <c r="AA52" s="3">
        <v>24.718</v>
      </c>
      <c r="AB52" s="3">
        <v>1.009927E7</v>
      </c>
      <c r="AC52" s="3">
        <v>80519.78</v>
      </c>
      <c r="AD52" s="3">
        <v>813191.0</v>
      </c>
      <c r="AE52" s="3">
        <v>1336.532</v>
      </c>
      <c r="AF52" s="3">
        <v>13498.0</v>
      </c>
      <c r="AG52" s="2"/>
      <c r="AH52" s="2"/>
      <c r="AI52" s="3">
        <v>16.5</v>
      </c>
      <c r="AJ52" s="3">
        <v>1666783.0</v>
      </c>
      <c r="AK52" s="2"/>
    </row>
    <row r="53">
      <c r="A53" s="3" t="s">
        <v>137</v>
      </c>
      <c r="B53" s="3" t="s">
        <v>39</v>
      </c>
      <c r="C53" s="3" t="s">
        <v>138</v>
      </c>
      <c r="D53" s="3">
        <v>1.131293801</v>
      </c>
      <c r="E53" s="3">
        <v>62.71219388</v>
      </c>
      <c r="F53" s="3">
        <v>16.462</v>
      </c>
      <c r="G53" s="3">
        <v>11.133</v>
      </c>
      <c r="H53" s="3">
        <v>539.849</v>
      </c>
      <c r="I53" s="3">
        <v>7.11</v>
      </c>
      <c r="J53" s="3">
        <v>0.1</v>
      </c>
      <c r="K53" s="3">
        <v>13.5</v>
      </c>
      <c r="L53" s="3">
        <v>7894.393</v>
      </c>
      <c r="M53" s="2"/>
      <c r="N53" s="2"/>
      <c r="O53" s="2"/>
      <c r="P53" s="3">
        <v>8.8</v>
      </c>
      <c r="Q53" s="3">
        <v>0.779</v>
      </c>
      <c r="R53" s="2"/>
      <c r="S53" s="2"/>
      <c r="T53" s="3">
        <v>72.06</v>
      </c>
      <c r="U53" s="3">
        <v>47.4</v>
      </c>
      <c r="V53" s="3">
        <v>41.4</v>
      </c>
      <c r="W53" s="3">
        <v>2.0</v>
      </c>
      <c r="X53" s="3">
        <v>0.0</v>
      </c>
      <c r="Y53" s="3">
        <v>267833.0</v>
      </c>
      <c r="Z53" s="3">
        <v>0.61</v>
      </c>
      <c r="AA53" s="3">
        <v>77.39</v>
      </c>
      <c r="AB53" s="3">
        <v>4.3733759E7</v>
      </c>
      <c r="AC53" s="3">
        <v>40305.545</v>
      </c>
      <c r="AD53" s="3">
        <v>1762713.0</v>
      </c>
      <c r="AE53" s="3">
        <v>807.751</v>
      </c>
      <c r="AF53" s="3">
        <v>35326.0</v>
      </c>
      <c r="AG53" s="3">
        <v>188.386</v>
      </c>
      <c r="AH53" s="3">
        <v>8238849.0</v>
      </c>
      <c r="AI53" s="3">
        <v>0.61</v>
      </c>
      <c r="AJ53" s="3">
        <v>267835.0</v>
      </c>
      <c r="AK53" s="2"/>
    </row>
    <row r="54">
      <c r="A54" s="3" t="s">
        <v>139</v>
      </c>
      <c r="B54" s="3" t="s">
        <v>39</v>
      </c>
      <c r="C54" s="3" t="s">
        <v>140</v>
      </c>
      <c r="D54" s="2"/>
      <c r="E54" s="2"/>
      <c r="F54" s="2"/>
      <c r="G54" s="2"/>
      <c r="H54" s="2"/>
      <c r="I54" s="2"/>
      <c r="J54" s="2"/>
      <c r="K54" s="2"/>
      <c r="L54" s="2"/>
      <c r="M54" s="2"/>
      <c r="N54" s="2"/>
      <c r="O54" s="2"/>
      <c r="P54" s="2"/>
      <c r="Q54" s="2"/>
      <c r="R54" s="2"/>
      <c r="S54" s="2"/>
      <c r="T54" s="3">
        <v>75.12</v>
      </c>
      <c r="U54" s="2"/>
      <c r="V54" s="2"/>
      <c r="W54" s="2"/>
      <c r="X54" s="2"/>
      <c r="Y54" s="2"/>
      <c r="Z54" s="2"/>
      <c r="AA54" s="2"/>
      <c r="AB54" s="3">
        <v>809.0</v>
      </c>
      <c r="AC54" s="3">
        <v>33374.536</v>
      </c>
      <c r="AD54" s="3">
        <v>27.0</v>
      </c>
      <c r="AE54" s="2"/>
      <c r="AF54" s="2"/>
      <c r="AG54" s="2"/>
      <c r="AH54" s="2"/>
      <c r="AI54" s="2"/>
      <c r="AJ54" s="2"/>
      <c r="AK54" s="2"/>
    </row>
    <row r="55">
      <c r="A55" s="3"/>
      <c r="B55" s="3"/>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43"/>
    <col customWidth="1" min="2" max="2" width="13.57"/>
    <col customWidth="1" min="3" max="3" width="29.57"/>
    <col customWidth="1" min="4" max="4" width="11.71"/>
    <col customWidth="1" min="5" max="5" width="12.43"/>
    <col customWidth="1" min="6" max="6" width="11.0"/>
    <col customWidth="1" min="7" max="7" width="14.86"/>
  </cols>
  <sheetData>
    <row r="1">
      <c r="A1" s="4" t="s">
        <v>1</v>
      </c>
      <c r="B1" s="4" t="s">
        <v>2</v>
      </c>
      <c r="C1" s="4" t="s">
        <v>3</v>
      </c>
      <c r="D1" s="7" t="s">
        <v>30</v>
      </c>
      <c r="E1" s="7" t="s">
        <v>32</v>
      </c>
      <c r="F1" s="7" t="s">
        <v>28</v>
      </c>
      <c r="G1" s="7" t="s">
        <v>12</v>
      </c>
      <c r="H1" s="2"/>
    </row>
    <row r="2">
      <c r="A2" s="3" t="s">
        <v>141</v>
      </c>
      <c r="B2" s="3" t="s">
        <v>142</v>
      </c>
      <c r="C2" s="3" t="s">
        <v>143</v>
      </c>
      <c r="D2" s="2" t="str">
        <f>IFERROR(VLOOKUP($C2, covid_vlookup, HLOOKUP(D$1, covid_hlookup, 2, FALSE), FALSE), "No data")</f>
        <v>No data</v>
      </c>
      <c r="E2" s="2" t="str">
        <f>IFERROR(VLOOKUP($C2, covid_vlookup, HLOOKUP(E$1, covid_hlookup, 2, FALSE), FALSE), "No data")</f>
        <v>No data</v>
      </c>
      <c r="F2" s="2" t="str">
        <f>IFERROR(VLOOKUP($C2, covid_vlookup, HLOOKUP(F$1, covid_hlookup, 2, FALSE), FALSE), "No data")</f>
        <v>No data</v>
      </c>
      <c r="G2" s="2" t="str">
        <f>IFERROR(VLOOKUP($C2, covid_vlookup, HLOOKUP(G$1, covid_hlookup, 2, FALSE), FALSE), "No data")</f>
        <v>No data</v>
      </c>
      <c r="H2" s="2"/>
    </row>
    <row r="3">
      <c r="A3" s="3" t="s">
        <v>38</v>
      </c>
      <c r="B3" s="3" t="s">
        <v>39</v>
      </c>
      <c r="C3" s="3" t="s">
        <v>40</v>
      </c>
      <c r="D3" s="2">
        <f>IFERROR(VLOOKUP($C3, covid_vlookup, HLOOKUP(D$1, covid_hlookup, 2, FALSE), FALSE), "No data")</f>
        <v>125842</v>
      </c>
      <c r="E3" s="2">
        <f>IFERROR(VLOOKUP($C3, covid_vlookup, HLOOKUP(E$1, covid_hlookup, 2, FALSE), FALSE), "No data")</f>
        <v>2247</v>
      </c>
      <c r="F3" s="2">
        <f>IFERROR(VLOOKUP($C3, covid_vlookup, HLOOKUP(F$1, covid_hlookup, 2, FALSE), FALSE), "No data")</f>
        <v>2877800</v>
      </c>
      <c r="G3" s="2">
        <f>IFERROR(VLOOKUP($C3, covid_vlookup, HLOOKUP(G$1, covid_hlookup, 2, FALSE), FALSE), "No data")</f>
        <v>11803.431</v>
      </c>
      <c r="H3" s="2"/>
    </row>
    <row r="4">
      <c r="A4" s="3" t="s">
        <v>144</v>
      </c>
      <c r="B4" s="3" t="s">
        <v>145</v>
      </c>
      <c r="C4" s="3" t="s">
        <v>146</v>
      </c>
      <c r="D4" s="2" t="str">
        <f>IFERROR(VLOOKUP($C4, covid_vlookup, HLOOKUP(D$1, covid_hlookup, 2, FALSE), FALSE), "No data")</f>
        <v>No data</v>
      </c>
      <c r="E4" s="2" t="str">
        <f>IFERROR(VLOOKUP($C4, covid_vlookup, HLOOKUP(E$1, covid_hlookup, 2, FALSE), FALSE), "No data")</f>
        <v>No data</v>
      </c>
      <c r="F4" s="2" t="str">
        <f>IFERROR(VLOOKUP($C4, covid_vlookup, HLOOKUP(F$1, covid_hlookup, 2, FALSE), FALSE), "No data")</f>
        <v>No data</v>
      </c>
      <c r="G4" s="2" t="str">
        <f>IFERROR(VLOOKUP($C4, covid_vlookup, HLOOKUP(G$1, covid_hlookup, 2, FALSE), FALSE), "No data")</f>
        <v>No data</v>
      </c>
      <c r="H4" s="2"/>
    </row>
    <row r="5">
      <c r="A5" s="3" t="s">
        <v>41</v>
      </c>
      <c r="B5" s="3" t="s">
        <v>39</v>
      </c>
      <c r="C5" s="3" t="s">
        <v>42</v>
      </c>
      <c r="D5" s="2">
        <f>IFERROR(VLOOKUP($C5, covid_vlookup, HLOOKUP(D$1, covid_hlookup, 2, FALSE), FALSE), "No data")</f>
        <v>12115</v>
      </c>
      <c r="E5" s="2">
        <f>IFERROR(VLOOKUP($C5, covid_vlookup, HLOOKUP(E$1, covid_hlookup, 2, FALSE), FALSE), "No data")</f>
        <v>116</v>
      </c>
      <c r="F5" s="2">
        <f>IFERROR(VLOOKUP($C5, covid_vlookup, HLOOKUP(F$1, covid_hlookup, 2, FALSE), FALSE), "No data")</f>
        <v>77265</v>
      </c>
      <c r="G5" s="2" t="str">
        <f>IFERROR(VLOOKUP($C5, covid_vlookup, HLOOKUP(G$1, covid_hlookup, 2, FALSE), FALSE), "No data")</f>
        <v/>
      </c>
      <c r="H5" s="2"/>
    </row>
    <row r="6">
      <c r="A6" s="3" t="s">
        <v>147</v>
      </c>
      <c r="B6" s="3" t="s">
        <v>145</v>
      </c>
      <c r="C6" s="3" t="s">
        <v>148</v>
      </c>
      <c r="D6" s="2" t="str">
        <f>IFERROR(VLOOKUP($C6, covid_vlookup, HLOOKUP(D$1, covid_hlookup, 2, FALSE), FALSE), "No data")</f>
        <v>No data</v>
      </c>
      <c r="E6" s="2" t="str">
        <f>IFERROR(VLOOKUP($C6, covid_vlookup, HLOOKUP(E$1, covid_hlookup, 2, FALSE), FALSE), "No data")</f>
        <v>No data</v>
      </c>
      <c r="F6" s="2" t="str">
        <f>IFERROR(VLOOKUP($C6, covid_vlookup, HLOOKUP(F$1, covid_hlookup, 2, FALSE), FALSE), "No data")</f>
        <v>No data</v>
      </c>
      <c r="G6" s="2" t="str">
        <f>IFERROR(VLOOKUP($C6, covid_vlookup, HLOOKUP(G$1, covid_hlookup, 2, FALSE), FALSE), "No data")</f>
        <v>No data</v>
      </c>
      <c r="H6" s="2"/>
    </row>
    <row r="7">
      <c r="A7" s="3" t="s">
        <v>149</v>
      </c>
      <c r="B7" s="3" t="s">
        <v>150</v>
      </c>
      <c r="C7" s="3" t="s">
        <v>151</v>
      </c>
      <c r="D7" s="2" t="str">
        <f>IFERROR(VLOOKUP($C7, covid_vlookup, HLOOKUP(D$1, covid_hlookup, 2, FALSE), FALSE), "No data")</f>
        <v>No data</v>
      </c>
      <c r="E7" s="2" t="str">
        <f>IFERROR(VLOOKUP($C7, covid_vlookup, HLOOKUP(E$1, covid_hlookup, 2, FALSE), FALSE), "No data")</f>
        <v>No data</v>
      </c>
      <c r="F7" s="2" t="str">
        <f>IFERROR(VLOOKUP($C7, covid_vlookup, HLOOKUP(F$1, covid_hlookup, 2, FALSE), FALSE), "No data")</f>
        <v>No data</v>
      </c>
      <c r="G7" s="2" t="str">
        <f>IFERROR(VLOOKUP($C7, covid_vlookup, HLOOKUP(G$1, covid_hlookup, 2, FALSE), FALSE), "No data")</f>
        <v>No data</v>
      </c>
      <c r="H7" s="2"/>
    </row>
    <row r="8">
      <c r="A8" s="3" t="s">
        <v>152</v>
      </c>
      <c r="B8" s="3" t="s">
        <v>150</v>
      </c>
      <c r="C8" s="3" t="s">
        <v>153</v>
      </c>
      <c r="D8" s="2" t="str">
        <f>IFERROR(VLOOKUP($C8, covid_vlookup, HLOOKUP(D$1, covid_hlookup, 2, FALSE), FALSE), "No data")</f>
        <v>No data</v>
      </c>
      <c r="E8" s="2" t="str">
        <f>IFERROR(VLOOKUP($C8, covid_vlookup, HLOOKUP(E$1, covid_hlookup, 2, FALSE), FALSE), "No data")</f>
        <v>No data</v>
      </c>
      <c r="F8" s="2" t="str">
        <f>IFERROR(VLOOKUP($C8, covid_vlookup, HLOOKUP(F$1, covid_hlookup, 2, FALSE), FALSE), "No data")</f>
        <v>No data</v>
      </c>
      <c r="G8" s="2" t="str">
        <f>IFERROR(VLOOKUP($C8, covid_vlookup, HLOOKUP(G$1, covid_hlookup, 2, FALSE), FALSE), "No data")</f>
        <v>No data</v>
      </c>
      <c r="H8" s="2"/>
    </row>
    <row r="9">
      <c r="A9" s="3" t="s">
        <v>154</v>
      </c>
      <c r="B9" s="3" t="s">
        <v>155</v>
      </c>
      <c r="C9" s="3" t="s">
        <v>156</v>
      </c>
      <c r="D9" s="2" t="str">
        <f>IFERROR(VLOOKUP($C9, covid_vlookup, HLOOKUP(D$1, covid_hlookup, 2, FALSE), FALSE), "No data")</f>
        <v>No data</v>
      </c>
      <c r="E9" s="2" t="str">
        <f>IFERROR(VLOOKUP($C9, covid_vlookup, HLOOKUP(E$1, covid_hlookup, 2, FALSE), FALSE), "No data")</f>
        <v>No data</v>
      </c>
      <c r="F9" s="2" t="str">
        <f>IFERROR(VLOOKUP($C9, covid_vlookup, HLOOKUP(F$1, covid_hlookup, 2, FALSE), FALSE), "No data")</f>
        <v>No data</v>
      </c>
      <c r="G9" s="2" t="str">
        <f>IFERROR(VLOOKUP($C9, covid_vlookup, HLOOKUP(G$1, covid_hlookup, 2, FALSE), FALSE), "No data")</f>
        <v>No data</v>
      </c>
      <c r="H9" s="2"/>
    </row>
    <row r="10">
      <c r="A10" s="3" t="s">
        <v>157</v>
      </c>
      <c r="B10" s="3" t="s">
        <v>142</v>
      </c>
      <c r="C10" s="3" t="s">
        <v>158</v>
      </c>
      <c r="D10" s="2" t="str">
        <f>IFERROR(VLOOKUP($C10, covid_vlookup, HLOOKUP(D$1, covid_hlookup, 2, FALSE), FALSE), "No data")</f>
        <v>No data</v>
      </c>
      <c r="E10" s="2" t="str">
        <f>IFERROR(VLOOKUP($C10, covid_vlookup, HLOOKUP(E$1, covid_hlookup, 2, FALSE), FALSE), "No data")</f>
        <v>No data</v>
      </c>
      <c r="F10" s="2" t="str">
        <f>IFERROR(VLOOKUP($C10, covid_vlookup, HLOOKUP(F$1, covid_hlookup, 2, FALSE), FALSE), "No data")</f>
        <v>No data</v>
      </c>
      <c r="G10" s="2" t="str">
        <f>IFERROR(VLOOKUP($C10, covid_vlookup, HLOOKUP(G$1, covid_hlookup, 2, FALSE), FALSE), "No data")</f>
        <v>No data</v>
      </c>
      <c r="H10" s="2"/>
    </row>
    <row r="11">
      <c r="A11" s="3" t="s">
        <v>159</v>
      </c>
      <c r="B11" s="3" t="s">
        <v>150</v>
      </c>
      <c r="C11" s="3" t="s">
        <v>160</v>
      </c>
      <c r="D11" s="2" t="str">
        <f>IFERROR(VLOOKUP($C11, covid_vlookup, HLOOKUP(D$1, covid_hlookup, 2, FALSE), FALSE), "No data")</f>
        <v>No data</v>
      </c>
      <c r="E11" s="2" t="str">
        <f>IFERROR(VLOOKUP($C11, covid_vlookup, HLOOKUP(E$1, covid_hlookup, 2, FALSE), FALSE), "No data")</f>
        <v>No data</v>
      </c>
      <c r="F11" s="2" t="str">
        <f>IFERROR(VLOOKUP($C11, covid_vlookup, HLOOKUP(F$1, covid_hlookup, 2, FALSE), FALSE), "No data")</f>
        <v>No data</v>
      </c>
      <c r="G11" s="2" t="str">
        <f>IFERROR(VLOOKUP($C11, covid_vlookup, HLOOKUP(G$1, covid_hlookup, 2, FALSE), FALSE), "No data")</f>
        <v>No data</v>
      </c>
      <c r="H11" s="2"/>
    </row>
    <row r="12">
      <c r="A12" s="3" t="s">
        <v>161</v>
      </c>
      <c r="B12" s="3" t="s">
        <v>162</v>
      </c>
      <c r="C12" s="3" t="s">
        <v>163</v>
      </c>
      <c r="D12" s="2" t="str">
        <f>IFERROR(VLOOKUP($C12, covid_vlookup, HLOOKUP(D$1, covid_hlookup, 2, FALSE), FALSE), "No data")</f>
        <v>No data</v>
      </c>
      <c r="E12" s="2" t="str">
        <f>IFERROR(VLOOKUP($C12, covid_vlookup, HLOOKUP(E$1, covid_hlookup, 2, FALSE), FALSE), "No data")</f>
        <v>No data</v>
      </c>
      <c r="F12" s="2" t="str">
        <f>IFERROR(VLOOKUP($C12, covid_vlookup, HLOOKUP(F$1, covid_hlookup, 2, FALSE), FALSE), "No data")</f>
        <v>No data</v>
      </c>
      <c r="G12" s="2" t="str">
        <f>IFERROR(VLOOKUP($C12, covid_vlookup, HLOOKUP(G$1, covid_hlookup, 2, FALSE), FALSE), "No data")</f>
        <v>No data</v>
      </c>
      <c r="H12" s="2"/>
    </row>
    <row r="13">
      <c r="A13" s="3" t="s">
        <v>43</v>
      </c>
      <c r="B13" s="3" t="s">
        <v>39</v>
      </c>
      <c r="C13" s="3" t="s">
        <v>44</v>
      </c>
      <c r="D13" s="2">
        <f>IFERROR(VLOOKUP($C13, covid_vlookup, HLOOKUP(D$1, covid_hlookup, 2, FALSE), FALSE), "No data")</f>
        <v>552729</v>
      </c>
      <c r="E13" s="2">
        <f>IFERROR(VLOOKUP($C13, covid_vlookup, HLOOKUP(E$1, covid_hlookup, 2, FALSE), FALSE), "No data")</f>
        <v>9397</v>
      </c>
      <c r="F13" s="2">
        <f>IFERROR(VLOOKUP($C13, covid_vlookup, HLOOKUP(F$1, covid_hlookup, 2, FALSE), FALSE), "No data")</f>
        <v>9006400</v>
      </c>
      <c r="G13" s="2">
        <f>IFERROR(VLOOKUP($C13, covid_vlookup, HLOOKUP(G$1, covid_hlookup, 2, FALSE), FALSE), "No data")</f>
        <v>45436.686</v>
      </c>
      <c r="H13" s="2"/>
    </row>
    <row r="14">
      <c r="A14" s="3" t="s">
        <v>164</v>
      </c>
      <c r="B14" s="3" t="s">
        <v>142</v>
      </c>
      <c r="C14" s="3" t="s">
        <v>165</v>
      </c>
      <c r="D14" s="2" t="str">
        <f>IFERROR(VLOOKUP($C14, covid_vlookup, HLOOKUP(D$1, covid_hlookup, 2, FALSE), FALSE), "No data")</f>
        <v>No data</v>
      </c>
      <c r="E14" s="2" t="str">
        <f>IFERROR(VLOOKUP($C14, covid_vlookup, HLOOKUP(E$1, covid_hlookup, 2, FALSE), FALSE), "No data")</f>
        <v>No data</v>
      </c>
      <c r="F14" s="2" t="str">
        <f>IFERROR(VLOOKUP($C14, covid_vlookup, HLOOKUP(F$1, covid_hlookup, 2, FALSE), FALSE), "No data")</f>
        <v>No data</v>
      </c>
      <c r="G14" s="2" t="str">
        <f>IFERROR(VLOOKUP($C14, covid_vlookup, HLOOKUP(G$1, covid_hlookup, 2, FALSE), FALSE), "No data")</f>
        <v>No data</v>
      </c>
      <c r="H14" s="2"/>
    </row>
    <row r="15">
      <c r="A15" s="3" t="s">
        <v>166</v>
      </c>
      <c r="B15" s="3" t="s">
        <v>150</v>
      </c>
      <c r="C15" s="3" t="s">
        <v>167</v>
      </c>
      <c r="D15" s="2" t="str">
        <f>IFERROR(VLOOKUP($C15, covid_vlookup, HLOOKUP(D$1, covid_hlookup, 2, FALSE), FALSE), "No data")</f>
        <v>No data</v>
      </c>
      <c r="E15" s="2" t="str">
        <f>IFERROR(VLOOKUP($C15, covid_vlookup, HLOOKUP(E$1, covid_hlookup, 2, FALSE), FALSE), "No data")</f>
        <v>No data</v>
      </c>
      <c r="F15" s="2" t="str">
        <f>IFERROR(VLOOKUP($C15, covid_vlookup, HLOOKUP(F$1, covid_hlookup, 2, FALSE), FALSE), "No data")</f>
        <v>No data</v>
      </c>
      <c r="G15" s="2" t="str">
        <f>IFERROR(VLOOKUP($C15, covid_vlookup, HLOOKUP(G$1, covid_hlookup, 2, FALSE), FALSE), "No data")</f>
        <v>No data</v>
      </c>
      <c r="H15" s="2"/>
    </row>
    <row r="16">
      <c r="A16" s="3" t="s">
        <v>168</v>
      </c>
      <c r="B16" s="3" t="s">
        <v>142</v>
      </c>
      <c r="C16" s="3" t="s">
        <v>169</v>
      </c>
      <c r="D16" s="2" t="str">
        <f>IFERROR(VLOOKUP($C16, covid_vlookup, HLOOKUP(D$1, covid_hlookup, 2, FALSE), FALSE), "No data")</f>
        <v>No data</v>
      </c>
      <c r="E16" s="2" t="str">
        <f>IFERROR(VLOOKUP($C16, covid_vlookup, HLOOKUP(E$1, covid_hlookup, 2, FALSE), FALSE), "No data")</f>
        <v>No data</v>
      </c>
      <c r="F16" s="2" t="str">
        <f>IFERROR(VLOOKUP($C16, covid_vlookup, HLOOKUP(F$1, covid_hlookup, 2, FALSE), FALSE), "No data")</f>
        <v>No data</v>
      </c>
      <c r="G16" s="2" t="str">
        <f>IFERROR(VLOOKUP($C16, covid_vlookup, HLOOKUP(G$1, covid_hlookup, 2, FALSE), FALSE), "No data")</f>
        <v>No data</v>
      </c>
      <c r="H16" s="2"/>
    </row>
    <row r="17">
      <c r="A17" s="3" t="s">
        <v>170</v>
      </c>
      <c r="B17" s="3" t="s">
        <v>142</v>
      </c>
      <c r="C17" s="3" t="s">
        <v>171</v>
      </c>
      <c r="D17" s="2" t="str">
        <f>IFERROR(VLOOKUP($C17, covid_vlookup, HLOOKUP(D$1, covid_hlookup, 2, FALSE), FALSE), "No data")</f>
        <v>No data</v>
      </c>
      <c r="E17" s="2" t="str">
        <f>IFERROR(VLOOKUP($C17, covid_vlookup, HLOOKUP(E$1, covid_hlookup, 2, FALSE), FALSE), "No data")</f>
        <v>No data</v>
      </c>
      <c r="F17" s="2" t="str">
        <f>IFERROR(VLOOKUP($C17, covid_vlookup, HLOOKUP(F$1, covid_hlookup, 2, FALSE), FALSE), "No data")</f>
        <v>No data</v>
      </c>
      <c r="G17" s="2" t="str">
        <f>IFERROR(VLOOKUP($C17, covid_vlookup, HLOOKUP(G$1, covid_hlookup, 2, FALSE), FALSE), "No data")</f>
        <v>No data</v>
      </c>
      <c r="H17" s="2"/>
    </row>
    <row r="18">
      <c r="A18" s="3" t="s">
        <v>172</v>
      </c>
      <c r="B18" s="3" t="s">
        <v>150</v>
      </c>
      <c r="C18" s="3" t="s">
        <v>173</v>
      </c>
      <c r="D18" s="2" t="str">
        <f>IFERROR(VLOOKUP($C18, covid_vlookup, HLOOKUP(D$1, covid_hlookup, 2, FALSE), FALSE), "No data")</f>
        <v>No data</v>
      </c>
      <c r="E18" s="2" t="str">
        <f>IFERROR(VLOOKUP($C18, covid_vlookup, HLOOKUP(E$1, covid_hlookup, 2, FALSE), FALSE), "No data")</f>
        <v>No data</v>
      </c>
      <c r="F18" s="2" t="str">
        <f>IFERROR(VLOOKUP($C18, covid_vlookup, HLOOKUP(F$1, covid_hlookup, 2, FALSE), FALSE), "No data")</f>
        <v>No data</v>
      </c>
      <c r="G18" s="2" t="str">
        <f>IFERROR(VLOOKUP($C18, covid_vlookup, HLOOKUP(G$1, covid_hlookup, 2, FALSE), FALSE), "No data")</f>
        <v>No data</v>
      </c>
      <c r="H18" s="2"/>
    </row>
    <row r="19">
      <c r="A19" s="3" t="s">
        <v>51</v>
      </c>
      <c r="B19" s="3" t="s">
        <v>39</v>
      </c>
      <c r="C19" s="3" t="s">
        <v>52</v>
      </c>
      <c r="D19" s="2">
        <f>IFERROR(VLOOKUP($C19, covid_vlookup, HLOOKUP(D$1, covid_hlookup, 2, FALSE), FALSE), "No data")</f>
        <v>324694</v>
      </c>
      <c r="E19" s="2">
        <f>IFERROR(VLOOKUP($C19, covid_vlookup, HLOOKUP(E$1, covid_hlookup, 2, FALSE), FALSE), "No data")</f>
        <v>2267</v>
      </c>
      <c r="F19" s="2">
        <f>IFERROR(VLOOKUP($C19, covid_vlookup, HLOOKUP(F$1, covid_hlookup, 2, FALSE), FALSE), "No data")</f>
        <v>9449321</v>
      </c>
      <c r="G19" s="2">
        <f>IFERROR(VLOOKUP($C19, covid_vlookup, HLOOKUP(G$1, covid_hlookup, 2, FALSE), FALSE), "No data")</f>
        <v>17167.967</v>
      </c>
      <c r="H19" s="2"/>
    </row>
    <row r="20">
      <c r="A20" s="3" t="s">
        <v>45</v>
      </c>
      <c r="B20" s="3" t="s">
        <v>39</v>
      </c>
      <c r="C20" s="3" t="s">
        <v>46</v>
      </c>
      <c r="D20" s="2">
        <f>IFERROR(VLOOKUP($C20, covid_vlookup, HLOOKUP(D$1, covid_hlookup, 2, FALSE), FALSE), "No data")</f>
        <v>892585</v>
      </c>
      <c r="E20" s="2">
        <f>IFERROR(VLOOKUP($C20, covid_vlookup, HLOOKUP(E$1, covid_hlookup, 2, FALSE), FALSE), "No data")</f>
        <v>23083</v>
      </c>
      <c r="F20" s="2">
        <f>IFERROR(VLOOKUP($C20, covid_vlookup, HLOOKUP(F$1, covid_hlookup, 2, FALSE), FALSE), "No data")</f>
        <v>11589616</v>
      </c>
      <c r="G20" s="2">
        <f>IFERROR(VLOOKUP($C20, covid_vlookup, HLOOKUP(G$1, covid_hlookup, 2, FALSE), FALSE), "No data")</f>
        <v>42658.576</v>
      </c>
      <c r="H20" s="2"/>
    </row>
    <row r="21">
      <c r="A21" s="3" t="s">
        <v>174</v>
      </c>
      <c r="B21" s="3" t="s">
        <v>150</v>
      </c>
      <c r="C21" s="3" t="s">
        <v>175</v>
      </c>
      <c r="D21" s="2" t="str">
        <f>IFERROR(VLOOKUP($C21, covid_vlookup, HLOOKUP(D$1, covid_hlookup, 2, FALSE), FALSE), "No data")</f>
        <v>No data</v>
      </c>
      <c r="E21" s="2" t="str">
        <f>IFERROR(VLOOKUP($C21, covid_vlookup, HLOOKUP(E$1, covid_hlookup, 2, FALSE), FALSE), "No data")</f>
        <v>No data</v>
      </c>
      <c r="F21" s="2" t="str">
        <f>IFERROR(VLOOKUP($C21, covid_vlookup, HLOOKUP(F$1, covid_hlookup, 2, FALSE), FALSE), "No data")</f>
        <v>No data</v>
      </c>
      <c r="G21" s="2" t="str">
        <f>IFERROR(VLOOKUP($C21, covid_vlookup, HLOOKUP(G$1, covid_hlookup, 2, FALSE), FALSE), "No data")</f>
        <v>No data</v>
      </c>
      <c r="H21" s="2"/>
    </row>
    <row r="22">
      <c r="A22" s="3" t="s">
        <v>176</v>
      </c>
      <c r="B22" s="3" t="s">
        <v>145</v>
      </c>
      <c r="C22" s="3" t="s">
        <v>177</v>
      </c>
      <c r="D22" s="2" t="str">
        <f>IFERROR(VLOOKUP($C22, covid_vlookup, HLOOKUP(D$1, covid_hlookup, 2, FALSE), FALSE), "No data")</f>
        <v>No data</v>
      </c>
      <c r="E22" s="2" t="str">
        <f>IFERROR(VLOOKUP($C22, covid_vlookup, HLOOKUP(E$1, covid_hlookup, 2, FALSE), FALSE), "No data")</f>
        <v>No data</v>
      </c>
      <c r="F22" s="2" t="str">
        <f>IFERROR(VLOOKUP($C22, covid_vlookup, HLOOKUP(F$1, covid_hlookup, 2, FALSE), FALSE), "No data")</f>
        <v>No data</v>
      </c>
      <c r="G22" s="2" t="str">
        <f>IFERROR(VLOOKUP($C22, covid_vlookup, HLOOKUP(G$1, covid_hlookup, 2, FALSE), FALSE), "No data")</f>
        <v>No data</v>
      </c>
      <c r="H22" s="2"/>
    </row>
    <row r="23">
      <c r="A23" s="3" t="s">
        <v>178</v>
      </c>
      <c r="B23" s="3" t="s">
        <v>150</v>
      </c>
      <c r="C23" s="3" t="s">
        <v>179</v>
      </c>
      <c r="D23" s="2" t="str">
        <f>IFERROR(VLOOKUP($C23, covid_vlookup, HLOOKUP(D$1, covid_hlookup, 2, FALSE), FALSE), "No data")</f>
        <v>No data</v>
      </c>
      <c r="E23" s="2" t="str">
        <f>IFERROR(VLOOKUP($C23, covid_vlookup, HLOOKUP(E$1, covid_hlookup, 2, FALSE), FALSE), "No data")</f>
        <v>No data</v>
      </c>
      <c r="F23" s="2" t="str">
        <f>IFERROR(VLOOKUP($C23, covid_vlookup, HLOOKUP(F$1, covid_hlookup, 2, FALSE), FALSE), "No data")</f>
        <v>No data</v>
      </c>
      <c r="G23" s="2" t="str">
        <f>IFERROR(VLOOKUP($C23, covid_vlookup, HLOOKUP(G$1, covid_hlookup, 2, FALSE), FALSE), "No data")</f>
        <v>No data</v>
      </c>
      <c r="H23" s="2"/>
    </row>
    <row r="24">
      <c r="A24" s="3" t="s">
        <v>180</v>
      </c>
      <c r="B24" s="3" t="s">
        <v>142</v>
      </c>
      <c r="C24" s="3" t="s">
        <v>181</v>
      </c>
      <c r="D24" s="2" t="str">
        <f>IFERROR(VLOOKUP($C24, covid_vlookup, HLOOKUP(D$1, covid_hlookup, 2, FALSE), FALSE), "No data")</f>
        <v>No data</v>
      </c>
      <c r="E24" s="2" t="str">
        <f>IFERROR(VLOOKUP($C24, covid_vlookup, HLOOKUP(E$1, covid_hlookup, 2, FALSE), FALSE), "No data")</f>
        <v>No data</v>
      </c>
      <c r="F24" s="2" t="str">
        <f>IFERROR(VLOOKUP($C24, covid_vlookup, HLOOKUP(F$1, covid_hlookup, 2, FALSE), FALSE), "No data")</f>
        <v>No data</v>
      </c>
      <c r="G24" s="2" t="str">
        <f>IFERROR(VLOOKUP($C24, covid_vlookup, HLOOKUP(G$1, covid_hlookup, 2, FALSE), FALSE), "No data")</f>
        <v>No data</v>
      </c>
      <c r="H24" s="2"/>
    </row>
    <row r="25">
      <c r="A25" s="3" t="s">
        <v>182</v>
      </c>
      <c r="B25" s="3" t="s">
        <v>155</v>
      </c>
      <c r="C25" s="3" t="s">
        <v>183</v>
      </c>
      <c r="D25" s="2" t="str">
        <f>IFERROR(VLOOKUP($C25, covid_vlookup, HLOOKUP(D$1, covid_hlookup, 2, FALSE), FALSE), "No data")</f>
        <v>No data</v>
      </c>
      <c r="E25" s="2" t="str">
        <f>IFERROR(VLOOKUP($C25, covid_vlookup, HLOOKUP(E$1, covid_hlookup, 2, FALSE), FALSE), "No data")</f>
        <v>No data</v>
      </c>
      <c r="F25" s="2" t="str">
        <f>IFERROR(VLOOKUP($C25, covid_vlookup, HLOOKUP(F$1, covid_hlookup, 2, FALSE), FALSE), "No data")</f>
        <v>No data</v>
      </c>
      <c r="G25" s="2" t="str">
        <f>IFERROR(VLOOKUP($C25, covid_vlookup, HLOOKUP(G$1, covid_hlookup, 2, FALSE), FALSE), "No data")</f>
        <v>No data</v>
      </c>
      <c r="H25" s="2"/>
    </row>
    <row r="26">
      <c r="A26" s="3" t="s">
        <v>184</v>
      </c>
      <c r="B26" s="3" t="s">
        <v>150</v>
      </c>
      <c r="C26" s="3" t="s">
        <v>185</v>
      </c>
      <c r="D26" s="2" t="str">
        <f>IFERROR(VLOOKUP($C26, covid_vlookup, HLOOKUP(D$1, covid_hlookup, 2, FALSE), FALSE), "No data")</f>
        <v>No data</v>
      </c>
      <c r="E26" s="2" t="str">
        <f>IFERROR(VLOOKUP($C26, covid_vlookup, HLOOKUP(E$1, covid_hlookup, 2, FALSE), FALSE), "No data")</f>
        <v>No data</v>
      </c>
      <c r="F26" s="2" t="str">
        <f>IFERROR(VLOOKUP($C26, covid_vlookup, HLOOKUP(F$1, covid_hlookup, 2, FALSE), FALSE), "No data")</f>
        <v>No data</v>
      </c>
      <c r="G26" s="2" t="str">
        <f>IFERROR(VLOOKUP($C26, covid_vlookup, HLOOKUP(G$1, covid_hlookup, 2, FALSE), FALSE), "No data")</f>
        <v>No data</v>
      </c>
      <c r="H26" s="2"/>
    </row>
    <row r="27">
      <c r="A27" s="3" t="s">
        <v>49</v>
      </c>
      <c r="B27" s="3" t="s">
        <v>39</v>
      </c>
      <c r="C27" s="3" t="s">
        <v>50</v>
      </c>
      <c r="D27" s="2">
        <f>IFERROR(VLOOKUP($C27, covid_vlookup, HLOOKUP(D$1, covid_hlookup, 2, FALSE), FALSE), "No data")</f>
        <v>173478</v>
      </c>
      <c r="E27" s="2">
        <f>IFERROR(VLOOKUP($C27, covid_vlookup, HLOOKUP(E$1, covid_hlookup, 2, FALSE), FALSE), "No data")</f>
        <v>6763</v>
      </c>
      <c r="F27" s="2">
        <f>IFERROR(VLOOKUP($C27, covid_vlookup, HLOOKUP(F$1, covid_hlookup, 2, FALSE), FALSE), "No data")</f>
        <v>3280815</v>
      </c>
      <c r="G27" s="2">
        <f>IFERROR(VLOOKUP($C27, covid_vlookup, HLOOKUP(G$1, covid_hlookup, 2, FALSE), FALSE), "No data")</f>
        <v>11713.895</v>
      </c>
      <c r="H27" s="2"/>
    </row>
    <row r="28">
      <c r="A28" s="3" t="s">
        <v>186</v>
      </c>
      <c r="B28" s="3" t="s">
        <v>145</v>
      </c>
      <c r="C28" s="3" t="s">
        <v>187</v>
      </c>
      <c r="D28" s="2" t="str">
        <f>IFERROR(VLOOKUP($C28, covid_vlookup, HLOOKUP(D$1, covid_hlookup, 2, FALSE), FALSE), "No data")</f>
        <v>No data</v>
      </c>
      <c r="E28" s="2" t="str">
        <f>IFERROR(VLOOKUP($C28, covid_vlookup, HLOOKUP(E$1, covid_hlookup, 2, FALSE), FALSE), "No data")</f>
        <v>No data</v>
      </c>
      <c r="F28" s="2" t="str">
        <f>IFERROR(VLOOKUP($C28, covid_vlookup, HLOOKUP(F$1, covid_hlookup, 2, FALSE), FALSE), "No data")</f>
        <v>No data</v>
      </c>
      <c r="G28" s="2" t="str">
        <f>IFERROR(VLOOKUP($C28, covid_vlookup, HLOOKUP(G$1, covid_hlookup, 2, FALSE), FALSE), "No data")</f>
        <v>No data</v>
      </c>
      <c r="H28" s="2"/>
    </row>
    <row r="29">
      <c r="A29" s="3" t="s">
        <v>188</v>
      </c>
      <c r="B29" s="3" t="s">
        <v>155</v>
      </c>
      <c r="C29" s="3" t="s">
        <v>189</v>
      </c>
      <c r="D29" s="2" t="str">
        <f>IFERROR(VLOOKUP($C29, covid_vlookup, HLOOKUP(D$1, covid_hlookup, 2, FALSE), FALSE), "No data")</f>
        <v>No data</v>
      </c>
      <c r="E29" s="2" t="str">
        <f>IFERROR(VLOOKUP($C29, covid_vlookup, HLOOKUP(E$1, covid_hlookup, 2, FALSE), FALSE), "No data")</f>
        <v>No data</v>
      </c>
      <c r="F29" s="2" t="str">
        <f>IFERROR(VLOOKUP($C29, covid_vlookup, HLOOKUP(F$1, covid_hlookup, 2, FALSE), FALSE), "No data")</f>
        <v>No data</v>
      </c>
      <c r="G29" s="2" t="str">
        <f>IFERROR(VLOOKUP($C29, covid_vlookup, HLOOKUP(G$1, covid_hlookup, 2, FALSE), FALSE), "No data")</f>
        <v>No data</v>
      </c>
      <c r="H29" s="2"/>
    </row>
    <row r="30">
      <c r="A30" s="3" t="s">
        <v>190</v>
      </c>
      <c r="B30" s="3" t="s">
        <v>150</v>
      </c>
      <c r="C30" s="3" t="s">
        <v>191</v>
      </c>
      <c r="D30" s="2" t="str">
        <f>IFERROR(VLOOKUP($C30, covid_vlookup, HLOOKUP(D$1, covid_hlookup, 2, FALSE), FALSE), "No data")</f>
        <v>No data</v>
      </c>
      <c r="E30" s="2" t="str">
        <f>IFERROR(VLOOKUP($C30, covid_vlookup, HLOOKUP(E$1, covid_hlookup, 2, FALSE), FALSE), "No data")</f>
        <v>No data</v>
      </c>
      <c r="F30" s="2" t="str">
        <f>IFERROR(VLOOKUP($C30, covid_vlookup, HLOOKUP(F$1, covid_hlookup, 2, FALSE), FALSE), "No data")</f>
        <v>No data</v>
      </c>
      <c r="G30" s="2" t="str">
        <f>IFERROR(VLOOKUP($C30, covid_vlookup, HLOOKUP(G$1, covid_hlookup, 2, FALSE), FALSE), "No data")</f>
        <v>No data</v>
      </c>
      <c r="H30" s="2"/>
    </row>
    <row r="31">
      <c r="A31" s="3" t="s">
        <v>192</v>
      </c>
      <c r="B31" s="3" t="s">
        <v>142</v>
      </c>
      <c r="C31" s="3" t="s">
        <v>193</v>
      </c>
      <c r="D31" s="2" t="str">
        <f>IFERROR(VLOOKUP($C31, covid_vlookup, HLOOKUP(D$1, covid_hlookup, 2, FALSE), FALSE), "No data")</f>
        <v>No data</v>
      </c>
      <c r="E31" s="2" t="str">
        <f>IFERROR(VLOOKUP($C31, covid_vlookup, HLOOKUP(E$1, covid_hlookup, 2, FALSE), FALSE), "No data")</f>
        <v>No data</v>
      </c>
      <c r="F31" s="2" t="str">
        <f>IFERROR(VLOOKUP($C31, covid_vlookup, HLOOKUP(F$1, covid_hlookup, 2, FALSE), FALSE), "No data")</f>
        <v>No data</v>
      </c>
      <c r="G31" s="2" t="str">
        <f>IFERROR(VLOOKUP($C31, covid_vlookup, HLOOKUP(G$1, covid_hlookup, 2, FALSE), FALSE), "No data")</f>
        <v>No data</v>
      </c>
      <c r="H31" s="2"/>
    </row>
    <row r="32">
      <c r="A32" s="3" t="s">
        <v>47</v>
      </c>
      <c r="B32" s="3" t="s">
        <v>39</v>
      </c>
      <c r="C32" s="3" t="s">
        <v>48</v>
      </c>
      <c r="D32" s="2">
        <f>IFERROR(VLOOKUP($C32, covid_vlookup, HLOOKUP(D$1, covid_hlookup, 2, FALSE), FALSE), "No data")</f>
        <v>350340</v>
      </c>
      <c r="E32" s="2">
        <f>IFERROR(VLOOKUP($C32, covid_vlookup, HLOOKUP(E$1, covid_hlookup, 2, FALSE), FALSE), "No data")</f>
        <v>13438</v>
      </c>
      <c r="F32" s="2">
        <f>IFERROR(VLOOKUP($C32, covid_vlookup, HLOOKUP(F$1, covid_hlookup, 2, FALSE), FALSE), "No data")</f>
        <v>6948445</v>
      </c>
      <c r="G32" s="2">
        <f>IFERROR(VLOOKUP($C32, covid_vlookup, HLOOKUP(G$1, covid_hlookup, 2, FALSE), FALSE), "No data")</f>
        <v>18563.307</v>
      </c>
      <c r="H32" s="2"/>
    </row>
    <row r="33">
      <c r="A33" s="3" t="s">
        <v>194</v>
      </c>
      <c r="B33" s="3" t="s">
        <v>145</v>
      </c>
      <c r="C33" s="3" t="s">
        <v>195</v>
      </c>
      <c r="D33" s="2" t="str">
        <f>IFERROR(VLOOKUP($C33, covid_vlookup, HLOOKUP(D$1, covid_hlookup, 2, FALSE), FALSE), "No data")</f>
        <v>No data</v>
      </c>
      <c r="E33" s="2" t="str">
        <f>IFERROR(VLOOKUP($C33, covid_vlookup, HLOOKUP(E$1, covid_hlookup, 2, FALSE), FALSE), "No data")</f>
        <v>No data</v>
      </c>
      <c r="F33" s="2" t="str">
        <f>IFERROR(VLOOKUP($C33, covid_vlookup, HLOOKUP(F$1, covid_hlookup, 2, FALSE), FALSE), "No data")</f>
        <v>No data</v>
      </c>
      <c r="G33" s="2" t="str">
        <f>IFERROR(VLOOKUP($C33, covid_vlookup, HLOOKUP(G$1, covid_hlookup, 2, FALSE), FALSE), "No data")</f>
        <v>No data</v>
      </c>
      <c r="H33" s="2"/>
    </row>
    <row r="34">
      <c r="A34" s="3" t="s">
        <v>196</v>
      </c>
      <c r="B34" s="3" t="s">
        <v>145</v>
      </c>
      <c r="C34" s="3" t="s">
        <v>197</v>
      </c>
      <c r="D34" s="2" t="str">
        <f>IFERROR(VLOOKUP($C34, covid_vlookup, HLOOKUP(D$1, covid_hlookup, 2, FALSE), FALSE), "No data")</f>
        <v>No data</v>
      </c>
      <c r="E34" s="2" t="str">
        <f>IFERROR(VLOOKUP($C34, covid_vlookup, HLOOKUP(E$1, covid_hlookup, 2, FALSE), FALSE), "No data")</f>
        <v>No data</v>
      </c>
      <c r="F34" s="2" t="str">
        <f>IFERROR(VLOOKUP($C34, covid_vlookup, HLOOKUP(F$1, covid_hlookup, 2, FALSE), FALSE), "No data")</f>
        <v>No data</v>
      </c>
      <c r="G34" s="2" t="str">
        <f>IFERROR(VLOOKUP($C34, covid_vlookup, HLOOKUP(G$1, covid_hlookup, 2, FALSE), FALSE), "No data")</f>
        <v>No data</v>
      </c>
      <c r="H34" s="2"/>
    </row>
    <row r="35">
      <c r="A35" s="3" t="s">
        <v>198</v>
      </c>
      <c r="B35" s="3" t="s">
        <v>142</v>
      </c>
      <c r="C35" s="3" t="s">
        <v>199</v>
      </c>
      <c r="D35" s="2" t="str">
        <f>IFERROR(VLOOKUP($C35, covid_vlookup, HLOOKUP(D$1, covid_hlookup, 2, FALSE), FALSE), "No data")</f>
        <v>No data</v>
      </c>
      <c r="E35" s="2" t="str">
        <f>IFERROR(VLOOKUP($C35, covid_vlookup, HLOOKUP(E$1, covid_hlookup, 2, FALSE), FALSE), "No data")</f>
        <v>No data</v>
      </c>
      <c r="F35" s="2" t="str">
        <f>IFERROR(VLOOKUP($C35, covid_vlookup, HLOOKUP(F$1, covid_hlookup, 2, FALSE), FALSE), "No data")</f>
        <v>No data</v>
      </c>
      <c r="G35" s="2" t="str">
        <f>IFERROR(VLOOKUP($C35, covid_vlookup, HLOOKUP(G$1, covid_hlookup, 2, FALSE), FALSE), "No data")</f>
        <v>No data</v>
      </c>
      <c r="H35" s="2"/>
    </row>
    <row r="36">
      <c r="A36" s="3" t="s">
        <v>200</v>
      </c>
      <c r="B36" s="3" t="s">
        <v>145</v>
      </c>
      <c r="C36" s="3" t="s">
        <v>201</v>
      </c>
      <c r="D36" s="2" t="str">
        <f>IFERROR(VLOOKUP($C36, covid_vlookup, HLOOKUP(D$1, covid_hlookup, 2, FALSE), FALSE), "No data")</f>
        <v>No data</v>
      </c>
      <c r="E36" s="2" t="str">
        <f>IFERROR(VLOOKUP($C36, covid_vlookup, HLOOKUP(E$1, covid_hlookup, 2, FALSE), FALSE), "No data")</f>
        <v>No data</v>
      </c>
      <c r="F36" s="2" t="str">
        <f>IFERROR(VLOOKUP($C36, covid_vlookup, HLOOKUP(F$1, covid_hlookup, 2, FALSE), FALSE), "No data")</f>
        <v>No data</v>
      </c>
      <c r="G36" s="2" t="str">
        <f>IFERROR(VLOOKUP($C36, covid_vlookup, HLOOKUP(G$1, covid_hlookup, 2, FALSE), FALSE), "No data")</f>
        <v>No data</v>
      </c>
      <c r="H36" s="2"/>
    </row>
    <row r="37">
      <c r="A37" s="3" t="s">
        <v>202</v>
      </c>
      <c r="B37" s="3" t="s">
        <v>150</v>
      </c>
      <c r="C37" s="3" t="s">
        <v>203</v>
      </c>
      <c r="D37" s="2" t="str">
        <f>IFERROR(VLOOKUP($C37, covid_vlookup, HLOOKUP(D$1, covid_hlookup, 2, FALSE), FALSE), "No data")</f>
        <v>No data</v>
      </c>
      <c r="E37" s="2" t="str">
        <f>IFERROR(VLOOKUP($C37, covid_vlookup, HLOOKUP(E$1, covid_hlookup, 2, FALSE), FALSE), "No data")</f>
        <v>No data</v>
      </c>
      <c r="F37" s="2" t="str">
        <f>IFERROR(VLOOKUP($C37, covid_vlookup, HLOOKUP(F$1, covid_hlookup, 2, FALSE), FALSE), "No data")</f>
        <v>No data</v>
      </c>
      <c r="G37" s="2" t="str">
        <f>IFERROR(VLOOKUP($C37, covid_vlookup, HLOOKUP(G$1, covid_hlookup, 2, FALSE), FALSE), "No data")</f>
        <v>No data</v>
      </c>
      <c r="H37" s="2"/>
    </row>
    <row r="38">
      <c r="A38" s="3" t="s">
        <v>204</v>
      </c>
      <c r="B38" s="3" t="s">
        <v>145</v>
      </c>
      <c r="C38" s="3" t="s">
        <v>205</v>
      </c>
      <c r="D38" s="2" t="str">
        <f>IFERROR(VLOOKUP($C38, covid_vlookup, HLOOKUP(D$1, covid_hlookup, 2, FALSE), FALSE), "No data")</f>
        <v>No data</v>
      </c>
      <c r="E38" s="2" t="str">
        <f>IFERROR(VLOOKUP($C38, covid_vlookup, HLOOKUP(E$1, covid_hlookup, 2, FALSE), FALSE), "No data")</f>
        <v>No data</v>
      </c>
      <c r="F38" s="2" t="str">
        <f>IFERROR(VLOOKUP($C38, covid_vlookup, HLOOKUP(F$1, covid_hlookup, 2, FALSE), FALSE), "No data")</f>
        <v>No data</v>
      </c>
      <c r="G38" s="2" t="str">
        <f>IFERROR(VLOOKUP($C38, covid_vlookup, HLOOKUP(G$1, covid_hlookup, 2, FALSE), FALSE), "No data")</f>
        <v>No data</v>
      </c>
      <c r="H38" s="2"/>
    </row>
    <row r="39">
      <c r="A39" s="3" t="s">
        <v>206</v>
      </c>
      <c r="B39" s="3" t="s">
        <v>150</v>
      </c>
      <c r="C39" s="3" t="s">
        <v>207</v>
      </c>
      <c r="D39" s="2" t="str">
        <f>IFERROR(VLOOKUP($C39, covid_vlookup, HLOOKUP(D$1, covid_hlookup, 2, FALSE), FALSE), "No data")</f>
        <v>No data</v>
      </c>
      <c r="E39" s="2" t="str">
        <f>IFERROR(VLOOKUP($C39, covid_vlookup, HLOOKUP(E$1, covid_hlookup, 2, FALSE), FALSE), "No data")</f>
        <v>No data</v>
      </c>
      <c r="F39" s="2" t="str">
        <f>IFERROR(VLOOKUP($C39, covid_vlookup, HLOOKUP(F$1, covid_hlookup, 2, FALSE), FALSE), "No data")</f>
        <v>No data</v>
      </c>
      <c r="G39" s="2" t="str">
        <f>IFERROR(VLOOKUP($C39, covid_vlookup, HLOOKUP(G$1, covid_hlookup, 2, FALSE), FALSE), "No data")</f>
        <v>No data</v>
      </c>
      <c r="H39" s="2"/>
    </row>
    <row r="40">
      <c r="A40" s="3" t="s">
        <v>208</v>
      </c>
      <c r="B40" s="3" t="s">
        <v>145</v>
      </c>
      <c r="C40" s="3" t="s">
        <v>209</v>
      </c>
      <c r="D40" s="2" t="str">
        <f>IFERROR(VLOOKUP($C40, covid_vlookup, HLOOKUP(D$1, covid_hlookup, 2, FALSE), FALSE), "No data")</f>
        <v>No data</v>
      </c>
      <c r="E40" s="2" t="str">
        <f>IFERROR(VLOOKUP($C40, covid_vlookup, HLOOKUP(E$1, covid_hlookup, 2, FALSE), FALSE), "No data")</f>
        <v>No data</v>
      </c>
      <c r="F40" s="2" t="str">
        <f>IFERROR(VLOOKUP($C40, covid_vlookup, HLOOKUP(F$1, covid_hlookup, 2, FALSE), FALSE), "No data")</f>
        <v>No data</v>
      </c>
      <c r="G40" s="2" t="str">
        <f>IFERROR(VLOOKUP($C40, covid_vlookup, HLOOKUP(G$1, covid_hlookup, 2, FALSE), FALSE), "No data")</f>
        <v>No data</v>
      </c>
      <c r="H40" s="2"/>
    </row>
    <row r="41">
      <c r="A41" s="3" t="s">
        <v>210</v>
      </c>
      <c r="B41" s="3" t="s">
        <v>145</v>
      </c>
      <c r="C41" s="3" t="s">
        <v>211</v>
      </c>
      <c r="D41" s="2" t="str">
        <f>IFERROR(VLOOKUP($C41, covid_vlookup, HLOOKUP(D$1, covid_hlookup, 2, FALSE), FALSE), "No data")</f>
        <v>No data</v>
      </c>
      <c r="E41" s="2" t="str">
        <f>IFERROR(VLOOKUP($C41, covid_vlookup, HLOOKUP(E$1, covid_hlookup, 2, FALSE), FALSE), "No data")</f>
        <v>No data</v>
      </c>
      <c r="F41" s="2" t="str">
        <f>IFERROR(VLOOKUP($C41, covid_vlookup, HLOOKUP(F$1, covid_hlookup, 2, FALSE), FALSE), "No data")</f>
        <v>No data</v>
      </c>
      <c r="G41" s="2" t="str">
        <f>IFERROR(VLOOKUP($C41, covid_vlookup, HLOOKUP(G$1, covid_hlookup, 2, FALSE), FALSE), "No data")</f>
        <v>No data</v>
      </c>
      <c r="H41" s="2"/>
    </row>
    <row r="42">
      <c r="A42" s="3" t="s">
        <v>212</v>
      </c>
      <c r="B42" s="3" t="s">
        <v>155</v>
      </c>
      <c r="C42" s="3" t="s">
        <v>213</v>
      </c>
      <c r="D42" s="2" t="str">
        <f>IFERROR(VLOOKUP($C42, covid_vlookup, HLOOKUP(D$1, covid_hlookup, 2, FALSE), FALSE), "No data")</f>
        <v>No data</v>
      </c>
      <c r="E42" s="2" t="str">
        <f>IFERROR(VLOOKUP($C42, covid_vlookup, HLOOKUP(E$1, covid_hlookup, 2, FALSE), FALSE), "No data")</f>
        <v>No data</v>
      </c>
      <c r="F42" s="2" t="str">
        <f>IFERROR(VLOOKUP($C42, covid_vlookup, HLOOKUP(F$1, covid_hlookup, 2, FALSE), FALSE), "No data")</f>
        <v>No data</v>
      </c>
      <c r="G42" s="2" t="str">
        <f>IFERROR(VLOOKUP($C42, covid_vlookup, HLOOKUP(G$1, covid_hlookup, 2, FALSE), FALSE), "No data")</f>
        <v>No data</v>
      </c>
      <c r="H42" s="2"/>
    </row>
    <row r="43">
      <c r="A43" s="3" t="s">
        <v>214</v>
      </c>
      <c r="B43" s="3" t="s">
        <v>142</v>
      </c>
      <c r="C43" s="3" t="s">
        <v>215</v>
      </c>
      <c r="D43" s="2" t="str">
        <f>IFERROR(VLOOKUP($C43, covid_vlookup, HLOOKUP(D$1, covid_hlookup, 2, FALSE), FALSE), "No data")</f>
        <v>No data</v>
      </c>
      <c r="E43" s="2" t="str">
        <f>IFERROR(VLOOKUP($C43, covid_vlookup, HLOOKUP(E$1, covid_hlookup, 2, FALSE), FALSE), "No data")</f>
        <v>No data</v>
      </c>
      <c r="F43" s="2" t="str">
        <f>IFERROR(VLOOKUP($C43, covid_vlookup, HLOOKUP(F$1, covid_hlookup, 2, FALSE), FALSE), "No data")</f>
        <v>No data</v>
      </c>
      <c r="G43" s="2" t="str">
        <f>IFERROR(VLOOKUP($C43, covid_vlookup, HLOOKUP(G$1, covid_hlookup, 2, FALSE), FALSE), "No data")</f>
        <v>No data</v>
      </c>
      <c r="H43" s="2"/>
    </row>
    <row r="44">
      <c r="A44" s="3" t="s">
        <v>216</v>
      </c>
      <c r="B44" s="3" t="s">
        <v>155</v>
      </c>
      <c r="C44" s="3" t="s">
        <v>217</v>
      </c>
      <c r="D44" s="2" t="str">
        <f>IFERROR(VLOOKUP($C44, covid_vlookup, HLOOKUP(D$1, covid_hlookup, 2, FALSE), FALSE), "No data")</f>
        <v>No data</v>
      </c>
      <c r="E44" s="2" t="str">
        <f>IFERROR(VLOOKUP($C44, covid_vlookup, HLOOKUP(E$1, covid_hlookup, 2, FALSE), FALSE), "No data")</f>
        <v>No data</v>
      </c>
      <c r="F44" s="2" t="str">
        <f>IFERROR(VLOOKUP($C44, covid_vlookup, HLOOKUP(F$1, covid_hlookup, 2, FALSE), FALSE), "No data")</f>
        <v>No data</v>
      </c>
      <c r="G44" s="2" t="str">
        <f>IFERROR(VLOOKUP($C44, covid_vlookup, HLOOKUP(G$1, covid_hlookup, 2, FALSE), FALSE), "No data")</f>
        <v>No data</v>
      </c>
      <c r="H44" s="2"/>
    </row>
    <row r="45">
      <c r="A45" s="3" t="s">
        <v>218</v>
      </c>
      <c r="B45" s="3" t="s">
        <v>145</v>
      </c>
      <c r="C45" s="3" t="s">
        <v>219</v>
      </c>
      <c r="D45" s="2" t="str">
        <f>IFERROR(VLOOKUP($C45, covid_vlookup, HLOOKUP(D$1, covid_hlookup, 2, FALSE), FALSE), "No data")</f>
        <v>No data</v>
      </c>
      <c r="E45" s="2" t="str">
        <f>IFERROR(VLOOKUP($C45, covid_vlookup, HLOOKUP(E$1, covid_hlookup, 2, FALSE), FALSE), "No data")</f>
        <v>No data</v>
      </c>
      <c r="F45" s="2" t="str">
        <f>IFERROR(VLOOKUP($C45, covid_vlookup, HLOOKUP(F$1, covid_hlookup, 2, FALSE), FALSE), "No data")</f>
        <v>No data</v>
      </c>
      <c r="G45" s="2" t="str">
        <f>IFERROR(VLOOKUP($C45, covid_vlookup, HLOOKUP(G$1, covid_hlookup, 2, FALSE), FALSE), "No data")</f>
        <v>No data</v>
      </c>
      <c r="H45" s="2"/>
    </row>
    <row r="46">
      <c r="A46" s="3" t="s">
        <v>220</v>
      </c>
      <c r="B46" s="3" t="s">
        <v>145</v>
      </c>
      <c r="C46" s="3" t="s">
        <v>221</v>
      </c>
      <c r="D46" s="2" t="str">
        <f>IFERROR(VLOOKUP($C46, covid_vlookup, HLOOKUP(D$1, covid_hlookup, 2, FALSE), FALSE), "No data")</f>
        <v>No data</v>
      </c>
      <c r="E46" s="2" t="str">
        <f>IFERROR(VLOOKUP($C46, covid_vlookup, HLOOKUP(E$1, covid_hlookup, 2, FALSE), FALSE), "No data")</f>
        <v>No data</v>
      </c>
      <c r="F46" s="2" t="str">
        <f>IFERROR(VLOOKUP($C46, covid_vlookup, HLOOKUP(F$1, covid_hlookup, 2, FALSE), FALSE), "No data")</f>
        <v>No data</v>
      </c>
      <c r="G46" s="2" t="str">
        <f>IFERROR(VLOOKUP($C46, covid_vlookup, HLOOKUP(G$1, covid_hlookup, 2, FALSE), FALSE), "No data")</f>
        <v>No data</v>
      </c>
      <c r="H46" s="2"/>
    </row>
    <row r="47">
      <c r="A47" s="3" t="s">
        <v>222</v>
      </c>
      <c r="B47" s="3" t="s">
        <v>150</v>
      </c>
      <c r="C47" s="3" t="s">
        <v>223</v>
      </c>
      <c r="D47" s="2" t="str">
        <f>IFERROR(VLOOKUP($C47, covid_vlookup, HLOOKUP(D$1, covid_hlookup, 2, FALSE), FALSE), "No data")</f>
        <v>No data</v>
      </c>
      <c r="E47" s="2" t="str">
        <f>IFERROR(VLOOKUP($C47, covid_vlookup, HLOOKUP(E$1, covid_hlookup, 2, FALSE), FALSE), "No data")</f>
        <v>No data</v>
      </c>
      <c r="F47" s="2" t="str">
        <f>IFERROR(VLOOKUP($C47, covid_vlookup, HLOOKUP(F$1, covid_hlookup, 2, FALSE), FALSE), "No data")</f>
        <v>No data</v>
      </c>
      <c r="G47" s="2" t="str">
        <f>IFERROR(VLOOKUP($C47, covid_vlookup, HLOOKUP(G$1, covid_hlookup, 2, FALSE), FALSE), "No data")</f>
        <v>No data</v>
      </c>
      <c r="H47" s="2"/>
    </row>
    <row r="48">
      <c r="A48" s="3" t="s">
        <v>224</v>
      </c>
      <c r="B48" s="3" t="s">
        <v>145</v>
      </c>
      <c r="C48" s="3" t="s">
        <v>225</v>
      </c>
      <c r="D48" s="2" t="str">
        <f>IFERROR(VLOOKUP($C48, covid_vlookup, HLOOKUP(D$1, covid_hlookup, 2, FALSE), FALSE), "No data")</f>
        <v>No data</v>
      </c>
      <c r="E48" s="2" t="str">
        <f>IFERROR(VLOOKUP($C48, covid_vlookup, HLOOKUP(E$1, covid_hlookup, 2, FALSE), FALSE), "No data")</f>
        <v>No data</v>
      </c>
      <c r="F48" s="2" t="str">
        <f>IFERROR(VLOOKUP($C48, covid_vlookup, HLOOKUP(F$1, covid_hlookup, 2, FALSE), FALSE), "No data")</f>
        <v>No data</v>
      </c>
      <c r="G48" s="2" t="str">
        <f>IFERROR(VLOOKUP($C48, covid_vlookup, HLOOKUP(G$1, covid_hlookup, 2, FALSE), FALSE), "No data")</f>
        <v>No data</v>
      </c>
      <c r="H48" s="2"/>
    </row>
    <row r="49">
      <c r="A49" s="3" t="s">
        <v>81</v>
      </c>
      <c r="B49" s="3" t="s">
        <v>39</v>
      </c>
      <c r="C49" s="3" t="s">
        <v>82</v>
      </c>
      <c r="D49" s="2">
        <f>IFERROR(VLOOKUP($C49, covid_vlookup, HLOOKUP(D$1, covid_hlookup, 2, FALSE), FALSE), "No data")</f>
        <v>276416</v>
      </c>
      <c r="E49" s="2">
        <f>IFERROR(VLOOKUP($C49, covid_vlookup, HLOOKUP(E$1, covid_hlookup, 2, FALSE), FALSE), "No data")</f>
        <v>5996</v>
      </c>
      <c r="F49" s="2">
        <f>IFERROR(VLOOKUP($C49, covid_vlookup, HLOOKUP(F$1, covid_hlookup, 2, FALSE), FALSE), "No data")</f>
        <v>4105268</v>
      </c>
      <c r="G49" s="2">
        <f>IFERROR(VLOOKUP($C49, covid_vlookup, HLOOKUP(G$1, covid_hlookup, 2, FALSE), FALSE), "No data")</f>
        <v>22669.797</v>
      </c>
      <c r="H49" s="2"/>
    </row>
    <row r="50">
      <c r="A50" s="3" t="s">
        <v>226</v>
      </c>
      <c r="B50" s="3" t="s">
        <v>150</v>
      </c>
      <c r="C50" s="3" t="s">
        <v>227</v>
      </c>
      <c r="D50" s="2" t="str">
        <f>IFERROR(VLOOKUP($C50, covid_vlookup, HLOOKUP(D$1, covid_hlookup, 2, FALSE), FALSE), "No data")</f>
        <v>No data</v>
      </c>
      <c r="E50" s="2" t="str">
        <f>IFERROR(VLOOKUP($C50, covid_vlookup, HLOOKUP(E$1, covid_hlookup, 2, FALSE), FALSE), "No data")</f>
        <v>No data</v>
      </c>
      <c r="F50" s="2" t="str">
        <f>IFERROR(VLOOKUP($C50, covid_vlookup, HLOOKUP(F$1, covid_hlookup, 2, FALSE), FALSE), "No data")</f>
        <v>No data</v>
      </c>
      <c r="G50" s="2" t="str">
        <f>IFERROR(VLOOKUP($C50, covid_vlookup, HLOOKUP(G$1, covid_hlookup, 2, FALSE), FALSE), "No data")</f>
        <v>No data</v>
      </c>
      <c r="H50" s="2"/>
    </row>
    <row r="51">
      <c r="A51" s="3" t="s">
        <v>228</v>
      </c>
      <c r="B51" s="3" t="s">
        <v>150</v>
      </c>
      <c r="C51" s="3" t="s">
        <v>229</v>
      </c>
      <c r="D51" s="2" t="str">
        <f>IFERROR(VLOOKUP($C51, covid_vlookup, HLOOKUP(D$1, covid_hlookup, 2, FALSE), FALSE), "No data")</f>
        <v>No data</v>
      </c>
      <c r="E51" s="2" t="str">
        <f>IFERROR(VLOOKUP($C51, covid_vlookup, HLOOKUP(E$1, covid_hlookup, 2, FALSE), FALSE), "No data")</f>
        <v>No data</v>
      </c>
      <c r="F51" s="2" t="str">
        <f>IFERROR(VLOOKUP($C51, covid_vlookup, HLOOKUP(F$1, covid_hlookup, 2, FALSE), FALSE), "No data")</f>
        <v>No data</v>
      </c>
      <c r="G51" s="2" t="str">
        <f>IFERROR(VLOOKUP($C51, covid_vlookup, HLOOKUP(G$1, covid_hlookup, 2, FALSE), FALSE), "No data")</f>
        <v>No data</v>
      </c>
      <c r="H51" s="2"/>
    </row>
    <row r="52">
      <c r="A52" s="3" t="s">
        <v>57</v>
      </c>
      <c r="B52" s="3" t="s">
        <v>39</v>
      </c>
      <c r="C52" s="3" t="s">
        <v>230</v>
      </c>
      <c r="D52" s="2" t="str">
        <f>IFERROR(VLOOKUP($C52, covid_vlookup, HLOOKUP(D$1, covid_hlookup, 2, FALSE), FALSE), "No data")</f>
        <v>No data</v>
      </c>
      <c r="E52" s="2" t="str">
        <f>IFERROR(VLOOKUP($C52, covid_vlookup, HLOOKUP(E$1, covid_hlookup, 2, FALSE), FALSE), "No data")</f>
        <v>No data</v>
      </c>
      <c r="F52" s="2" t="str">
        <f>IFERROR(VLOOKUP($C52, covid_vlookup, HLOOKUP(F$1, covid_hlookup, 2, FALSE), FALSE), "No data")</f>
        <v>No data</v>
      </c>
      <c r="G52" s="2" t="str">
        <f>IFERROR(VLOOKUP($C52, covid_vlookup, HLOOKUP(G$1, covid_hlookup, 2, FALSE), FALSE), "No data")</f>
        <v>No data</v>
      </c>
      <c r="H52" s="2"/>
    </row>
    <row r="53">
      <c r="A53" s="3" t="s">
        <v>231</v>
      </c>
      <c r="B53" s="3" t="s">
        <v>145</v>
      </c>
      <c r="C53" s="3" t="s">
        <v>232</v>
      </c>
      <c r="D53" s="2" t="str">
        <f>IFERROR(VLOOKUP($C53, covid_vlookup, HLOOKUP(D$1, covid_hlookup, 2, FALSE), FALSE), "No data")</f>
        <v>No data</v>
      </c>
      <c r="E53" s="2" t="str">
        <f>IFERROR(VLOOKUP($C53, covid_vlookup, HLOOKUP(E$1, covid_hlookup, 2, FALSE), FALSE), "No data")</f>
        <v>No data</v>
      </c>
      <c r="F53" s="2" t="str">
        <f>IFERROR(VLOOKUP($C53, covid_vlookup, HLOOKUP(F$1, covid_hlookup, 2, FALSE), FALSE), "No data")</f>
        <v>No data</v>
      </c>
      <c r="G53" s="2" t="str">
        <f>IFERROR(VLOOKUP($C53, covid_vlookup, HLOOKUP(G$1, covid_hlookup, 2, FALSE), FALSE), "No data")</f>
        <v>No data</v>
      </c>
      <c r="H53" s="2"/>
    </row>
    <row r="54">
      <c r="A54" s="3" t="s">
        <v>61</v>
      </c>
      <c r="B54" s="3" t="s">
        <v>39</v>
      </c>
      <c r="C54" s="3" t="s">
        <v>62</v>
      </c>
      <c r="D54" s="2">
        <f>IFERROR(VLOOKUP($C54, covid_vlookup, HLOOKUP(D$1, covid_hlookup, 2, FALSE), FALSE), "No data")</f>
        <v>232665</v>
      </c>
      <c r="E54" s="2">
        <f>IFERROR(VLOOKUP($C54, covid_vlookup, HLOOKUP(E$1, covid_hlookup, 2, FALSE), FALSE), "No data")</f>
        <v>2425</v>
      </c>
      <c r="F54" s="2">
        <f>IFERROR(VLOOKUP($C54, covid_vlookup, HLOOKUP(F$1, covid_hlookup, 2, FALSE), FALSE), "No data")</f>
        <v>5792203</v>
      </c>
      <c r="G54" s="2">
        <f>IFERROR(VLOOKUP($C54, covid_vlookup, HLOOKUP(G$1, covid_hlookup, 2, FALSE), FALSE), "No data")</f>
        <v>46682.515</v>
      </c>
      <c r="H54" s="2"/>
    </row>
    <row r="55">
      <c r="A55" s="3" t="s">
        <v>233</v>
      </c>
      <c r="B55" s="3" t="s">
        <v>145</v>
      </c>
      <c r="C55" s="3" t="s">
        <v>234</v>
      </c>
      <c r="D55" s="2" t="str">
        <f>IFERROR(VLOOKUP($C55, covid_vlookup, HLOOKUP(D$1, covid_hlookup, 2, FALSE), FALSE), "No data")</f>
        <v>No data</v>
      </c>
      <c r="E55" s="2" t="str">
        <f>IFERROR(VLOOKUP($C55, covid_vlookup, HLOOKUP(E$1, covid_hlookup, 2, FALSE), FALSE), "No data")</f>
        <v>No data</v>
      </c>
      <c r="F55" s="2" t="str">
        <f>IFERROR(VLOOKUP($C55, covid_vlookup, HLOOKUP(F$1, covid_hlookup, 2, FALSE), FALSE), "No data")</f>
        <v>No data</v>
      </c>
      <c r="G55" s="2" t="str">
        <f>IFERROR(VLOOKUP($C55, covid_vlookup, HLOOKUP(G$1, covid_hlookup, 2, FALSE), FALSE), "No data")</f>
        <v>No data</v>
      </c>
      <c r="H55" s="2"/>
    </row>
    <row r="56">
      <c r="A56" s="3" t="s">
        <v>235</v>
      </c>
      <c r="B56" s="3" t="s">
        <v>150</v>
      </c>
      <c r="C56" s="3" t="s">
        <v>236</v>
      </c>
      <c r="D56" s="2" t="str">
        <f>IFERROR(VLOOKUP($C56, covid_vlookup, HLOOKUP(D$1, covid_hlookup, 2, FALSE), FALSE), "No data")</f>
        <v>No data</v>
      </c>
      <c r="E56" s="2" t="str">
        <f>IFERROR(VLOOKUP($C56, covid_vlookup, HLOOKUP(E$1, covid_hlookup, 2, FALSE), FALSE), "No data")</f>
        <v>No data</v>
      </c>
      <c r="F56" s="2" t="str">
        <f>IFERROR(VLOOKUP($C56, covid_vlookup, HLOOKUP(F$1, covid_hlookup, 2, FALSE), FALSE), "No data")</f>
        <v>No data</v>
      </c>
      <c r="G56" s="2" t="str">
        <f>IFERROR(VLOOKUP($C56, covid_vlookup, HLOOKUP(G$1, covid_hlookup, 2, FALSE), FALSE), "No data")</f>
        <v>No data</v>
      </c>
      <c r="H56" s="2"/>
    </row>
    <row r="57">
      <c r="A57" s="3" t="s">
        <v>237</v>
      </c>
      <c r="B57" s="3" t="s">
        <v>150</v>
      </c>
      <c r="C57" s="3" t="s">
        <v>238</v>
      </c>
      <c r="D57" s="2" t="str">
        <f>IFERROR(VLOOKUP($C57, covid_vlookup, HLOOKUP(D$1, covid_hlookup, 2, FALSE), FALSE), "No data")</f>
        <v>No data</v>
      </c>
      <c r="E57" s="2" t="str">
        <f>IFERROR(VLOOKUP($C57, covid_vlookup, HLOOKUP(E$1, covid_hlookup, 2, FALSE), FALSE), "No data")</f>
        <v>No data</v>
      </c>
      <c r="F57" s="2" t="str">
        <f>IFERROR(VLOOKUP($C57, covid_vlookup, HLOOKUP(F$1, covid_hlookup, 2, FALSE), FALSE), "No data")</f>
        <v>No data</v>
      </c>
      <c r="G57" s="2" t="str">
        <f>IFERROR(VLOOKUP($C57, covid_vlookup, HLOOKUP(G$1, covid_hlookup, 2, FALSE), FALSE), "No data")</f>
        <v>No data</v>
      </c>
      <c r="H57" s="2"/>
    </row>
    <row r="58">
      <c r="A58" s="3" t="s">
        <v>239</v>
      </c>
      <c r="B58" s="3" t="s">
        <v>155</v>
      </c>
      <c r="C58" s="3" t="s">
        <v>240</v>
      </c>
      <c r="D58" s="2" t="str">
        <f>IFERROR(VLOOKUP($C58, covid_vlookup, HLOOKUP(D$1, covid_hlookup, 2, FALSE), FALSE), "No data")</f>
        <v>No data</v>
      </c>
      <c r="E58" s="2" t="str">
        <f>IFERROR(VLOOKUP($C58, covid_vlookup, HLOOKUP(E$1, covid_hlookup, 2, FALSE), FALSE), "No data")</f>
        <v>No data</v>
      </c>
      <c r="F58" s="2" t="str">
        <f>IFERROR(VLOOKUP($C58, covid_vlookup, HLOOKUP(F$1, covid_hlookup, 2, FALSE), FALSE), "No data")</f>
        <v>No data</v>
      </c>
      <c r="G58" s="2" t="str">
        <f>IFERROR(VLOOKUP($C58, covid_vlookup, HLOOKUP(G$1, covid_hlookup, 2, FALSE), FALSE), "No data")</f>
        <v>No data</v>
      </c>
      <c r="H58" s="2"/>
    </row>
    <row r="59">
      <c r="A59" s="3" t="s">
        <v>241</v>
      </c>
      <c r="B59" s="3" t="s">
        <v>145</v>
      </c>
      <c r="C59" s="3" t="s">
        <v>242</v>
      </c>
      <c r="D59" s="2" t="str">
        <f>IFERROR(VLOOKUP($C59, covid_vlookup, HLOOKUP(D$1, covid_hlookup, 2, FALSE), FALSE), "No data")</f>
        <v>No data</v>
      </c>
      <c r="E59" s="2" t="str">
        <f>IFERROR(VLOOKUP($C59, covid_vlookup, HLOOKUP(E$1, covid_hlookup, 2, FALSE), FALSE), "No data")</f>
        <v>No data</v>
      </c>
      <c r="F59" s="2" t="str">
        <f>IFERROR(VLOOKUP($C59, covid_vlookup, HLOOKUP(F$1, covid_hlookup, 2, FALSE), FALSE), "No data")</f>
        <v>No data</v>
      </c>
      <c r="G59" s="2" t="str">
        <f>IFERROR(VLOOKUP($C59, covid_vlookup, HLOOKUP(G$1, covid_hlookup, 2, FALSE), FALSE), "No data")</f>
        <v>No data</v>
      </c>
      <c r="H59" s="2"/>
    </row>
    <row r="60">
      <c r="A60" s="3" t="s">
        <v>243</v>
      </c>
      <c r="B60" s="3" t="s">
        <v>150</v>
      </c>
      <c r="C60" s="3" t="s">
        <v>244</v>
      </c>
      <c r="D60" s="2" t="str">
        <f>IFERROR(VLOOKUP($C60, covid_vlookup, HLOOKUP(D$1, covid_hlookup, 2, FALSE), FALSE), "No data")</f>
        <v>No data</v>
      </c>
      <c r="E60" s="2" t="str">
        <f>IFERROR(VLOOKUP($C60, covid_vlookup, HLOOKUP(E$1, covid_hlookup, 2, FALSE), FALSE), "No data")</f>
        <v>No data</v>
      </c>
      <c r="F60" s="2" t="str">
        <f>IFERROR(VLOOKUP($C60, covid_vlookup, HLOOKUP(F$1, covid_hlookup, 2, FALSE), FALSE), "No data")</f>
        <v>No data</v>
      </c>
      <c r="G60" s="2" t="str">
        <f>IFERROR(VLOOKUP($C60, covid_vlookup, HLOOKUP(G$1, covid_hlookup, 2, FALSE), FALSE), "No data")</f>
        <v>No data</v>
      </c>
      <c r="H60" s="2"/>
    </row>
    <row r="61">
      <c r="A61" s="3" t="s">
        <v>245</v>
      </c>
      <c r="B61" s="3" t="s">
        <v>145</v>
      </c>
      <c r="C61" s="3" t="s">
        <v>246</v>
      </c>
      <c r="D61" s="2" t="str">
        <f>IFERROR(VLOOKUP($C61, covid_vlookup, HLOOKUP(D$1, covid_hlookup, 2, FALSE), FALSE), "No data")</f>
        <v>No data</v>
      </c>
      <c r="E61" s="2" t="str">
        <f>IFERROR(VLOOKUP($C61, covid_vlookup, HLOOKUP(E$1, covid_hlookup, 2, FALSE), FALSE), "No data")</f>
        <v>No data</v>
      </c>
      <c r="F61" s="2" t="str">
        <f>IFERROR(VLOOKUP($C61, covid_vlookup, HLOOKUP(F$1, covid_hlookup, 2, FALSE), FALSE), "No data")</f>
        <v>No data</v>
      </c>
      <c r="G61" s="2" t="str">
        <f>IFERROR(VLOOKUP($C61, covid_vlookup, HLOOKUP(G$1, covid_hlookup, 2, FALSE), FALSE), "No data")</f>
        <v>No data</v>
      </c>
      <c r="H61" s="2"/>
    </row>
    <row r="62">
      <c r="A62" s="3" t="s">
        <v>247</v>
      </c>
      <c r="B62" s="3" t="s">
        <v>145</v>
      </c>
      <c r="C62" s="3" t="s">
        <v>248</v>
      </c>
      <c r="D62" s="2" t="str">
        <f>IFERROR(VLOOKUP($C62, covid_vlookup, HLOOKUP(D$1, covid_hlookup, 2, FALSE), FALSE), "No data")</f>
        <v>No data</v>
      </c>
      <c r="E62" s="2" t="str">
        <f>IFERROR(VLOOKUP($C62, covid_vlookup, HLOOKUP(E$1, covid_hlookup, 2, FALSE), FALSE), "No data")</f>
        <v>No data</v>
      </c>
      <c r="F62" s="2" t="str">
        <f>IFERROR(VLOOKUP($C62, covid_vlookup, HLOOKUP(F$1, covid_hlookup, 2, FALSE), FALSE), "No data")</f>
        <v>No data</v>
      </c>
      <c r="G62" s="2" t="str">
        <f>IFERROR(VLOOKUP($C62, covid_vlookup, HLOOKUP(G$1, covid_hlookup, 2, FALSE), FALSE), "No data")</f>
        <v>No data</v>
      </c>
      <c r="H62" s="2"/>
    </row>
    <row r="63">
      <c r="A63" s="3" t="s">
        <v>65</v>
      </c>
      <c r="B63" s="3" t="s">
        <v>39</v>
      </c>
      <c r="C63" s="3" t="s">
        <v>66</v>
      </c>
      <c r="D63" s="2">
        <f>IFERROR(VLOOKUP($C63, covid_vlookup, HLOOKUP(D$1, covid_hlookup, 2, FALSE), FALSE), "No data")</f>
        <v>108418</v>
      </c>
      <c r="E63" s="2">
        <f>IFERROR(VLOOKUP($C63, covid_vlookup, HLOOKUP(E$1, covid_hlookup, 2, FALSE), FALSE), "No data")</f>
        <v>922</v>
      </c>
      <c r="F63" s="2">
        <f>IFERROR(VLOOKUP($C63, covid_vlookup, HLOOKUP(F$1, covid_hlookup, 2, FALSE), FALSE), "No data")</f>
        <v>1326539</v>
      </c>
      <c r="G63" s="2">
        <f>IFERROR(VLOOKUP($C63, covid_vlookup, HLOOKUP(G$1, covid_hlookup, 2, FALSE), FALSE), "No data")</f>
        <v>29481.252</v>
      </c>
      <c r="H63" s="2"/>
    </row>
    <row r="64">
      <c r="A64" s="3" t="s">
        <v>249</v>
      </c>
      <c r="B64" s="3" t="s">
        <v>145</v>
      </c>
      <c r="C64" s="3" t="s">
        <v>250</v>
      </c>
      <c r="D64" s="2" t="str">
        <f>IFERROR(VLOOKUP($C64, covid_vlookup, HLOOKUP(D$1, covid_hlookup, 2, FALSE), FALSE), "No data")</f>
        <v>No data</v>
      </c>
      <c r="E64" s="2" t="str">
        <f>IFERROR(VLOOKUP($C64, covid_vlookup, HLOOKUP(E$1, covid_hlookup, 2, FALSE), FALSE), "No data")</f>
        <v>No data</v>
      </c>
      <c r="F64" s="2" t="str">
        <f>IFERROR(VLOOKUP($C64, covid_vlookup, HLOOKUP(F$1, covid_hlookup, 2, FALSE), FALSE), "No data")</f>
        <v>No data</v>
      </c>
      <c r="G64" s="2" t="str">
        <f>IFERROR(VLOOKUP($C64, covid_vlookup, HLOOKUP(G$1, covid_hlookup, 2, FALSE), FALSE), "No data")</f>
        <v>No data</v>
      </c>
      <c r="H64" s="2"/>
    </row>
    <row r="65">
      <c r="A65" s="3" t="s">
        <v>71</v>
      </c>
      <c r="B65" s="3" t="s">
        <v>39</v>
      </c>
      <c r="C65" s="3" t="s">
        <v>72</v>
      </c>
      <c r="D65" s="2" t="str">
        <f>IFERROR(VLOOKUP($C65, covid_vlookup, HLOOKUP(D$1, covid_hlookup, 2, FALSE), FALSE), "No data")</f>
        <v/>
      </c>
      <c r="E65" s="2" t="str">
        <f>IFERROR(VLOOKUP($C65, covid_vlookup, HLOOKUP(E$1, covid_hlookup, 2, FALSE), FALSE), "No data")</f>
        <v/>
      </c>
      <c r="F65" s="2">
        <f>IFERROR(VLOOKUP($C65, covid_vlookup, HLOOKUP(F$1, covid_hlookup, 2, FALSE), FALSE), "No data")</f>
        <v>48865</v>
      </c>
      <c r="G65" s="2" t="str">
        <f>IFERROR(VLOOKUP($C65, covid_vlookup, HLOOKUP(G$1, covid_hlookup, 2, FALSE), FALSE), "No data")</f>
        <v/>
      </c>
      <c r="H65" s="2"/>
    </row>
    <row r="66">
      <c r="A66" s="3" t="s">
        <v>251</v>
      </c>
      <c r="B66" s="3" t="s">
        <v>155</v>
      </c>
      <c r="C66" s="3" t="s">
        <v>252</v>
      </c>
      <c r="D66" s="2" t="str">
        <f>IFERROR(VLOOKUP($C66, covid_vlookup, HLOOKUP(D$1, covid_hlookup, 2, FALSE), FALSE), "No data")</f>
        <v>No data</v>
      </c>
      <c r="E66" s="2" t="str">
        <f>IFERROR(VLOOKUP($C66, covid_vlookup, HLOOKUP(E$1, covid_hlookup, 2, FALSE), FALSE), "No data")</f>
        <v>No data</v>
      </c>
      <c r="F66" s="2" t="str">
        <f>IFERROR(VLOOKUP($C66, covid_vlookup, HLOOKUP(F$1, covid_hlookup, 2, FALSE), FALSE), "No data")</f>
        <v>No data</v>
      </c>
      <c r="G66" s="2" t="str">
        <f>IFERROR(VLOOKUP($C66, covid_vlookup, HLOOKUP(G$1, covid_hlookup, 2, FALSE), FALSE), "No data")</f>
        <v>No data</v>
      </c>
      <c r="H66" s="2"/>
    </row>
    <row r="67">
      <c r="A67" s="3" t="s">
        <v>253</v>
      </c>
      <c r="B67" s="3" t="s">
        <v>162</v>
      </c>
      <c r="C67" s="3" t="s">
        <v>254</v>
      </c>
      <c r="D67" s="2" t="str">
        <f>IFERROR(VLOOKUP($C67, covid_vlookup, HLOOKUP(D$1, covid_hlookup, 2, FALSE), FALSE), "No data")</f>
        <v>No data</v>
      </c>
      <c r="E67" s="2" t="str">
        <f>IFERROR(VLOOKUP($C67, covid_vlookup, HLOOKUP(E$1, covid_hlookup, 2, FALSE), FALSE), "No data")</f>
        <v>No data</v>
      </c>
      <c r="F67" s="2" t="str">
        <f>IFERROR(VLOOKUP($C67, covid_vlookup, HLOOKUP(F$1, covid_hlookup, 2, FALSE), FALSE), "No data")</f>
        <v>No data</v>
      </c>
      <c r="G67" s="2" t="str">
        <f>IFERROR(VLOOKUP($C67, covid_vlookup, HLOOKUP(G$1, covid_hlookup, 2, FALSE), FALSE), "No data")</f>
        <v>No data</v>
      </c>
      <c r="H67" s="2"/>
    </row>
    <row r="68">
      <c r="A68" s="3" t="s">
        <v>67</v>
      </c>
      <c r="B68" s="3" t="s">
        <v>39</v>
      </c>
      <c r="C68" s="3" t="s">
        <v>68</v>
      </c>
      <c r="D68" s="2">
        <f>IFERROR(VLOOKUP($C68, covid_vlookup, HLOOKUP(D$1, covid_hlookup, 2, FALSE), FALSE), "No data")</f>
        <v>78672</v>
      </c>
      <c r="E68" s="2">
        <f>IFERROR(VLOOKUP($C68, covid_vlookup, HLOOKUP(E$1, covid_hlookup, 2, FALSE), FALSE), "No data")</f>
        <v>846</v>
      </c>
      <c r="F68" s="2">
        <f>IFERROR(VLOOKUP($C68, covid_vlookup, HLOOKUP(F$1, covid_hlookup, 2, FALSE), FALSE), "No data")</f>
        <v>5540718</v>
      </c>
      <c r="G68" s="2">
        <f>IFERROR(VLOOKUP($C68, covid_vlookup, HLOOKUP(G$1, covid_hlookup, 2, FALSE), FALSE), "No data")</f>
        <v>40585.721</v>
      </c>
      <c r="H68" s="2"/>
    </row>
    <row r="69">
      <c r="A69" s="3" t="s">
        <v>69</v>
      </c>
      <c r="B69" s="3" t="s">
        <v>39</v>
      </c>
      <c r="C69" s="3" t="s">
        <v>70</v>
      </c>
      <c r="D69" s="2">
        <f>IFERROR(VLOOKUP($C69, covid_vlookup, HLOOKUP(D$1, covid_hlookup, 2, FALSE), FALSE), "No data")</f>
        <v>4802457</v>
      </c>
      <c r="E69" s="2">
        <f>IFERROR(VLOOKUP($C69, covid_vlookup, HLOOKUP(E$1, covid_hlookup, 2, FALSE), FALSE), "No data")</f>
        <v>96438</v>
      </c>
      <c r="F69" s="2">
        <f>IFERROR(VLOOKUP($C69, covid_vlookup, HLOOKUP(F$1, covid_hlookup, 2, FALSE), FALSE), "No data")</f>
        <v>68147687</v>
      </c>
      <c r="G69" s="2">
        <f>IFERROR(VLOOKUP($C69, covid_vlookup, HLOOKUP(G$1, covid_hlookup, 2, FALSE), FALSE), "No data")</f>
        <v>38605.671</v>
      </c>
      <c r="H69" s="2"/>
    </row>
    <row r="70">
      <c r="A70" s="3" t="s">
        <v>255</v>
      </c>
      <c r="B70" s="3" t="s">
        <v>162</v>
      </c>
      <c r="C70" s="3" t="s">
        <v>256</v>
      </c>
      <c r="D70" s="2" t="str">
        <f>IFERROR(VLOOKUP($C70, covid_vlookup, HLOOKUP(D$1, covid_hlookup, 2, FALSE), FALSE), "No data")</f>
        <v>No data</v>
      </c>
      <c r="E70" s="2" t="str">
        <f>IFERROR(VLOOKUP($C70, covid_vlookup, HLOOKUP(E$1, covid_hlookup, 2, FALSE), FALSE), "No data")</f>
        <v>No data</v>
      </c>
      <c r="F70" s="2" t="str">
        <f>IFERROR(VLOOKUP($C70, covid_vlookup, HLOOKUP(F$1, covid_hlookup, 2, FALSE), FALSE), "No data")</f>
        <v>No data</v>
      </c>
      <c r="G70" s="2" t="str">
        <f>IFERROR(VLOOKUP($C70, covid_vlookup, HLOOKUP(G$1, covid_hlookup, 2, FALSE), FALSE), "No data")</f>
        <v>No data</v>
      </c>
      <c r="H70" s="2"/>
    </row>
    <row r="71">
      <c r="A71" s="3" t="s">
        <v>257</v>
      </c>
      <c r="B71" s="3" t="s">
        <v>145</v>
      </c>
      <c r="C71" s="3" t="s">
        <v>258</v>
      </c>
      <c r="D71" s="2" t="str">
        <f>IFERROR(VLOOKUP($C71, covid_vlookup, HLOOKUP(D$1, covid_hlookup, 2, FALSE), FALSE), "No data")</f>
        <v>No data</v>
      </c>
      <c r="E71" s="2" t="str">
        <f>IFERROR(VLOOKUP($C71, covid_vlookup, HLOOKUP(E$1, covid_hlookup, 2, FALSE), FALSE), "No data")</f>
        <v>No data</v>
      </c>
      <c r="F71" s="2" t="str">
        <f>IFERROR(VLOOKUP($C71, covid_vlookup, HLOOKUP(F$1, covid_hlookup, 2, FALSE), FALSE), "No data")</f>
        <v>No data</v>
      </c>
      <c r="G71" s="2" t="str">
        <f>IFERROR(VLOOKUP($C71, covid_vlookup, HLOOKUP(G$1, covid_hlookup, 2, FALSE), FALSE), "No data")</f>
        <v>No data</v>
      </c>
      <c r="H71" s="2"/>
    </row>
    <row r="72">
      <c r="A72" s="3" t="s">
        <v>259</v>
      </c>
      <c r="B72" s="3" t="s">
        <v>145</v>
      </c>
      <c r="C72" s="3" t="s">
        <v>260</v>
      </c>
      <c r="D72" s="2" t="str">
        <f>IFERROR(VLOOKUP($C72, covid_vlookup, HLOOKUP(D$1, covid_hlookup, 2, FALSE), FALSE), "No data")</f>
        <v>No data</v>
      </c>
      <c r="E72" s="2" t="str">
        <f>IFERROR(VLOOKUP($C72, covid_vlookup, HLOOKUP(E$1, covid_hlookup, 2, FALSE), FALSE), "No data")</f>
        <v>No data</v>
      </c>
      <c r="F72" s="2" t="str">
        <f>IFERROR(VLOOKUP($C72, covid_vlookup, HLOOKUP(F$1, covid_hlookup, 2, FALSE), FALSE), "No data")</f>
        <v>No data</v>
      </c>
      <c r="G72" s="2" t="str">
        <f>IFERROR(VLOOKUP($C72, covid_vlookup, HLOOKUP(G$1, covid_hlookup, 2, FALSE), FALSE), "No data")</f>
        <v>No data</v>
      </c>
      <c r="H72" s="2"/>
    </row>
    <row r="73">
      <c r="A73" s="3" t="s">
        <v>261</v>
      </c>
      <c r="B73" s="3" t="s">
        <v>142</v>
      </c>
      <c r="C73" s="3" t="s">
        <v>262</v>
      </c>
      <c r="D73" s="2" t="str">
        <f>IFERROR(VLOOKUP($C73, covid_vlookup, HLOOKUP(D$1, covid_hlookup, 2, FALSE), FALSE), "No data")</f>
        <v>No data</v>
      </c>
      <c r="E73" s="2" t="str">
        <f>IFERROR(VLOOKUP($C73, covid_vlookup, HLOOKUP(E$1, covid_hlookup, 2, FALSE), FALSE), "No data")</f>
        <v>No data</v>
      </c>
      <c r="F73" s="2" t="str">
        <f>IFERROR(VLOOKUP($C73, covid_vlookup, HLOOKUP(F$1, covid_hlookup, 2, FALSE), FALSE), "No data")</f>
        <v>No data</v>
      </c>
      <c r="G73" s="2" t="str">
        <f>IFERROR(VLOOKUP($C73, covid_vlookup, HLOOKUP(G$1, covid_hlookup, 2, FALSE), FALSE), "No data")</f>
        <v>No data</v>
      </c>
      <c r="H73" s="2"/>
    </row>
    <row r="74">
      <c r="A74" s="3" t="s">
        <v>59</v>
      </c>
      <c r="B74" s="3" t="s">
        <v>39</v>
      </c>
      <c r="C74" s="3" t="s">
        <v>60</v>
      </c>
      <c r="D74" s="2">
        <f>IFERROR(VLOOKUP($C74, covid_vlookup, HLOOKUP(D$1, covid_hlookup, 2, FALSE), FALSE), "No data")</f>
        <v>2882356</v>
      </c>
      <c r="E74" s="2">
        <f>IFERROR(VLOOKUP($C74, covid_vlookup, HLOOKUP(E$1, covid_hlookup, 2, FALSE), FALSE), "No data")</f>
        <v>76940</v>
      </c>
      <c r="F74" s="2">
        <f>IFERROR(VLOOKUP($C74, covid_vlookup, HLOOKUP(F$1, covid_hlookup, 2, FALSE), FALSE), "No data")</f>
        <v>83783945</v>
      </c>
      <c r="G74" s="2">
        <f>IFERROR(VLOOKUP($C74, covid_vlookup, HLOOKUP(G$1, covid_hlookup, 2, FALSE), FALSE), "No data")</f>
        <v>45229.245</v>
      </c>
      <c r="H74" s="2"/>
    </row>
    <row r="75">
      <c r="A75" s="3" t="s">
        <v>263</v>
      </c>
      <c r="B75" s="3" t="s">
        <v>145</v>
      </c>
      <c r="C75" s="3" t="s">
        <v>264</v>
      </c>
      <c r="D75" s="2" t="str">
        <f>IFERROR(VLOOKUP($C75, covid_vlookup, HLOOKUP(D$1, covid_hlookup, 2, FALSE), FALSE), "No data")</f>
        <v>No data</v>
      </c>
      <c r="E75" s="2" t="str">
        <f>IFERROR(VLOOKUP($C75, covid_vlookup, HLOOKUP(E$1, covid_hlookup, 2, FALSE), FALSE), "No data")</f>
        <v>No data</v>
      </c>
      <c r="F75" s="2" t="str">
        <f>IFERROR(VLOOKUP($C75, covid_vlookup, HLOOKUP(F$1, covid_hlookup, 2, FALSE), FALSE), "No data")</f>
        <v>No data</v>
      </c>
      <c r="G75" s="2" t="str">
        <f>IFERROR(VLOOKUP($C75, covid_vlookup, HLOOKUP(G$1, covid_hlookup, 2, FALSE), FALSE), "No data")</f>
        <v>No data</v>
      </c>
      <c r="H75" s="2"/>
    </row>
    <row r="76">
      <c r="A76" s="3" t="s">
        <v>77</v>
      </c>
      <c r="B76" s="3" t="s">
        <v>39</v>
      </c>
      <c r="C76" s="3" t="s">
        <v>78</v>
      </c>
      <c r="D76" s="2" t="str">
        <f>IFERROR(VLOOKUP($C76, covid_vlookup, HLOOKUP(D$1, covid_hlookup, 2, FALSE), FALSE), "No data")</f>
        <v/>
      </c>
      <c r="E76" s="2" t="str">
        <f>IFERROR(VLOOKUP($C76, covid_vlookup, HLOOKUP(E$1, covid_hlookup, 2, FALSE), FALSE), "No data")</f>
        <v/>
      </c>
      <c r="F76" s="2">
        <f>IFERROR(VLOOKUP($C76, covid_vlookup, HLOOKUP(F$1, covid_hlookup, 2, FALSE), FALSE), "No data")</f>
        <v>33691</v>
      </c>
      <c r="G76" s="2" t="str">
        <f>IFERROR(VLOOKUP($C76, covid_vlookup, HLOOKUP(G$1, covid_hlookup, 2, FALSE), FALSE), "No data")</f>
        <v/>
      </c>
      <c r="H76" s="2"/>
    </row>
    <row r="77">
      <c r="A77" s="3" t="s">
        <v>79</v>
      </c>
      <c r="B77" s="3" t="s">
        <v>39</v>
      </c>
      <c r="C77" s="3" t="s">
        <v>80</v>
      </c>
      <c r="D77" s="2">
        <f>IFERROR(VLOOKUP($C77, covid_vlookup, HLOOKUP(D$1, covid_hlookup, 2, FALSE), FALSE), "No data")</f>
        <v>270230</v>
      </c>
      <c r="E77" s="2">
        <f>IFERROR(VLOOKUP($C77, covid_vlookup, HLOOKUP(E$1, covid_hlookup, 2, FALSE), FALSE), "No data")</f>
        <v>8232</v>
      </c>
      <c r="F77" s="2">
        <f>IFERROR(VLOOKUP($C77, covid_vlookup, HLOOKUP(F$1, covid_hlookup, 2, FALSE), FALSE), "No data")</f>
        <v>10423056</v>
      </c>
      <c r="G77" s="2">
        <f>IFERROR(VLOOKUP($C77, covid_vlookup, HLOOKUP(G$1, covid_hlookup, 2, FALSE), FALSE), "No data")</f>
        <v>24574.382</v>
      </c>
      <c r="H77" s="2"/>
    </row>
    <row r="78">
      <c r="A78" s="3" t="s">
        <v>265</v>
      </c>
      <c r="B78" s="3" t="s">
        <v>150</v>
      </c>
      <c r="C78" s="3" t="s">
        <v>266</v>
      </c>
      <c r="D78" s="2" t="str">
        <f>IFERROR(VLOOKUP($C78, covid_vlookup, HLOOKUP(D$1, covid_hlookup, 2, FALSE), FALSE), "No data")</f>
        <v>No data</v>
      </c>
      <c r="E78" s="2" t="str">
        <f>IFERROR(VLOOKUP($C78, covid_vlookup, HLOOKUP(E$1, covid_hlookup, 2, FALSE), FALSE), "No data")</f>
        <v>No data</v>
      </c>
      <c r="F78" s="2" t="str">
        <f>IFERROR(VLOOKUP($C78, covid_vlookup, HLOOKUP(F$1, covid_hlookup, 2, FALSE), FALSE), "No data")</f>
        <v>No data</v>
      </c>
      <c r="G78" s="2" t="str">
        <f>IFERROR(VLOOKUP($C78, covid_vlookup, HLOOKUP(G$1, covid_hlookup, 2, FALSE), FALSE), "No data")</f>
        <v>No data</v>
      </c>
      <c r="H78" s="2"/>
    </row>
    <row r="79">
      <c r="A79" s="3" t="s">
        <v>267</v>
      </c>
      <c r="B79" s="3" t="s">
        <v>150</v>
      </c>
      <c r="C79" s="3" t="s">
        <v>268</v>
      </c>
      <c r="D79" s="2" t="str">
        <f>IFERROR(VLOOKUP($C79, covid_vlookup, HLOOKUP(D$1, covid_hlookup, 2, FALSE), FALSE), "No data")</f>
        <v>No data</v>
      </c>
      <c r="E79" s="2" t="str">
        <f>IFERROR(VLOOKUP($C79, covid_vlookup, HLOOKUP(E$1, covid_hlookup, 2, FALSE), FALSE), "No data")</f>
        <v>No data</v>
      </c>
      <c r="F79" s="2" t="str">
        <f>IFERROR(VLOOKUP($C79, covid_vlookup, HLOOKUP(F$1, covid_hlookup, 2, FALSE), FALSE), "No data")</f>
        <v>No data</v>
      </c>
      <c r="G79" s="2" t="str">
        <f>IFERROR(VLOOKUP($C79, covid_vlookup, HLOOKUP(G$1, covid_hlookup, 2, FALSE), FALSE), "No data")</f>
        <v>No data</v>
      </c>
      <c r="H79" s="2"/>
    </row>
    <row r="80">
      <c r="A80" s="3" t="s">
        <v>269</v>
      </c>
      <c r="B80" s="3" t="s">
        <v>162</v>
      </c>
      <c r="C80" s="3" t="s">
        <v>270</v>
      </c>
      <c r="D80" s="2" t="str">
        <f>IFERROR(VLOOKUP($C80, covid_vlookup, HLOOKUP(D$1, covid_hlookup, 2, FALSE), FALSE), "No data")</f>
        <v>No data</v>
      </c>
      <c r="E80" s="2" t="str">
        <f>IFERROR(VLOOKUP($C80, covid_vlookup, HLOOKUP(E$1, covid_hlookup, 2, FALSE), FALSE), "No data")</f>
        <v>No data</v>
      </c>
      <c r="F80" s="2" t="str">
        <f>IFERROR(VLOOKUP($C80, covid_vlookup, HLOOKUP(F$1, covid_hlookup, 2, FALSE), FALSE), "No data")</f>
        <v>No data</v>
      </c>
      <c r="G80" s="2" t="str">
        <f>IFERROR(VLOOKUP($C80, covid_vlookup, HLOOKUP(G$1, covid_hlookup, 2, FALSE), FALSE), "No data")</f>
        <v>No data</v>
      </c>
      <c r="H80" s="2"/>
    </row>
    <row r="81">
      <c r="A81" s="3" t="s">
        <v>271</v>
      </c>
      <c r="B81" s="3" t="s">
        <v>150</v>
      </c>
      <c r="C81" s="3" t="s">
        <v>272</v>
      </c>
      <c r="D81" s="2" t="str">
        <f>IFERROR(VLOOKUP($C81, covid_vlookup, HLOOKUP(D$1, covid_hlookup, 2, FALSE), FALSE), "No data")</f>
        <v>No data</v>
      </c>
      <c r="E81" s="2" t="str">
        <f>IFERROR(VLOOKUP($C81, covid_vlookup, HLOOKUP(E$1, covid_hlookup, 2, FALSE), FALSE), "No data")</f>
        <v>No data</v>
      </c>
      <c r="F81" s="2" t="str">
        <f>IFERROR(VLOOKUP($C81, covid_vlookup, HLOOKUP(F$1, covid_hlookup, 2, FALSE), FALSE), "No data")</f>
        <v>No data</v>
      </c>
      <c r="G81" s="2" t="str">
        <f>IFERROR(VLOOKUP($C81, covid_vlookup, HLOOKUP(G$1, covid_hlookup, 2, FALSE), FALSE), "No data")</f>
        <v>No data</v>
      </c>
      <c r="H81" s="2"/>
    </row>
    <row r="82">
      <c r="A82" s="3" t="s">
        <v>75</v>
      </c>
      <c r="B82" s="3" t="s">
        <v>39</v>
      </c>
      <c r="C82" s="3" t="s">
        <v>76</v>
      </c>
      <c r="D82" s="2" t="str">
        <f>IFERROR(VLOOKUP($C82, covid_vlookup, HLOOKUP(D$1, covid_hlookup, 2, FALSE), FALSE), "No data")</f>
        <v/>
      </c>
      <c r="E82" s="2" t="str">
        <f>IFERROR(VLOOKUP($C82, covid_vlookup, HLOOKUP(E$1, covid_hlookup, 2, FALSE), FALSE), "No data")</f>
        <v/>
      </c>
      <c r="F82" s="2">
        <f>IFERROR(VLOOKUP($C82, covid_vlookup, HLOOKUP(F$1, covid_hlookup, 2, FALSE), FALSE), "No data")</f>
        <v>67052</v>
      </c>
      <c r="G82" s="2" t="str">
        <f>IFERROR(VLOOKUP($C82, covid_vlookup, HLOOKUP(G$1, covid_hlookup, 2, FALSE), FALSE), "No data")</f>
        <v/>
      </c>
      <c r="H82" s="2"/>
    </row>
    <row r="83">
      <c r="A83" s="3" t="s">
        <v>273</v>
      </c>
      <c r="B83" s="3" t="s">
        <v>145</v>
      </c>
      <c r="C83" s="3" t="s">
        <v>274</v>
      </c>
      <c r="D83" s="2" t="str">
        <f>IFERROR(VLOOKUP($C83, covid_vlookup, HLOOKUP(D$1, covid_hlookup, 2, FALSE), FALSE), "No data")</f>
        <v>No data</v>
      </c>
      <c r="E83" s="2" t="str">
        <f>IFERROR(VLOOKUP($C83, covid_vlookup, HLOOKUP(E$1, covid_hlookup, 2, FALSE), FALSE), "No data")</f>
        <v>No data</v>
      </c>
      <c r="F83" s="2" t="str">
        <f>IFERROR(VLOOKUP($C83, covid_vlookup, HLOOKUP(F$1, covid_hlookup, 2, FALSE), FALSE), "No data")</f>
        <v>No data</v>
      </c>
      <c r="G83" s="2" t="str">
        <f>IFERROR(VLOOKUP($C83, covid_vlookup, HLOOKUP(G$1, covid_hlookup, 2, FALSE), FALSE), "No data")</f>
        <v>No data</v>
      </c>
      <c r="H83" s="2"/>
    </row>
    <row r="84">
      <c r="A84" s="3" t="s">
        <v>275</v>
      </c>
      <c r="B84" s="3" t="s">
        <v>145</v>
      </c>
      <c r="C84" s="3" t="s">
        <v>276</v>
      </c>
      <c r="D84" s="2" t="str">
        <f>IFERROR(VLOOKUP($C84, covid_vlookup, HLOOKUP(D$1, covid_hlookup, 2, FALSE), FALSE), "No data")</f>
        <v>No data</v>
      </c>
      <c r="E84" s="2" t="str">
        <f>IFERROR(VLOOKUP($C84, covid_vlookup, HLOOKUP(E$1, covid_hlookup, 2, FALSE), FALSE), "No data")</f>
        <v>No data</v>
      </c>
      <c r="F84" s="2" t="str">
        <f>IFERROR(VLOOKUP($C84, covid_vlookup, HLOOKUP(F$1, covid_hlookup, 2, FALSE), FALSE), "No data")</f>
        <v>No data</v>
      </c>
      <c r="G84" s="2" t="str">
        <f>IFERROR(VLOOKUP($C84, covid_vlookup, HLOOKUP(G$1, covid_hlookup, 2, FALSE), FALSE), "No data")</f>
        <v>No data</v>
      </c>
      <c r="H84" s="2"/>
    </row>
    <row r="85">
      <c r="A85" s="3" t="s">
        <v>277</v>
      </c>
      <c r="B85" s="3" t="s">
        <v>155</v>
      </c>
      <c r="C85" s="3" t="s">
        <v>278</v>
      </c>
      <c r="D85" s="2" t="str">
        <f>IFERROR(VLOOKUP($C85, covid_vlookup, HLOOKUP(D$1, covid_hlookup, 2, FALSE), FALSE), "No data")</f>
        <v>No data</v>
      </c>
      <c r="E85" s="2" t="str">
        <f>IFERROR(VLOOKUP($C85, covid_vlookup, HLOOKUP(E$1, covid_hlookup, 2, FALSE), FALSE), "No data")</f>
        <v>No data</v>
      </c>
      <c r="F85" s="2" t="str">
        <f>IFERROR(VLOOKUP($C85, covid_vlookup, HLOOKUP(F$1, covid_hlookup, 2, FALSE), FALSE), "No data")</f>
        <v>No data</v>
      </c>
      <c r="G85" s="2" t="str">
        <f>IFERROR(VLOOKUP($C85, covid_vlookup, HLOOKUP(G$1, covid_hlookup, 2, FALSE), FALSE), "No data")</f>
        <v>No data</v>
      </c>
      <c r="H85" s="2"/>
    </row>
    <row r="86">
      <c r="A86" s="3" t="s">
        <v>279</v>
      </c>
      <c r="B86" s="3" t="s">
        <v>150</v>
      </c>
      <c r="C86" s="3" t="s">
        <v>280</v>
      </c>
      <c r="D86" s="2" t="str">
        <f>IFERROR(VLOOKUP($C86, covid_vlookup, HLOOKUP(D$1, covid_hlookup, 2, FALSE), FALSE), "No data")</f>
        <v>No data</v>
      </c>
      <c r="E86" s="2" t="str">
        <f>IFERROR(VLOOKUP($C86, covid_vlookup, HLOOKUP(E$1, covid_hlookup, 2, FALSE), FALSE), "No data")</f>
        <v>No data</v>
      </c>
      <c r="F86" s="2" t="str">
        <f>IFERROR(VLOOKUP($C86, covid_vlookup, HLOOKUP(F$1, covid_hlookup, 2, FALSE), FALSE), "No data")</f>
        <v>No data</v>
      </c>
      <c r="G86" s="2" t="str">
        <f>IFERROR(VLOOKUP($C86, covid_vlookup, HLOOKUP(G$1, covid_hlookup, 2, FALSE), FALSE), "No data")</f>
        <v>No data</v>
      </c>
      <c r="H86" s="2"/>
    </row>
    <row r="87">
      <c r="A87" s="3" t="s">
        <v>281</v>
      </c>
      <c r="B87" s="3" t="s">
        <v>150</v>
      </c>
      <c r="C87" s="3" t="s">
        <v>282</v>
      </c>
      <c r="D87" s="2" t="str">
        <f>IFERROR(VLOOKUP($C87, covid_vlookup, HLOOKUP(D$1, covid_hlookup, 2, FALSE), FALSE), "No data")</f>
        <v>No data</v>
      </c>
      <c r="E87" s="2" t="str">
        <f>IFERROR(VLOOKUP($C87, covid_vlookup, HLOOKUP(E$1, covid_hlookup, 2, FALSE), FALSE), "No data")</f>
        <v>No data</v>
      </c>
      <c r="F87" s="2" t="str">
        <f>IFERROR(VLOOKUP($C87, covid_vlookup, HLOOKUP(F$1, covid_hlookup, 2, FALSE), FALSE), "No data")</f>
        <v>No data</v>
      </c>
      <c r="G87" s="2" t="str">
        <f>IFERROR(VLOOKUP($C87, covid_vlookup, HLOOKUP(G$1, covid_hlookup, 2, FALSE), FALSE), "No data")</f>
        <v>No data</v>
      </c>
      <c r="H87" s="2"/>
    </row>
    <row r="88">
      <c r="A88" s="3" t="s">
        <v>283</v>
      </c>
      <c r="B88" s="3" t="s">
        <v>142</v>
      </c>
      <c r="C88" s="3" t="s">
        <v>284</v>
      </c>
      <c r="D88" s="2" t="str">
        <f>IFERROR(VLOOKUP($C88, covid_vlookup, HLOOKUP(D$1, covid_hlookup, 2, FALSE), FALSE), "No data")</f>
        <v>No data</v>
      </c>
      <c r="E88" s="2" t="str">
        <f>IFERROR(VLOOKUP($C88, covid_vlookup, HLOOKUP(E$1, covid_hlookup, 2, FALSE), FALSE), "No data")</f>
        <v>No data</v>
      </c>
      <c r="F88" s="2" t="str">
        <f>IFERROR(VLOOKUP($C88, covid_vlookup, HLOOKUP(F$1, covid_hlookup, 2, FALSE), FALSE), "No data")</f>
        <v>No data</v>
      </c>
      <c r="G88" s="2" t="str">
        <f>IFERROR(VLOOKUP($C88, covid_vlookup, HLOOKUP(G$1, covid_hlookup, 2, FALSE), FALSE), "No data")</f>
        <v>No data</v>
      </c>
      <c r="H88" s="2"/>
    </row>
    <row r="89">
      <c r="A89" s="3" t="s">
        <v>83</v>
      </c>
      <c r="B89" s="3" t="s">
        <v>39</v>
      </c>
      <c r="C89" s="3" t="s">
        <v>84</v>
      </c>
      <c r="D89" s="2">
        <f>IFERROR(VLOOKUP($C89, covid_vlookup, HLOOKUP(D$1, covid_hlookup, 2, FALSE), FALSE), "No data")</f>
        <v>670776</v>
      </c>
      <c r="E89" s="2">
        <f>IFERROR(VLOOKUP($C89, covid_vlookup, HLOOKUP(E$1, covid_hlookup, 2, FALSE), FALSE), "No data")</f>
        <v>21262</v>
      </c>
      <c r="F89" s="2">
        <f>IFERROR(VLOOKUP($C89, covid_vlookup, HLOOKUP(F$1, covid_hlookup, 2, FALSE), FALSE), "No data")</f>
        <v>9660350</v>
      </c>
      <c r="G89" s="2">
        <f>IFERROR(VLOOKUP($C89, covid_vlookup, HLOOKUP(G$1, covid_hlookup, 2, FALSE), FALSE), "No data")</f>
        <v>26777.561</v>
      </c>
      <c r="H89" s="2"/>
    </row>
    <row r="90">
      <c r="A90" s="3" t="s">
        <v>89</v>
      </c>
      <c r="B90" s="3" t="s">
        <v>39</v>
      </c>
      <c r="C90" s="3" t="s">
        <v>90</v>
      </c>
      <c r="D90" s="2">
        <f>IFERROR(VLOOKUP($C90, covid_vlookup, HLOOKUP(D$1, covid_hlookup, 2, FALSE), FALSE), "No data")</f>
        <v>6205</v>
      </c>
      <c r="E90" s="2">
        <f>IFERROR(VLOOKUP($C90, covid_vlookup, HLOOKUP(E$1, covid_hlookup, 2, FALSE), FALSE), "No data")</f>
        <v>29</v>
      </c>
      <c r="F90" s="2">
        <f>IFERROR(VLOOKUP($C90, covid_vlookup, HLOOKUP(F$1, covid_hlookup, 2, FALSE), FALSE), "No data")</f>
        <v>341250</v>
      </c>
      <c r="G90" s="2">
        <f>IFERROR(VLOOKUP($C90, covid_vlookup, HLOOKUP(G$1, covid_hlookup, 2, FALSE), FALSE), "No data")</f>
        <v>46482.958</v>
      </c>
      <c r="H90" s="2"/>
    </row>
    <row r="91">
      <c r="A91" s="3" t="s">
        <v>285</v>
      </c>
      <c r="B91" s="3" t="s">
        <v>142</v>
      </c>
      <c r="C91" s="3" t="s">
        <v>286</v>
      </c>
      <c r="D91" s="2" t="str">
        <f>IFERROR(VLOOKUP($C91, covid_vlookup, HLOOKUP(D$1, covid_hlookup, 2, FALSE), FALSE), "No data")</f>
        <v>No data</v>
      </c>
      <c r="E91" s="2" t="str">
        <f>IFERROR(VLOOKUP($C91, covid_vlookup, HLOOKUP(E$1, covid_hlookup, 2, FALSE), FALSE), "No data")</f>
        <v>No data</v>
      </c>
      <c r="F91" s="2" t="str">
        <f>IFERROR(VLOOKUP($C91, covid_vlookup, HLOOKUP(F$1, covid_hlookup, 2, FALSE), FALSE), "No data")</f>
        <v>No data</v>
      </c>
      <c r="G91" s="2" t="str">
        <f>IFERROR(VLOOKUP($C91, covid_vlookup, HLOOKUP(G$1, covid_hlookup, 2, FALSE), FALSE), "No data")</f>
        <v>No data</v>
      </c>
      <c r="H91" s="2"/>
    </row>
    <row r="92">
      <c r="A92" s="3" t="s">
        <v>287</v>
      </c>
      <c r="B92" s="3" t="s">
        <v>142</v>
      </c>
      <c r="C92" s="3" t="s">
        <v>288</v>
      </c>
      <c r="D92" s="2" t="str">
        <f>IFERROR(VLOOKUP($C92, covid_vlookup, HLOOKUP(D$1, covid_hlookup, 2, FALSE), FALSE), "No data")</f>
        <v>No data</v>
      </c>
      <c r="E92" s="2" t="str">
        <f>IFERROR(VLOOKUP($C92, covid_vlookup, HLOOKUP(E$1, covid_hlookup, 2, FALSE), FALSE), "No data")</f>
        <v>No data</v>
      </c>
      <c r="F92" s="2" t="str">
        <f>IFERROR(VLOOKUP($C92, covid_vlookup, HLOOKUP(F$1, covid_hlookup, 2, FALSE), FALSE), "No data")</f>
        <v>No data</v>
      </c>
      <c r="G92" s="2" t="str">
        <f>IFERROR(VLOOKUP($C92, covid_vlookup, HLOOKUP(G$1, covid_hlookup, 2, FALSE), FALSE), "No data")</f>
        <v>No data</v>
      </c>
      <c r="H92" s="2"/>
    </row>
    <row r="93">
      <c r="A93" s="3" t="s">
        <v>289</v>
      </c>
      <c r="B93" s="3" t="s">
        <v>142</v>
      </c>
      <c r="C93" s="3" t="s">
        <v>290</v>
      </c>
      <c r="D93" s="2" t="str">
        <f>IFERROR(VLOOKUP($C93, covid_vlookup, HLOOKUP(D$1, covid_hlookup, 2, FALSE), FALSE), "No data")</f>
        <v>No data</v>
      </c>
      <c r="E93" s="2" t="str">
        <f>IFERROR(VLOOKUP($C93, covid_vlookup, HLOOKUP(E$1, covid_hlookup, 2, FALSE), FALSE), "No data")</f>
        <v>No data</v>
      </c>
      <c r="F93" s="2" t="str">
        <f>IFERROR(VLOOKUP($C93, covid_vlookup, HLOOKUP(F$1, covid_hlookup, 2, FALSE), FALSE), "No data")</f>
        <v>No data</v>
      </c>
      <c r="G93" s="2" t="str">
        <f>IFERROR(VLOOKUP($C93, covid_vlookup, HLOOKUP(G$1, covid_hlookup, 2, FALSE), FALSE), "No data")</f>
        <v>No data</v>
      </c>
      <c r="H93" s="2"/>
    </row>
    <row r="94">
      <c r="A94" s="3" t="s">
        <v>291</v>
      </c>
      <c r="B94" s="3" t="s">
        <v>142</v>
      </c>
      <c r="C94" s="3" t="s">
        <v>292</v>
      </c>
      <c r="D94" s="2" t="str">
        <f>IFERROR(VLOOKUP($C94, covid_vlookup, HLOOKUP(D$1, covid_hlookup, 2, FALSE), FALSE), "No data")</f>
        <v>No data</v>
      </c>
      <c r="E94" s="2" t="str">
        <f>IFERROR(VLOOKUP($C94, covid_vlookup, HLOOKUP(E$1, covid_hlookup, 2, FALSE), FALSE), "No data")</f>
        <v>No data</v>
      </c>
      <c r="F94" s="2" t="str">
        <f>IFERROR(VLOOKUP($C94, covid_vlookup, HLOOKUP(F$1, covid_hlookup, 2, FALSE), FALSE), "No data")</f>
        <v>No data</v>
      </c>
      <c r="G94" s="2" t="str">
        <f>IFERROR(VLOOKUP($C94, covid_vlookup, HLOOKUP(G$1, covid_hlookup, 2, FALSE), FALSE), "No data")</f>
        <v>No data</v>
      </c>
      <c r="H94" s="2"/>
    </row>
    <row r="95">
      <c r="A95" s="3" t="s">
        <v>87</v>
      </c>
      <c r="B95" s="3" t="s">
        <v>39</v>
      </c>
      <c r="C95" s="3" t="s">
        <v>88</v>
      </c>
      <c r="D95" s="2">
        <f>IFERROR(VLOOKUP($C95, covid_vlookup, HLOOKUP(D$1, covid_hlookup, 2, FALSE), FALSE), "No data")</f>
        <v>237187</v>
      </c>
      <c r="E95" s="2">
        <f>IFERROR(VLOOKUP($C95, covid_vlookup, HLOOKUP(E$1, covid_hlookup, 2, FALSE), FALSE), "No data")</f>
        <v>4713</v>
      </c>
      <c r="F95" s="2">
        <f>IFERROR(VLOOKUP($C95, covid_vlookup, HLOOKUP(F$1, covid_hlookup, 2, FALSE), FALSE), "No data")</f>
        <v>4937796</v>
      </c>
      <c r="G95" s="2">
        <f>IFERROR(VLOOKUP($C95, covid_vlookup, HLOOKUP(G$1, covid_hlookup, 2, FALSE), FALSE), "No data")</f>
        <v>67335.293</v>
      </c>
      <c r="H95" s="2"/>
    </row>
    <row r="96">
      <c r="A96" s="3" t="s">
        <v>85</v>
      </c>
      <c r="B96" s="3" t="s">
        <v>39</v>
      </c>
      <c r="C96" s="3" t="s">
        <v>86</v>
      </c>
      <c r="D96" s="2" t="str">
        <f>IFERROR(VLOOKUP($C96, covid_vlookup, HLOOKUP(D$1, covid_hlookup, 2, FALSE), FALSE), "No data")</f>
        <v/>
      </c>
      <c r="E96" s="2" t="str">
        <f>IFERROR(VLOOKUP($C96, covid_vlookup, HLOOKUP(E$1, covid_hlookup, 2, FALSE), FALSE), "No data")</f>
        <v/>
      </c>
      <c r="F96" s="2">
        <f>IFERROR(VLOOKUP($C96, covid_vlookup, HLOOKUP(F$1, covid_hlookup, 2, FALSE), FALSE), "No data")</f>
        <v>85032</v>
      </c>
      <c r="G96" s="2" t="str">
        <f>IFERROR(VLOOKUP($C96, covid_vlookup, HLOOKUP(G$1, covid_hlookup, 2, FALSE), FALSE), "No data")</f>
        <v/>
      </c>
      <c r="H96" s="2"/>
    </row>
    <row r="97">
      <c r="A97" s="3" t="s">
        <v>293</v>
      </c>
      <c r="B97" s="3" t="s">
        <v>142</v>
      </c>
      <c r="C97" s="3" t="s">
        <v>294</v>
      </c>
      <c r="D97" s="2" t="str">
        <f>IFERROR(VLOOKUP($C97, covid_vlookup, HLOOKUP(D$1, covid_hlookup, 2, FALSE), FALSE), "No data")</f>
        <v>No data</v>
      </c>
      <c r="E97" s="2" t="str">
        <f>IFERROR(VLOOKUP($C97, covid_vlookup, HLOOKUP(E$1, covid_hlookup, 2, FALSE), FALSE), "No data")</f>
        <v>No data</v>
      </c>
      <c r="F97" s="2" t="str">
        <f>IFERROR(VLOOKUP($C97, covid_vlookup, HLOOKUP(F$1, covid_hlookup, 2, FALSE), FALSE), "No data")</f>
        <v>No data</v>
      </c>
      <c r="G97" s="2" t="str">
        <f>IFERROR(VLOOKUP($C97, covid_vlookup, HLOOKUP(G$1, covid_hlookup, 2, FALSE), FALSE), "No data")</f>
        <v>No data</v>
      </c>
      <c r="H97" s="2"/>
    </row>
    <row r="98">
      <c r="A98" s="3" t="s">
        <v>91</v>
      </c>
      <c r="B98" s="3" t="s">
        <v>39</v>
      </c>
      <c r="C98" s="3" t="s">
        <v>92</v>
      </c>
      <c r="D98" s="2">
        <f>IFERROR(VLOOKUP($C98, covid_vlookup, HLOOKUP(D$1, covid_hlookup, 2, FALSE), FALSE), "No data")</f>
        <v>3629000</v>
      </c>
      <c r="E98" s="2">
        <f>IFERROR(VLOOKUP($C98, covid_vlookup, HLOOKUP(E$1, covid_hlookup, 2, FALSE), FALSE), "No data")</f>
        <v>110328</v>
      </c>
      <c r="F98" s="2">
        <f>IFERROR(VLOOKUP($C98, covid_vlookup, HLOOKUP(F$1, covid_hlookup, 2, FALSE), FALSE), "No data")</f>
        <v>60461828</v>
      </c>
      <c r="G98" s="2">
        <f>IFERROR(VLOOKUP($C98, covid_vlookup, HLOOKUP(G$1, covid_hlookup, 2, FALSE), FALSE), "No data")</f>
        <v>35220.084</v>
      </c>
      <c r="H98" s="2"/>
    </row>
    <row r="99">
      <c r="A99" s="3" t="s">
        <v>295</v>
      </c>
      <c r="B99" s="3" t="s">
        <v>150</v>
      </c>
      <c r="C99" s="3" t="s">
        <v>296</v>
      </c>
      <c r="D99" s="2" t="str">
        <f>IFERROR(VLOOKUP($C99, covid_vlookup, HLOOKUP(D$1, covid_hlookup, 2, FALSE), FALSE), "No data")</f>
        <v>No data</v>
      </c>
      <c r="E99" s="2" t="str">
        <f>IFERROR(VLOOKUP($C99, covid_vlookup, HLOOKUP(E$1, covid_hlookup, 2, FALSE), FALSE), "No data")</f>
        <v>No data</v>
      </c>
      <c r="F99" s="2" t="str">
        <f>IFERROR(VLOOKUP($C99, covid_vlookup, HLOOKUP(F$1, covid_hlookup, 2, FALSE), FALSE), "No data")</f>
        <v>No data</v>
      </c>
      <c r="G99" s="2" t="str">
        <f>IFERROR(VLOOKUP($C99, covid_vlookup, HLOOKUP(G$1, covid_hlookup, 2, FALSE), FALSE), "No data")</f>
        <v>No data</v>
      </c>
      <c r="H99" s="2"/>
    </row>
    <row r="100">
      <c r="A100" s="3" t="s">
        <v>297</v>
      </c>
      <c r="B100" s="3" t="s">
        <v>142</v>
      </c>
      <c r="C100" s="3" t="s">
        <v>298</v>
      </c>
      <c r="D100" s="2" t="str">
        <f>IFERROR(VLOOKUP($C100, covid_vlookup, HLOOKUP(D$1, covid_hlookup, 2, FALSE), FALSE), "No data")</f>
        <v>No data</v>
      </c>
      <c r="E100" s="2" t="str">
        <f>IFERROR(VLOOKUP($C100, covid_vlookup, HLOOKUP(E$1, covid_hlookup, 2, FALSE), FALSE), "No data")</f>
        <v>No data</v>
      </c>
      <c r="F100" s="2" t="str">
        <f>IFERROR(VLOOKUP($C100, covid_vlookup, HLOOKUP(F$1, covid_hlookup, 2, FALSE), FALSE), "No data")</f>
        <v>No data</v>
      </c>
      <c r="G100" s="2" t="str">
        <f>IFERROR(VLOOKUP($C100, covid_vlookup, HLOOKUP(G$1, covid_hlookup, 2, FALSE), FALSE), "No data")</f>
        <v>No data</v>
      </c>
      <c r="H100" s="2"/>
    </row>
    <row r="101">
      <c r="A101" s="3" t="s">
        <v>93</v>
      </c>
      <c r="B101" s="3" t="s">
        <v>39</v>
      </c>
      <c r="C101" s="3" t="s">
        <v>94</v>
      </c>
      <c r="D101" s="2" t="str">
        <f>IFERROR(VLOOKUP($C101, covid_vlookup, HLOOKUP(D$1, covid_hlookup, 2, FALSE), FALSE), "No data")</f>
        <v/>
      </c>
      <c r="E101" s="2" t="str">
        <f>IFERROR(VLOOKUP($C101, covid_vlookup, HLOOKUP(E$1, covid_hlookup, 2, FALSE), FALSE), "No data")</f>
        <v/>
      </c>
      <c r="F101" s="2">
        <f>IFERROR(VLOOKUP($C101, covid_vlookup, HLOOKUP(F$1, covid_hlookup, 2, FALSE), FALSE), "No data")</f>
        <v>101073</v>
      </c>
      <c r="G101" s="2" t="str">
        <f>IFERROR(VLOOKUP($C101, covid_vlookup, HLOOKUP(G$1, covid_hlookup, 2, FALSE), FALSE), "No data")</f>
        <v/>
      </c>
      <c r="H101" s="2"/>
    </row>
    <row r="102">
      <c r="A102" s="3" t="s">
        <v>299</v>
      </c>
      <c r="B102" s="3" t="s">
        <v>142</v>
      </c>
      <c r="C102" s="3" t="s">
        <v>300</v>
      </c>
      <c r="D102" s="2" t="str">
        <f>IFERROR(VLOOKUP($C102, covid_vlookup, HLOOKUP(D$1, covid_hlookup, 2, FALSE), FALSE), "No data")</f>
        <v>No data</v>
      </c>
      <c r="E102" s="2" t="str">
        <f>IFERROR(VLOOKUP($C102, covid_vlookup, HLOOKUP(E$1, covid_hlookup, 2, FALSE), FALSE), "No data")</f>
        <v>No data</v>
      </c>
      <c r="F102" s="2" t="str">
        <f>IFERROR(VLOOKUP($C102, covid_vlookup, HLOOKUP(F$1, covid_hlookup, 2, FALSE), FALSE), "No data")</f>
        <v>No data</v>
      </c>
      <c r="G102" s="2" t="str">
        <f>IFERROR(VLOOKUP($C102, covid_vlookup, HLOOKUP(G$1, covid_hlookup, 2, FALSE), FALSE), "No data")</f>
        <v>No data</v>
      </c>
      <c r="H102" s="2"/>
    </row>
    <row r="103">
      <c r="A103" s="3" t="s">
        <v>301</v>
      </c>
      <c r="B103" s="3" t="s">
        <v>142</v>
      </c>
      <c r="C103" s="3" t="s">
        <v>302</v>
      </c>
      <c r="D103" s="2" t="str">
        <f>IFERROR(VLOOKUP($C103, covid_vlookup, HLOOKUP(D$1, covid_hlookup, 2, FALSE), FALSE), "No data")</f>
        <v>No data</v>
      </c>
      <c r="E103" s="2" t="str">
        <f>IFERROR(VLOOKUP($C103, covid_vlookup, HLOOKUP(E$1, covid_hlookup, 2, FALSE), FALSE), "No data")</f>
        <v>No data</v>
      </c>
      <c r="F103" s="2" t="str">
        <f>IFERROR(VLOOKUP($C103, covid_vlookup, HLOOKUP(F$1, covid_hlookup, 2, FALSE), FALSE), "No data")</f>
        <v>No data</v>
      </c>
      <c r="G103" s="2" t="str">
        <f>IFERROR(VLOOKUP($C103, covid_vlookup, HLOOKUP(G$1, covid_hlookup, 2, FALSE), FALSE), "No data")</f>
        <v>No data</v>
      </c>
      <c r="H103" s="2"/>
    </row>
    <row r="104">
      <c r="A104" s="3" t="s">
        <v>303</v>
      </c>
      <c r="B104" s="3" t="s">
        <v>145</v>
      </c>
      <c r="C104" s="3" t="s">
        <v>304</v>
      </c>
      <c r="D104" s="2" t="str">
        <f>IFERROR(VLOOKUP($C104, covid_vlookup, HLOOKUP(D$1, covid_hlookup, 2, FALSE), FALSE), "No data")</f>
        <v>No data</v>
      </c>
      <c r="E104" s="2" t="str">
        <f>IFERROR(VLOOKUP($C104, covid_vlookup, HLOOKUP(E$1, covid_hlookup, 2, FALSE), FALSE), "No data")</f>
        <v>No data</v>
      </c>
      <c r="F104" s="2" t="str">
        <f>IFERROR(VLOOKUP($C104, covid_vlookup, HLOOKUP(F$1, covid_hlookup, 2, FALSE), FALSE), "No data")</f>
        <v>No data</v>
      </c>
      <c r="G104" s="2" t="str">
        <f>IFERROR(VLOOKUP($C104, covid_vlookup, HLOOKUP(G$1, covid_hlookup, 2, FALSE), FALSE), "No data")</f>
        <v>No data</v>
      </c>
      <c r="H104" s="2"/>
    </row>
    <row r="105">
      <c r="A105" s="3" t="s">
        <v>117</v>
      </c>
      <c r="B105" s="3" t="s">
        <v>39</v>
      </c>
      <c r="C105" s="3" t="s">
        <v>118</v>
      </c>
      <c r="D105" s="2">
        <f>IFERROR(VLOOKUP($C105, covid_vlookup, HLOOKUP(D$1, covid_hlookup, 2, FALSE), FALSE), "No data")</f>
        <v>91079</v>
      </c>
      <c r="E105" s="2">
        <f>IFERROR(VLOOKUP($C105, covid_vlookup, HLOOKUP(E$1, covid_hlookup, 2, FALSE), FALSE), "No data")</f>
        <v>1892</v>
      </c>
      <c r="F105" s="2">
        <f>IFERROR(VLOOKUP($C105, covid_vlookup, HLOOKUP(F$1, covid_hlookup, 2, FALSE), FALSE), "No data")</f>
        <v>1932774</v>
      </c>
      <c r="G105" s="2">
        <f>IFERROR(VLOOKUP($C105, covid_vlookup, HLOOKUP(G$1, covid_hlookup, 2, FALSE), FALSE), "No data")</f>
        <v>9795.834</v>
      </c>
      <c r="H105" s="2"/>
    </row>
    <row r="106">
      <c r="A106" s="3" t="s">
        <v>305</v>
      </c>
      <c r="B106" s="3" t="s">
        <v>142</v>
      </c>
      <c r="C106" s="3" t="s">
        <v>306</v>
      </c>
      <c r="D106" s="2" t="str">
        <f>IFERROR(VLOOKUP($C106, covid_vlookup, HLOOKUP(D$1, covid_hlookup, 2, FALSE), FALSE), "No data")</f>
        <v>No data</v>
      </c>
      <c r="E106" s="2" t="str">
        <f>IFERROR(VLOOKUP($C106, covid_vlookup, HLOOKUP(E$1, covid_hlookup, 2, FALSE), FALSE), "No data")</f>
        <v>No data</v>
      </c>
      <c r="F106" s="2" t="str">
        <f>IFERROR(VLOOKUP($C106, covid_vlookup, HLOOKUP(F$1, covid_hlookup, 2, FALSE), FALSE), "No data")</f>
        <v>No data</v>
      </c>
      <c r="G106" s="2" t="str">
        <f>IFERROR(VLOOKUP($C106, covid_vlookup, HLOOKUP(G$1, covid_hlookup, 2, FALSE), FALSE), "No data")</f>
        <v>No data</v>
      </c>
      <c r="H106" s="2"/>
    </row>
    <row r="107">
      <c r="A107" s="3" t="s">
        <v>307</v>
      </c>
      <c r="B107" s="3" t="s">
        <v>142</v>
      </c>
      <c r="C107" s="3" t="s">
        <v>308</v>
      </c>
      <c r="D107" s="2" t="str">
        <f>IFERROR(VLOOKUP($C107, covid_vlookup, HLOOKUP(D$1, covid_hlookup, 2, FALSE), FALSE), "No data")</f>
        <v>No data</v>
      </c>
      <c r="E107" s="2" t="str">
        <f>IFERROR(VLOOKUP($C107, covid_vlookup, HLOOKUP(E$1, covid_hlookup, 2, FALSE), FALSE), "No data")</f>
        <v>No data</v>
      </c>
      <c r="F107" s="2" t="str">
        <f>IFERROR(VLOOKUP($C107, covid_vlookup, HLOOKUP(F$1, covid_hlookup, 2, FALSE), FALSE), "No data")</f>
        <v>No data</v>
      </c>
      <c r="G107" s="2" t="str">
        <f>IFERROR(VLOOKUP($C107, covid_vlookup, HLOOKUP(G$1, covid_hlookup, 2, FALSE), FALSE), "No data")</f>
        <v>No data</v>
      </c>
      <c r="H107" s="2"/>
    </row>
    <row r="108">
      <c r="A108" s="3" t="s">
        <v>309</v>
      </c>
      <c r="B108" s="3" t="s">
        <v>142</v>
      </c>
      <c r="C108" s="3" t="s">
        <v>310</v>
      </c>
      <c r="D108" s="2" t="str">
        <f>IFERROR(VLOOKUP($C108, covid_vlookup, HLOOKUP(D$1, covid_hlookup, 2, FALSE), FALSE), "No data")</f>
        <v>No data</v>
      </c>
      <c r="E108" s="2" t="str">
        <f>IFERROR(VLOOKUP($C108, covid_vlookup, HLOOKUP(E$1, covid_hlookup, 2, FALSE), FALSE), "No data")</f>
        <v>No data</v>
      </c>
      <c r="F108" s="2" t="str">
        <f>IFERROR(VLOOKUP($C108, covid_vlookup, HLOOKUP(F$1, covid_hlookup, 2, FALSE), FALSE), "No data")</f>
        <v>No data</v>
      </c>
      <c r="G108" s="2" t="str">
        <f>IFERROR(VLOOKUP($C108, covid_vlookup, HLOOKUP(G$1, covid_hlookup, 2, FALSE), FALSE), "No data")</f>
        <v>No data</v>
      </c>
      <c r="H108" s="2"/>
    </row>
    <row r="109">
      <c r="A109" s="3" t="s">
        <v>101</v>
      </c>
      <c r="B109" s="3" t="s">
        <v>39</v>
      </c>
      <c r="C109" s="3" t="s">
        <v>102</v>
      </c>
      <c r="D109" s="2">
        <f>IFERROR(VLOOKUP($C109, covid_vlookup, HLOOKUP(D$1, covid_hlookup, 2, FALSE), FALSE), "No data")</f>
        <v>103588</v>
      </c>
      <c r="E109" s="2">
        <f>IFERROR(VLOOKUP($C109, covid_vlookup, HLOOKUP(E$1, covid_hlookup, 2, FALSE), FALSE), "No data")</f>
        <v>1922</v>
      </c>
      <c r="F109" s="2">
        <f>IFERROR(VLOOKUP($C109, covid_vlookup, HLOOKUP(F$1, covid_hlookup, 2, FALSE), FALSE), "No data")</f>
        <v>1886202</v>
      </c>
      <c r="G109" s="2">
        <f>IFERROR(VLOOKUP($C109, covid_vlookup, HLOOKUP(G$1, covid_hlookup, 2, FALSE), FALSE), "No data")</f>
        <v>25063.846</v>
      </c>
      <c r="H109" s="2"/>
    </row>
    <row r="110">
      <c r="A110" s="3" t="s">
        <v>311</v>
      </c>
      <c r="B110" s="3" t="s">
        <v>142</v>
      </c>
      <c r="C110" s="3" t="s">
        <v>312</v>
      </c>
      <c r="D110" s="2" t="str">
        <f>IFERROR(VLOOKUP($C110, covid_vlookup, HLOOKUP(D$1, covid_hlookup, 2, FALSE), FALSE), "No data")</f>
        <v>No data</v>
      </c>
      <c r="E110" s="2" t="str">
        <f>IFERROR(VLOOKUP($C110, covid_vlookup, HLOOKUP(E$1, covid_hlookup, 2, FALSE), FALSE), "No data")</f>
        <v>No data</v>
      </c>
      <c r="F110" s="2" t="str">
        <f>IFERROR(VLOOKUP($C110, covid_vlookup, HLOOKUP(F$1, covid_hlookup, 2, FALSE), FALSE), "No data")</f>
        <v>No data</v>
      </c>
      <c r="G110" s="2" t="str">
        <f>IFERROR(VLOOKUP($C110, covid_vlookup, HLOOKUP(G$1, covid_hlookup, 2, FALSE), FALSE), "No data")</f>
        <v>No data</v>
      </c>
      <c r="H110" s="2"/>
    </row>
    <row r="111">
      <c r="A111" s="3" t="s">
        <v>313</v>
      </c>
      <c r="B111" s="3" t="s">
        <v>145</v>
      </c>
      <c r="C111" s="3" t="s">
        <v>314</v>
      </c>
      <c r="D111" s="2" t="str">
        <f>IFERROR(VLOOKUP($C111, covid_vlookup, HLOOKUP(D$1, covid_hlookup, 2, FALSE), FALSE), "No data")</f>
        <v>No data</v>
      </c>
      <c r="E111" s="2" t="str">
        <f>IFERROR(VLOOKUP($C111, covid_vlookup, HLOOKUP(E$1, covid_hlookup, 2, FALSE), FALSE), "No data")</f>
        <v>No data</v>
      </c>
      <c r="F111" s="2" t="str">
        <f>IFERROR(VLOOKUP($C111, covid_vlookup, HLOOKUP(F$1, covid_hlookup, 2, FALSE), FALSE), "No data")</f>
        <v>No data</v>
      </c>
      <c r="G111" s="2" t="str">
        <f>IFERROR(VLOOKUP($C111, covid_vlookup, HLOOKUP(G$1, covid_hlookup, 2, FALSE), FALSE), "No data")</f>
        <v>No data</v>
      </c>
      <c r="H111" s="2"/>
    </row>
    <row r="112">
      <c r="A112" s="3" t="s">
        <v>315</v>
      </c>
      <c r="B112" s="3" t="s">
        <v>145</v>
      </c>
      <c r="C112" s="3" t="s">
        <v>316</v>
      </c>
      <c r="D112" s="2" t="str">
        <f>IFERROR(VLOOKUP($C112, covid_vlookup, HLOOKUP(D$1, covid_hlookup, 2, FALSE), FALSE), "No data")</f>
        <v>No data</v>
      </c>
      <c r="E112" s="2" t="str">
        <f>IFERROR(VLOOKUP($C112, covid_vlookup, HLOOKUP(E$1, covid_hlookup, 2, FALSE), FALSE), "No data")</f>
        <v>No data</v>
      </c>
      <c r="F112" s="2" t="str">
        <f>IFERROR(VLOOKUP($C112, covid_vlookup, HLOOKUP(F$1, covid_hlookup, 2, FALSE), FALSE), "No data")</f>
        <v>No data</v>
      </c>
      <c r="G112" s="2" t="str">
        <f>IFERROR(VLOOKUP($C112, covid_vlookup, HLOOKUP(G$1, covid_hlookup, 2, FALSE), FALSE), "No data")</f>
        <v>No data</v>
      </c>
      <c r="H112" s="2"/>
    </row>
    <row r="113">
      <c r="A113" s="3" t="s">
        <v>317</v>
      </c>
      <c r="B113" s="3" t="s">
        <v>145</v>
      </c>
      <c r="C113" s="3" t="s">
        <v>318</v>
      </c>
      <c r="D113" s="2" t="str">
        <f>IFERROR(VLOOKUP($C113, covid_vlookup, HLOOKUP(D$1, covid_hlookup, 2, FALSE), FALSE), "No data")</f>
        <v>No data</v>
      </c>
      <c r="E113" s="2" t="str">
        <f>IFERROR(VLOOKUP($C113, covid_vlookup, HLOOKUP(E$1, covid_hlookup, 2, FALSE), FALSE), "No data")</f>
        <v>No data</v>
      </c>
      <c r="F113" s="2" t="str">
        <f>IFERROR(VLOOKUP($C113, covid_vlookup, HLOOKUP(F$1, covid_hlookup, 2, FALSE), FALSE), "No data")</f>
        <v>No data</v>
      </c>
      <c r="G113" s="2" t="str">
        <f>IFERROR(VLOOKUP($C113, covid_vlookup, HLOOKUP(G$1, covid_hlookup, 2, FALSE), FALSE), "No data")</f>
        <v>No data</v>
      </c>
      <c r="H113" s="2"/>
    </row>
    <row r="114">
      <c r="A114" s="3" t="s">
        <v>95</v>
      </c>
      <c r="B114" s="3" t="s">
        <v>39</v>
      </c>
      <c r="C114" s="3" t="s">
        <v>96</v>
      </c>
      <c r="D114" s="2">
        <f>IFERROR(VLOOKUP($C114, covid_vlookup, HLOOKUP(D$1, covid_hlookup, 2, FALSE), FALSE), "No data")</f>
        <v>2678</v>
      </c>
      <c r="E114" s="2">
        <f>IFERROR(VLOOKUP($C114, covid_vlookup, HLOOKUP(E$1, covid_hlookup, 2, FALSE), FALSE), "No data")</f>
        <v>56</v>
      </c>
      <c r="F114" s="2">
        <f>IFERROR(VLOOKUP($C114, covid_vlookup, HLOOKUP(F$1, covid_hlookup, 2, FALSE), FALSE), "No data")</f>
        <v>38137</v>
      </c>
      <c r="G114" s="2" t="str">
        <f>IFERROR(VLOOKUP($C114, covid_vlookup, HLOOKUP(G$1, covid_hlookup, 2, FALSE), FALSE), "No data")</f>
        <v/>
      </c>
      <c r="H114" s="2"/>
    </row>
    <row r="115">
      <c r="A115" s="3" t="s">
        <v>97</v>
      </c>
      <c r="B115" s="3" t="s">
        <v>39</v>
      </c>
      <c r="C115" s="3" t="s">
        <v>98</v>
      </c>
      <c r="D115" s="2">
        <f>IFERROR(VLOOKUP($C115, covid_vlookup, HLOOKUP(D$1, covid_hlookup, 2, FALSE), FALSE), "No data")</f>
        <v>217865</v>
      </c>
      <c r="E115" s="2">
        <f>IFERROR(VLOOKUP($C115, covid_vlookup, HLOOKUP(E$1, covid_hlookup, 2, FALSE), FALSE), "No data")</f>
        <v>3594</v>
      </c>
      <c r="F115" s="2">
        <f>IFERROR(VLOOKUP($C115, covid_vlookup, HLOOKUP(F$1, covid_hlookup, 2, FALSE), FALSE), "No data")</f>
        <v>2722291</v>
      </c>
      <c r="G115" s="2">
        <f>IFERROR(VLOOKUP($C115, covid_vlookup, HLOOKUP(G$1, covid_hlookup, 2, FALSE), FALSE), "No data")</f>
        <v>29524.265</v>
      </c>
      <c r="H115" s="2"/>
    </row>
    <row r="116">
      <c r="A116" s="3" t="s">
        <v>99</v>
      </c>
      <c r="B116" s="3" t="s">
        <v>39</v>
      </c>
      <c r="C116" s="3" t="s">
        <v>100</v>
      </c>
      <c r="D116" s="2">
        <f>IFERROR(VLOOKUP($C116, covid_vlookup, HLOOKUP(D$1, covid_hlookup, 2, FALSE), FALSE), "No data")</f>
        <v>62105</v>
      </c>
      <c r="E116" s="2">
        <f>IFERROR(VLOOKUP($C116, covid_vlookup, HLOOKUP(E$1, covid_hlookup, 2, FALSE), FALSE), "No data")</f>
        <v>750</v>
      </c>
      <c r="F116" s="2">
        <f>IFERROR(VLOOKUP($C116, covid_vlookup, HLOOKUP(F$1, covid_hlookup, 2, FALSE), FALSE), "No data")</f>
        <v>625976</v>
      </c>
      <c r="G116" s="2">
        <f>IFERROR(VLOOKUP($C116, covid_vlookup, HLOOKUP(G$1, covid_hlookup, 2, FALSE), FALSE), "No data")</f>
        <v>94277.965</v>
      </c>
      <c r="H116" s="2"/>
    </row>
    <row r="117">
      <c r="A117" s="3" t="s">
        <v>107</v>
      </c>
      <c r="B117" s="3" t="s">
        <v>39</v>
      </c>
      <c r="C117" s="3" t="s">
        <v>319</v>
      </c>
      <c r="D117" s="2" t="str">
        <f>IFERROR(VLOOKUP($C117, covid_vlookup, HLOOKUP(D$1, covid_hlookup, 2, FALSE), FALSE), "No data")</f>
        <v>No data</v>
      </c>
      <c r="E117" s="2" t="str">
        <f>IFERROR(VLOOKUP($C117, covid_vlookup, HLOOKUP(E$1, covid_hlookup, 2, FALSE), FALSE), "No data")</f>
        <v>No data</v>
      </c>
      <c r="F117" s="2" t="str">
        <f>IFERROR(VLOOKUP($C117, covid_vlookup, HLOOKUP(F$1, covid_hlookup, 2, FALSE), FALSE), "No data")</f>
        <v>No data</v>
      </c>
      <c r="G117" s="2" t="str">
        <f>IFERROR(VLOOKUP($C117, covid_vlookup, HLOOKUP(G$1, covid_hlookup, 2, FALSE), FALSE), "No data")</f>
        <v>No data</v>
      </c>
      <c r="H117" s="2"/>
    </row>
    <row r="118">
      <c r="A118" s="3" t="s">
        <v>320</v>
      </c>
      <c r="B118" s="3" t="s">
        <v>145</v>
      </c>
      <c r="C118" s="3" t="s">
        <v>321</v>
      </c>
      <c r="D118" s="2" t="str">
        <f>IFERROR(VLOOKUP($C118, covid_vlookup, HLOOKUP(D$1, covid_hlookup, 2, FALSE), FALSE), "No data")</f>
        <v>No data</v>
      </c>
      <c r="E118" s="2" t="str">
        <f>IFERROR(VLOOKUP($C118, covid_vlookup, HLOOKUP(E$1, covid_hlookup, 2, FALSE), FALSE), "No data")</f>
        <v>No data</v>
      </c>
      <c r="F118" s="2" t="str">
        <f>IFERROR(VLOOKUP($C118, covid_vlookup, HLOOKUP(F$1, covid_hlookup, 2, FALSE), FALSE), "No data")</f>
        <v>No data</v>
      </c>
      <c r="G118" s="2" t="str">
        <f>IFERROR(VLOOKUP($C118, covid_vlookup, HLOOKUP(G$1, covid_hlookup, 2, FALSE), FALSE), "No data")</f>
        <v>No data</v>
      </c>
      <c r="H118" s="2"/>
    </row>
    <row r="119">
      <c r="A119" s="3" t="s">
        <v>322</v>
      </c>
      <c r="B119" s="3" t="s">
        <v>145</v>
      </c>
      <c r="C119" s="3" t="s">
        <v>323</v>
      </c>
      <c r="D119" s="2" t="str">
        <f>IFERROR(VLOOKUP($C119, covid_vlookup, HLOOKUP(D$1, covid_hlookup, 2, FALSE), FALSE), "No data")</f>
        <v>No data</v>
      </c>
      <c r="E119" s="2" t="str">
        <f>IFERROR(VLOOKUP($C119, covid_vlookup, HLOOKUP(E$1, covid_hlookup, 2, FALSE), FALSE), "No data")</f>
        <v>No data</v>
      </c>
      <c r="F119" s="2" t="str">
        <f>IFERROR(VLOOKUP($C119, covid_vlookup, HLOOKUP(F$1, covid_hlookup, 2, FALSE), FALSE), "No data")</f>
        <v>No data</v>
      </c>
      <c r="G119" s="2" t="str">
        <f>IFERROR(VLOOKUP($C119, covid_vlookup, HLOOKUP(G$1, covid_hlookup, 2, FALSE), FALSE), "No data")</f>
        <v>No data</v>
      </c>
      <c r="H119" s="2"/>
    </row>
    <row r="120">
      <c r="A120" s="3" t="s">
        <v>324</v>
      </c>
      <c r="B120" s="3" t="s">
        <v>142</v>
      </c>
      <c r="C120" s="3" t="s">
        <v>325</v>
      </c>
      <c r="D120" s="2" t="str">
        <f>IFERROR(VLOOKUP($C120, covid_vlookup, HLOOKUP(D$1, covid_hlookup, 2, FALSE), FALSE), "No data")</f>
        <v>No data</v>
      </c>
      <c r="E120" s="2" t="str">
        <f>IFERROR(VLOOKUP($C120, covid_vlookup, HLOOKUP(E$1, covid_hlookup, 2, FALSE), FALSE), "No data")</f>
        <v>No data</v>
      </c>
      <c r="F120" s="2" t="str">
        <f>IFERROR(VLOOKUP($C120, covid_vlookup, HLOOKUP(F$1, covid_hlookup, 2, FALSE), FALSE), "No data")</f>
        <v>No data</v>
      </c>
      <c r="G120" s="2" t="str">
        <f>IFERROR(VLOOKUP($C120, covid_vlookup, HLOOKUP(G$1, covid_hlookup, 2, FALSE), FALSE), "No data")</f>
        <v>No data</v>
      </c>
      <c r="H120" s="2"/>
    </row>
    <row r="121">
      <c r="A121" s="3" t="s">
        <v>326</v>
      </c>
      <c r="B121" s="3" t="s">
        <v>142</v>
      </c>
      <c r="C121" s="3" t="s">
        <v>327</v>
      </c>
      <c r="D121" s="2" t="str">
        <f>IFERROR(VLOOKUP($C121, covid_vlookup, HLOOKUP(D$1, covid_hlookup, 2, FALSE), FALSE), "No data")</f>
        <v>No data</v>
      </c>
      <c r="E121" s="2" t="str">
        <f>IFERROR(VLOOKUP($C121, covid_vlookup, HLOOKUP(E$1, covid_hlookup, 2, FALSE), FALSE), "No data")</f>
        <v>No data</v>
      </c>
      <c r="F121" s="2" t="str">
        <f>IFERROR(VLOOKUP($C121, covid_vlookup, HLOOKUP(F$1, covid_hlookup, 2, FALSE), FALSE), "No data")</f>
        <v>No data</v>
      </c>
      <c r="G121" s="2" t="str">
        <f>IFERROR(VLOOKUP($C121, covid_vlookup, HLOOKUP(G$1, covid_hlookup, 2, FALSE), FALSE), "No data")</f>
        <v>No data</v>
      </c>
      <c r="H121" s="2"/>
    </row>
    <row r="122">
      <c r="A122" s="3" t="s">
        <v>328</v>
      </c>
      <c r="B122" s="3" t="s">
        <v>145</v>
      </c>
      <c r="C122" s="3" t="s">
        <v>329</v>
      </c>
      <c r="D122" s="2" t="str">
        <f>IFERROR(VLOOKUP($C122, covid_vlookup, HLOOKUP(D$1, covid_hlookup, 2, FALSE), FALSE), "No data")</f>
        <v>No data</v>
      </c>
      <c r="E122" s="2" t="str">
        <f>IFERROR(VLOOKUP($C122, covid_vlookup, HLOOKUP(E$1, covid_hlookup, 2, FALSE), FALSE), "No data")</f>
        <v>No data</v>
      </c>
      <c r="F122" s="2" t="str">
        <f>IFERROR(VLOOKUP($C122, covid_vlookup, HLOOKUP(F$1, covid_hlookup, 2, FALSE), FALSE), "No data")</f>
        <v>No data</v>
      </c>
      <c r="G122" s="2" t="str">
        <f>IFERROR(VLOOKUP($C122, covid_vlookup, HLOOKUP(G$1, covid_hlookup, 2, FALSE), FALSE), "No data")</f>
        <v>No data</v>
      </c>
      <c r="H122" s="2"/>
    </row>
    <row r="123">
      <c r="A123" s="3" t="s">
        <v>109</v>
      </c>
      <c r="B123" s="3" t="s">
        <v>39</v>
      </c>
      <c r="C123" s="3" t="s">
        <v>110</v>
      </c>
      <c r="D123" s="2">
        <f>IFERROR(VLOOKUP($C123, covid_vlookup, HLOOKUP(D$1, covid_hlookup, 2, FALSE), FALSE), "No data")</f>
        <v>29127</v>
      </c>
      <c r="E123" s="2">
        <f>IFERROR(VLOOKUP($C123, covid_vlookup, HLOOKUP(E$1, covid_hlookup, 2, FALSE), FALSE), "No data")</f>
        <v>395</v>
      </c>
      <c r="F123" s="2">
        <f>IFERROR(VLOOKUP($C123, covid_vlookup, HLOOKUP(F$1, covid_hlookup, 2, FALSE), FALSE), "No data")</f>
        <v>441539</v>
      </c>
      <c r="G123" s="2">
        <f>IFERROR(VLOOKUP($C123, covid_vlookup, HLOOKUP(G$1, covid_hlookup, 2, FALSE), FALSE), "No data")</f>
        <v>36513.323</v>
      </c>
      <c r="H123" s="2"/>
    </row>
    <row r="124">
      <c r="A124" s="3" t="s">
        <v>330</v>
      </c>
      <c r="B124" s="3" t="s">
        <v>145</v>
      </c>
      <c r="C124" s="3" t="s">
        <v>331</v>
      </c>
      <c r="D124" s="2" t="str">
        <f>IFERROR(VLOOKUP($C124, covid_vlookup, HLOOKUP(D$1, covid_hlookup, 2, FALSE), FALSE), "No data")</f>
        <v>No data</v>
      </c>
      <c r="E124" s="2" t="str">
        <f>IFERROR(VLOOKUP($C124, covid_vlookup, HLOOKUP(E$1, covid_hlookup, 2, FALSE), FALSE), "No data")</f>
        <v>No data</v>
      </c>
      <c r="F124" s="2" t="str">
        <f>IFERROR(VLOOKUP($C124, covid_vlookup, HLOOKUP(F$1, covid_hlookup, 2, FALSE), FALSE), "No data")</f>
        <v>No data</v>
      </c>
      <c r="G124" s="2" t="str">
        <f>IFERROR(VLOOKUP($C124, covid_vlookup, HLOOKUP(G$1, covid_hlookup, 2, FALSE), FALSE), "No data")</f>
        <v>No data</v>
      </c>
      <c r="H124" s="2"/>
    </row>
    <row r="125">
      <c r="A125" s="3" t="s">
        <v>332</v>
      </c>
      <c r="B125" s="3" t="s">
        <v>145</v>
      </c>
      <c r="C125" s="3" t="s">
        <v>333</v>
      </c>
      <c r="D125" s="2" t="str">
        <f>IFERROR(VLOOKUP($C125, covid_vlookup, HLOOKUP(D$1, covid_hlookup, 2, FALSE), FALSE), "No data")</f>
        <v>No data</v>
      </c>
      <c r="E125" s="2" t="str">
        <f>IFERROR(VLOOKUP($C125, covid_vlookup, HLOOKUP(E$1, covid_hlookup, 2, FALSE), FALSE), "No data")</f>
        <v>No data</v>
      </c>
      <c r="F125" s="2" t="str">
        <f>IFERROR(VLOOKUP($C125, covid_vlookup, HLOOKUP(F$1, covid_hlookup, 2, FALSE), FALSE), "No data")</f>
        <v>No data</v>
      </c>
      <c r="G125" s="2" t="str">
        <f>IFERROR(VLOOKUP($C125, covid_vlookup, HLOOKUP(G$1, covid_hlookup, 2, FALSE), FALSE), "No data")</f>
        <v>No data</v>
      </c>
      <c r="H125" s="2"/>
    </row>
    <row r="126">
      <c r="A126" s="3" t="s">
        <v>334</v>
      </c>
      <c r="B126" s="3" t="s">
        <v>150</v>
      </c>
      <c r="C126" s="3" t="s">
        <v>335</v>
      </c>
      <c r="D126" s="2" t="str">
        <f>IFERROR(VLOOKUP($C126, covid_vlookup, HLOOKUP(D$1, covid_hlookup, 2, FALSE), FALSE), "No data")</f>
        <v>No data</v>
      </c>
      <c r="E126" s="2" t="str">
        <f>IFERROR(VLOOKUP($C126, covid_vlookup, HLOOKUP(E$1, covid_hlookup, 2, FALSE), FALSE), "No data")</f>
        <v>No data</v>
      </c>
      <c r="F126" s="2" t="str">
        <f>IFERROR(VLOOKUP($C126, covid_vlookup, HLOOKUP(F$1, covid_hlookup, 2, FALSE), FALSE), "No data")</f>
        <v>No data</v>
      </c>
      <c r="G126" s="2" t="str">
        <f>IFERROR(VLOOKUP($C126, covid_vlookup, HLOOKUP(G$1, covid_hlookup, 2, FALSE), FALSE), "No data")</f>
        <v>No data</v>
      </c>
      <c r="H126" s="2"/>
    </row>
    <row r="127">
      <c r="A127" s="3" t="s">
        <v>105</v>
      </c>
      <c r="B127" s="3" t="s">
        <v>39</v>
      </c>
      <c r="C127" s="3" t="s">
        <v>106</v>
      </c>
      <c r="D127" s="2">
        <f>IFERROR(VLOOKUP($C127, covid_vlookup, HLOOKUP(D$1, covid_hlookup, 2, FALSE), FALSE), "No data")</f>
        <v>233136</v>
      </c>
      <c r="E127" s="2">
        <f>IFERROR(VLOOKUP($C127, covid_vlookup, HLOOKUP(E$1, covid_hlookup, 2, FALSE), FALSE), "No data")</f>
        <v>5048</v>
      </c>
      <c r="F127" s="2">
        <f>IFERROR(VLOOKUP($C127, covid_vlookup, HLOOKUP(F$1, covid_hlookup, 2, FALSE), FALSE), "No data")</f>
        <v>4033963</v>
      </c>
      <c r="G127" s="2">
        <f>IFERROR(VLOOKUP($C127, covid_vlookup, HLOOKUP(G$1, covid_hlookup, 2, FALSE), FALSE), "No data")</f>
        <v>5189.972</v>
      </c>
      <c r="H127" s="2"/>
    </row>
    <row r="128">
      <c r="A128" s="3" t="s">
        <v>103</v>
      </c>
      <c r="B128" s="3" t="s">
        <v>39</v>
      </c>
      <c r="C128" s="3" t="s">
        <v>104</v>
      </c>
      <c r="D128" s="2">
        <f>IFERROR(VLOOKUP($C128, covid_vlookup, HLOOKUP(D$1, covid_hlookup, 2, FALSE), FALSE), "No data")</f>
        <v>2320</v>
      </c>
      <c r="E128" s="2">
        <f>IFERROR(VLOOKUP($C128, covid_vlookup, HLOOKUP(E$1, covid_hlookup, 2, FALSE), FALSE), "No data")</f>
        <v>28</v>
      </c>
      <c r="F128" s="2">
        <f>IFERROR(VLOOKUP($C128, covid_vlookup, HLOOKUP(F$1, covid_hlookup, 2, FALSE), FALSE), "No data")</f>
        <v>39244</v>
      </c>
      <c r="G128" s="2" t="str">
        <f>IFERROR(VLOOKUP($C128, covid_vlookup, HLOOKUP(G$1, covid_hlookup, 2, FALSE), FALSE), "No data")</f>
        <v/>
      </c>
      <c r="H128" s="2"/>
    </row>
    <row r="129">
      <c r="A129" s="3" t="s">
        <v>336</v>
      </c>
      <c r="B129" s="3" t="s">
        <v>142</v>
      </c>
      <c r="C129" s="3" t="s">
        <v>337</v>
      </c>
      <c r="D129" s="2" t="str">
        <f>IFERROR(VLOOKUP($C129, covid_vlookup, HLOOKUP(D$1, covid_hlookup, 2, FALSE), FALSE), "No data")</f>
        <v>No data</v>
      </c>
      <c r="E129" s="2" t="str">
        <f>IFERROR(VLOOKUP($C129, covid_vlookup, HLOOKUP(E$1, covid_hlookup, 2, FALSE), FALSE), "No data")</f>
        <v>No data</v>
      </c>
      <c r="F129" s="2" t="str">
        <f>IFERROR(VLOOKUP($C129, covid_vlookup, HLOOKUP(F$1, covid_hlookup, 2, FALSE), FALSE), "No data")</f>
        <v>No data</v>
      </c>
      <c r="G129" s="2" t="str">
        <f>IFERROR(VLOOKUP($C129, covid_vlookup, HLOOKUP(G$1, covid_hlookup, 2, FALSE), FALSE), "No data")</f>
        <v>No data</v>
      </c>
      <c r="H129" s="2"/>
    </row>
    <row r="130">
      <c r="A130" s="3" t="s">
        <v>111</v>
      </c>
      <c r="B130" s="3" t="s">
        <v>39</v>
      </c>
      <c r="C130" s="3" t="s">
        <v>112</v>
      </c>
      <c r="D130" s="2">
        <f>IFERROR(VLOOKUP($C130, covid_vlookup, HLOOKUP(D$1, covid_hlookup, 2, FALSE), FALSE), "No data")</f>
        <v>91906</v>
      </c>
      <c r="E130" s="2">
        <f>IFERROR(VLOOKUP($C130, covid_vlookup, HLOOKUP(E$1, covid_hlookup, 2, FALSE), FALSE), "No data")</f>
        <v>1296</v>
      </c>
      <c r="F130" s="2">
        <f>IFERROR(VLOOKUP($C130, covid_vlookup, HLOOKUP(F$1, covid_hlookup, 2, FALSE), FALSE), "No data")</f>
        <v>628062</v>
      </c>
      <c r="G130" s="2">
        <f>IFERROR(VLOOKUP($C130, covid_vlookup, HLOOKUP(G$1, covid_hlookup, 2, FALSE), FALSE), "No data")</f>
        <v>16409.288</v>
      </c>
      <c r="H130" s="2"/>
    </row>
    <row r="131">
      <c r="A131" s="3" t="s">
        <v>338</v>
      </c>
      <c r="B131" s="3" t="s">
        <v>150</v>
      </c>
      <c r="C131" s="3" t="s">
        <v>339</v>
      </c>
      <c r="D131" s="2" t="str">
        <f>IFERROR(VLOOKUP($C131, covid_vlookup, HLOOKUP(D$1, covid_hlookup, 2, FALSE), FALSE), "No data")</f>
        <v>No data</v>
      </c>
      <c r="E131" s="2" t="str">
        <f>IFERROR(VLOOKUP($C131, covid_vlookup, HLOOKUP(E$1, covid_hlookup, 2, FALSE), FALSE), "No data")</f>
        <v>No data</v>
      </c>
      <c r="F131" s="2" t="str">
        <f>IFERROR(VLOOKUP($C131, covid_vlookup, HLOOKUP(F$1, covid_hlookup, 2, FALSE), FALSE), "No data")</f>
        <v>No data</v>
      </c>
      <c r="G131" s="2" t="str">
        <f>IFERROR(VLOOKUP($C131, covid_vlookup, HLOOKUP(G$1, covid_hlookup, 2, FALSE), FALSE), "No data")</f>
        <v>No data</v>
      </c>
      <c r="H131" s="2"/>
    </row>
    <row r="132">
      <c r="A132" s="3" t="s">
        <v>340</v>
      </c>
      <c r="B132" s="3" t="s">
        <v>145</v>
      </c>
      <c r="C132" s="3" t="s">
        <v>341</v>
      </c>
      <c r="D132" s="2" t="str">
        <f>IFERROR(VLOOKUP($C132, covid_vlookup, HLOOKUP(D$1, covid_hlookup, 2, FALSE), FALSE), "No data")</f>
        <v>No data</v>
      </c>
      <c r="E132" s="2" t="str">
        <f>IFERROR(VLOOKUP($C132, covid_vlookup, HLOOKUP(E$1, covid_hlookup, 2, FALSE), FALSE), "No data")</f>
        <v>No data</v>
      </c>
      <c r="F132" s="2" t="str">
        <f>IFERROR(VLOOKUP($C132, covid_vlookup, HLOOKUP(F$1, covid_hlookup, 2, FALSE), FALSE), "No data")</f>
        <v>No data</v>
      </c>
      <c r="G132" s="2" t="str">
        <f>IFERROR(VLOOKUP($C132, covid_vlookup, HLOOKUP(G$1, covid_hlookup, 2, FALSE), FALSE), "No data")</f>
        <v>No data</v>
      </c>
      <c r="H132" s="2"/>
    </row>
    <row r="133">
      <c r="A133" s="3" t="s">
        <v>342</v>
      </c>
      <c r="B133" s="3" t="s">
        <v>145</v>
      </c>
      <c r="C133" s="3" t="s">
        <v>343</v>
      </c>
      <c r="D133" s="2" t="str">
        <f>IFERROR(VLOOKUP($C133, covid_vlookup, HLOOKUP(D$1, covid_hlookup, 2, FALSE), FALSE), "No data")</f>
        <v>No data</v>
      </c>
      <c r="E133" s="2" t="str">
        <f>IFERROR(VLOOKUP($C133, covid_vlookup, HLOOKUP(E$1, covid_hlookup, 2, FALSE), FALSE), "No data")</f>
        <v>No data</v>
      </c>
      <c r="F133" s="2" t="str">
        <f>IFERROR(VLOOKUP($C133, covid_vlookup, HLOOKUP(F$1, covid_hlookup, 2, FALSE), FALSE), "No data")</f>
        <v>No data</v>
      </c>
      <c r="G133" s="2" t="str">
        <f>IFERROR(VLOOKUP($C133, covid_vlookup, HLOOKUP(G$1, covid_hlookup, 2, FALSE), FALSE), "No data")</f>
        <v>No data</v>
      </c>
      <c r="H133" s="2"/>
    </row>
    <row r="134">
      <c r="A134" s="3" t="s">
        <v>344</v>
      </c>
      <c r="B134" s="3" t="s">
        <v>142</v>
      </c>
      <c r="C134" s="3" t="s">
        <v>345</v>
      </c>
      <c r="D134" s="2" t="str">
        <f>IFERROR(VLOOKUP($C134, covid_vlookup, HLOOKUP(D$1, covid_hlookup, 2, FALSE), FALSE), "No data")</f>
        <v>No data</v>
      </c>
      <c r="E134" s="2" t="str">
        <f>IFERROR(VLOOKUP($C134, covid_vlookup, HLOOKUP(E$1, covid_hlookup, 2, FALSE), FALSE), "No data")</f>
        <v>No data</v>
      </c>
      <c r="F134" s="2" t="str">
        <f>IFERROR(VLOOKUP($C134, covid_vlookup, HLOOKUP(F$1, covid_hlookup, 2, FALSE), FALSE), "No data")</f>
        <v>No data</v>
      </c>
      <c r="G134" s="2" t="str">
        <f>IFERROR(VLOOKUP($C134, covid_vlookup, HLOOKUP(G$1, covid_hlookup, 2, FALSE), FALSE), "No data")</f>
        <v>No data</v>
      </c>
      <c r="H134" s="2"/>
    </row>
    <row r="135">
      <c r="A135" s="3" t="s">
        <v>346</v>
      </c>
      <c r="B135" s="3" t="s">
        <v>145</v>
      </c>
      <c r="C135" s="3" t="s">
        <v>347</v>
      </c>
      <c r="D135" s="2" t="str">
        <f>IFERROR(VLOOKUP($C135, covid_vlookup, HLOOKUP(D$1, covid_hlookup, 2, FALSE), FALSE), "No data")</f>
        <v>No data</v>
      </c>
      <c r="E135" s="2" t="str">
        <f>IFERROR(VLOOKUP($C135, covid_vlookup, HLOOKUP(E$1, covid_hlookup, 2, FALSE), FALSE), "No data")</f>
        <v>No data</v>
      </c>
      <c r="F135" s="2" t="str">
        <f>IFERROR(VLOOKUP($C135, covid_vlookup, HLOOKUP(F$1, covid_hlookup, 2, FALSE), FALSE), "No data")</f>
        <v>No data</v>
      </c>
      <c r="G135" s="2" t="str">
        <f>IFERROR(VLOOKUP($C135, covid_vlookup, HLOOKUP(G$1, covid_hlookup, 2, FALSE), FALSE), "No data")</f>
        <v>No data</v>
      </c>
      <c r="H135" s="2"/>
    </row>
    <row r="136">
      <c r="A136" s="3" t="s">
        <v>348</v>
      </c>
      <c r="B136" s="3" t="s">
        <v>142</v>
      </c>
      <c r="C136" s="3" t="s">
        <v>349</v>
      </c>
      <c r="D136" s="2" t="str">
        <f>IFERROR(VLOOKUP($C136, covid_vlookup, HLOOKUP(D$1, covid_hlookup, 2, FALSE), FALSE), "No data")</f>
        <v>No data</v>
      </c>
      <c r="E136" s="2" t="str">
        <f>IFERROR(VLOOKUP($C136, covid_vlookup, HLOOKUP(E$1, covid_hlookup, 2, FALSE), FALSE), "No data")</f>
        <v>No data</v>
      </c>
      <c r="F136" s="2" t="str">
        <f>IFERROR(VLOOKUP($C136, covid_vlookup, HLOOKUP(F$1, covid_hlookup, 2, FALSE), FALSE), "No data")</f>
        <v>No data</v>
      </c>
      <c r="G136" s="2" t="str">
        <f>IFERROR(VLOOKUP($C136, covid_vlookup, HLOOKUP(G$1, covid_hlookup, 2, FALSE), FALSE), "No data")</f>
        <v>No data</v>
      </c>
      <c r="H136" s="2"/>
    </row>
    <row r="137">
      <c r="A137" s="3" t="s">
        <v>113</v>
      </c>
      <c r="B137" s="3" t="s">
        <v>39</v>
      </c>
      <c r="C137" s="3" t="s">
        <v>114</v>
      </c>
      <c r="D137" s="2">
        <f>IFERROR(VLOOKUP($C137, covid_vlookup, HLOOKUP(D$1, covid_hlookup, 2, FALSE), FALSE), "No data")</f>
        <v>1308774</v>
      </c>
      <c r="E137" s="2">
        <f>IFERROR(VLOOKUP($C137, covid_vlookup, HLOOKUP(E$1, covid_hlookup, 2, FALSE), FALSE), "No data")</f>
        <v>16733</v>
      </c>
      <c r="F137" s="2">
        <f>IFERROR(VLOOKUP($C137, covid_vlookup, HLOOKUP(F$1, covid_hlookup, 2, FALSE), FALSE), "No data")</f>
        <v>17134873</v>
      </c>
      <c r="G137" s="2">
        <f>IFERROR(VLOOKUP($C137, covid_vlookup, HLOOKUP(G$1, covid_hlookup, 2, FALSE), FALSE), "No data")</f>
        <v>48472.545</v>
      </c>
      <c r="H137" s="2"/>
    </row>
    <row r="138">
      <c r="A138" s="3" t="s">
        <v>350</v>
      </c>
      <c r="B138" s="3" t="s">
        <v>162</v>
      </c>
      <c r="C138" s="3" t="s">
        <v>351</v>
      </c>
      <c r="D138" s="2" t="str">
        <f>IFERROR(VLOOKUP($C138, covid_vlookup, HLOOKUP(D$1, covid_hlookup, 2, FALSE), FALSE), "No data")</f>
        <v>No data</v>
      </c>
      <c r="E138" s="2" t="str">
        <f>IFERROR(VLOOKUP($C138, covid_vlookup, HLOOKUP(E$1, covid_hlookup, 2, FALSE), FALSE), "No data")</f>
        <v>No data</v>
      </c>
      <c r="F138" s="2" t="str">
        <f>IFERROR(VLOOKUP($C138, covid_vlookup, HLOOKUP(F$1, covid_hlookup, 2, FALSE), FALSE), "No data")</f>
        <v>No data</v>
      </c>
      <c r="G138" s="2" t="str">
        <f>IFERROR(VLOOKUP($C138, covid_vlookup, HLOOKUP(G$1, covid_hlookup, 2, FALSE), FALSE), "No data")</f>
        <v>No data</v>
      </c>
      <c r="H138" s="2"/>
    </row>
    <row r="139">
      <c r="A139" s="3" t="s">
        <v>352</v>
      </c>
      <c r="B139" s="3" t="s">
        <v>162</v>
      </c>
      <c r="C139" s="3" t="s">
        <v>353</v>
      </c>
      <c r="D139" s="2" t="str">
        <f>IFERROR(VLOOKUP($C139, covid_vlookup, HLOOKUP(D$1, covid_hlookup, 2, FALSE), FALSE), "No data")</f>
        <v>No data</v>
      </c>
      <c r="E139" s="2" t="str">
        <f>IFERROR(VLOOKUP($C139, covid_vlookup, HLOOKUP(E$1, covid_hlookup, 2, FALSE), FALSE), "No data")</f>
        <v>No data</v>
      </c>
      <c r="F139" s="2" t="str">
        <f>IFERROR(VLOOKUP($C139, covid_vlookup, HLOOKUP(F$1, covid_hlookup, 2, FALSE), FALSE), "No data")</f>
        <v>No data</v>
      </c>
      <c r="G139" s="2" t="str">
        <f>IFERROR(VLOOKUP($C139, covid_vlookup, HLOOKUP(G$1, covid_hlookup, 2, FALSE), FALSE), "No data")</f>
        <v>No data</v>
      </c>
      <c r="H139" s="2"/>
    </row>
    <row r="140">
      <c r="A140" s="3" t="s">
        <v>354</v>
      </c>
      <c r="B140" s="3" t="s">
        <v>150</v>
      </c>
      <c r="C140" s="3" t="s">
        <v>355</v>
      </c>
      <c r="D140" s="2" t="str">
        <f>IFERROR(VLOOKUP($C140, covid_vlookup, HLOOKUP(D$1, covid_hlookup, 2, FALSE), FALSE), "No data")</f>
        <v>No data</v>
      </c>
      <c r="E140" s="2" t="str">
        <f>IFERROR(VLOOKUP($C140, covid_vlookup, HLOOKUP(E$1, covid_hlookup, 2, FALSE), FALSE), "No data")</f>
        <v>No data</v>
      </c>
      <c r="F140" s="2" t="str">
        <f>IFERROR(VLOOKUP($C140, covid_vlookup, HLOOKUP(F$1, covid_hlookup, 2, FALSE), FALSE), "No data")</f>
        <v>No data</v>
      </c>
      <c r="G140" s="2" t="str">
        <f>IFERROR(VLOOKUP($C140, covid_vlookup, HLOOKUP(G$1, covid_hlookup, 2, FALSE), FALSE), "No data")</f>
        <v>No data</v>
      </c>
      <c r="H140" s="2"/>
    </row>
    <row r="141">
      <c r="A141" s="3" t="s">
        <v>356</v>
      </c>
      <c r="B141" s="3" t="s">
        <v>145</v>
      </c>
      <c r="C141" s="3" t="s">
        <v>357</v>
      </c>
      <c r="D141" s="2" t="str">
        <f>IFERROR(VLOOKUP($C141, covid_vlookup, HLOOKUP(D$1, covid_hlookup, 2, FALSE), FALSE), "No data")</f>
        <v>No data</v>
      </c>
      <c r="E141" s="2" t="str">
        <f>IFERROR(VLOOKUP($C141, covid_vlookup, HLOOKUP(E$1, covid_hlookup, 2, FALSE), FALSE), "No data")</f>
        <v>No data</v>
      </c>
      <c r="F141" s="2" t="str">
        <f>IFERROR(VLOOKUP($C141, covid_vlookup, HLOOKUP(F$1, covid_hlookup, 2, FALSE), FALSE), "No data")</f>
        <v>No data</v>
      </c>
      <c r="G141" s="2" t="str">
        <f>IFERROR(VLOOKUP($C141, covid_vlookup, HLOOKUP(G$1, covid_hlookup, 2, FALSE), FALSE), "No data")</f>
        <v>No data</v>
      </c>
      <c r="H141" s="2"/>
    </row>
    <row r="142">
      <c r="A142" s="3" t="s">
        <v>358</v>
      </c>
      <c r="B142" s="3" t="s">
        <v>145</v>
      </c>
      <c r="C142" s="3" t="s">
        <v>359</v>
      </c>
      <c r="D142" s="2" t="str">
        <f>IFERROR(VLOOKUP($C142, covid_vlookup, HLOOKUP(D$1, covid_hlookup, 2, FALSE), FALSE), "No data")</f>
        <v>No data</v>
      </c>
      <c r="E142" s="2" t="str">
        <f>IFERROR(VLOOKUP($C142, covid_vlookup, HLOOKUP(E$1, covid_hlookup, 2, FALSE), FALSE), "No data")</f>
        <v>No data</v>
      </c>
      <c r="F142" s="2" t="str">
        <f>IFERROR(VLOOKUP($C142, covid_vlookup, HLOOKUP(F$1, covid_hlookup, 2, FALSE), FALSE), "No data")</f>
        <v>No data</v>
      </c>
      <c r="G142" s="2" t="str">
        <f>IFERROR(VLOOKUP($C142, covid_vlookup, HLOOKUP(G$1, covid_hlookup, 2, FALSE), FALSE), "No data")</f>
        <v>No data</v>
      </c>
      <c r="H142" s="2"/>
    </row>
    <row r="143">
      <c r="A143" s="3" t="s">
        <v>360</v>
      </c>
      <c r="B143" s="3" t="s">
        <v>162</v>
      </c>
      <c r="C143" s="3" t="s">
        <v>361</v>
      </c>
      <c r="D143" s="2" t="str">
        <f>IFERROR(VLOOKUP($C143, covid_vlookup, HLOOKUP(D$1, covid_hlookup, 2, FALSE), FALSE), "No data")</f>
        <v>No data</v>
      </c>
      <c r="E143" s="2" t="str">
        <f>IFERROR(VLOOKUP($C143, covid_vlookup, HLOOKUP(E$1, covid_hlookup, 2, FALSE), FALSE), "No data")</f>
        <v>No data</v>
      </c>
      <c r="F143" s="2" t="str">
        <f>IFERROR(VLOOKUP($C143, covid_vlookup, HLOOKUP(F$1, covid_hlookup, 2, FALSE), FALSE), "No data")</f>
        <v>No data</v>
      </c>
      <c r="G143" s="2" t="str">
        <f>IFERROR(VLOOKUP($C143, covid_vlookup, HLOOKUP(G$1, covid_hlookup, 2, FALSE), FALSE), "No data")</f>
        <v>No data</v>
      </c>
      <c r="H143" s="2"/>
    </row>
    <row r="144">
      <c r="A144" s="3" t="s">
        <v>115</v>
      </c>
      <c r="B144" s="3" t="s">
        <v>39</v>
      </c>
      <c r="C144" s="3" t="s">
        <v>116</v>
      </c>
      <c r="D144" s="2">
        <f>IFERROR(VLOOKUP($C144, covid_vlookup, HLOOKUP(D$1, covid_hlookup, 2, FALSE), FALSE), "No data")</f>
        <v>97410</v>
      </c>
      <c r="E144" s="2">
        <f>IFERROR(VLOOKUP($C144, covid_vlookup, HLOOKUP(E$1, covid_hlookup, 2, FALSE), FALSE), "No data")</f>
        <v>673</v>
      </c>
      <c r="F144" s="2">
        <f>IFERROR(VLOOKUP($C144, covid_vlookup, HLOOKUP(F$1, covid_hlookup, 2, FALSE), FALSE), "No data")</f>
        <v>5421242</v>
      </c>
      <c r="G144" s="2">
        <f>IFERROR(VLOOKUP($C144, covid_vlookup, HLOOKUP(G$1, covid_hlookup, 2, FALSE), FALSE), "No data")</f>
        <v>64800.057</v>
      </c>
      <c r="H144" s="2"/>
    </row>
    <row r="145">
      <c r="A145" s="3" t="s">
        <v>362</v>
      </c>
      <c r="B145" s="3" t="s">
        <v>142</v>
      </c>
      <c r="C145" s="3" t="s">
        <v>363</v>
      </c>
      <c r="D145" s="2" t="str">
        <f>IFERROR(VLOOKUP($C145, covid_vlookup, HLOOKUP(D$1, covid_hlookup, 2, FALSE), FALSE), "No data")</f>
        <v>No data</v>
      </c>
      <c r="E145" s="2" t="str">
        <f>IFERROR(VLOOKUP($C145, covid_vlookup, HLOOKUP(E$1, covid_hlookup, 2, FALSE), FALSE), "No data")</f>
        <v>No data</v>
      </c>
      <c r="F145" s="2" t="str">
        <f>IFERROR(VLOOKUP($C145, covid_vlookup, HLOOKUP(F$1, covid_hlookup, 2, FALSE), FALSE), "No data")</f>
        <v>No data</v>
      </c>
      <c r="G145" s="2" t="str">
        <f>IFERROR(VLOOKUP($C145, covid_vlookup, HLOOKUP(G$1, covid_hlookup, 2, FALSE), FALSE), "No data")</f>
        <v>No data</v>
      </c>
      <c r="H145" s="2"/>
    </row>
    <row r="146">
      <c r="A146" s="3" t="s">
        <v>364</v>
      </c>
      <c r="B146" s="3" t="s">
        <v>142</v>
      </c>
      <c r="C146" s="3" t="s">
        <v>365</v>
      </c>
      <c r="D146" s="2" t="str">
        <f>IFERROR(VLOOKUP($C146, covid_vlookup, HLOOKUP(D$1, covid_hlookup, 2, FALSE), FALSE), "No data")</f>
        <v>No data</v>
      </c>
      <c r="E146" s="2" t="str">
        <f>IFERROR(VLOOKUP($C146, covid_vlookup, HLOOKUP(E$1, covid_hlookup, 2, FALSE), FALSE), "No data")</f>
        <v>No data</v>
      </c>
      <c r="F146" s="2" t="str">
        <f>IFERROR(VLOOKUP($C146, covid_vlookup, HLOOKUP(F$1, covid_hlookup, 2, FALSE), FALSE), "No data")</f>
        <v>No data</v>
      </c>
      <c r="G146" s="2" t="str">
        <f>IFERROR(VLOOKUP($C146, covid_vlookup, HLOOKUP(G$1, covid_hlookup, 2, FALSE), FALSE), "No data")</f>
        <v>No data</v>
      </c>
      <c r="H146" s="2"/>
    </row>
    <row r="147">
      <c r="A147" s="3" t="s">
        <v>366</v>
      </c>
      <c r="B147" s="3" t="s">
        <v>142</v>
      </c>
      <c r="C147" s="3" t="s">
        <v>367</v>
      </c>
      <c r="D147" s="2" t="str">
        <f>IFERROR(VLOOKUP($C147, covid_vlookup, HLOOKUP(D$1, covid_hlookup, 2, FALSE), FALSE), "No data")</f>
        <v>No data</v>
      </c>
      <c r="E147" s="2" t="str">
        <f>IFERROR(VLOOKUP($C147, covid_vlookup, HLOOKUP(E$1, covid_hlookup, 2, FALSE), FALSE), "No data")</f>
        <v>No data</v>
      </c>
      <c r="F147" s="2" t="str">
        <f>IFERROR(VLOOKUP($C147, covid_vlookup, HLOOKUP(F$1, covid_hlookup, 2, FALSE), FALSE), "No data")</f>
        <v>No data</v>
      </c>
      <c r="G147" s="2" t="str">
        <f>IFERROR(VLOOKUP($C147, covid_vlookup, HLOOKUP(G$1, covid_hlookup, 2, FALSE), FALSE), "No data")</f>
        <v>No data</v>
      </c>
      <c r="H147" s="2"/>
    </row>
    <row r="148">
      <c r="A148" s="3" t="s">
        <v>368</v>
      </c>
      <c r="B148" s="3" t="s">
        <v>150</v>
      </c>
      <c r="C148" s="3" t="s">
        <v>369</v>
      </c>
      <c r="D148" s="2" t="str">
        <f>IFERROR(VLOOKUP($C148, covid_vlookup, HLOOKUP(D$1, covid_hlookup, 2, FALSE), FALSE), "No data")</f>
        <v>No data</v>
      </c>
      <c r="E148" s="2" t="str">
        <f>IFERROR(VLOOKUP($C148, covid_vlookup, HLOOKUP(E$1, covid_hlookup, 2, FALSE), FALSE), "No data")</f>
        <v>No data</v>
      </c>
      <c r="F148" s="2" t="str">
        <f>IFERROR(VLOOKUP($C148, covid_vlookup, HLOOKUP(F$1, covid_hlookup, 2, FALSE), FALSE), "No data")</f>
        <v>No data</v>
      </c>
      <c r="G148" s="2" t="str">
        <f>IFERROR(VLOOKUP($C148, covid_vlookup, HLOOKUP(G$1, covid_hlookup, 2, FALSE), FALSE), "No data")</f>
        <v>No data</v>
      </c>
      <c r="H148" s="2"/>
    </row>
    <row r="149">
      <c r="A149" s="3" t="s">
        <v>370</v>
      </c>
      <c r="B149" s="3" t="s">
        <v>162</v>
      </c>
      <c r="C149" s="3" t="s">
        <v>371</v>
      </c>
      <c r="D149" s="2" t="str">
        <f>IFERROR(VLOOKUP($C149, covid_vlookup, HLOOKUP(D$1, covid_hlookup, 2, FALSE), FALSE), "No data")</f>
        <v>No data</v>
      </c>
      <c r="E149" s="2" t="str">
        <f>IFERROR(VLOOKUP($C149, covid_vlookup, HLOOKUP(E$1, covid_hlookup, 2, FALSE), FALSE), "No data")</f>
        <v>No data</v>
      </c>
      <c r="F149" s="2" t="str">
        <f>IFERROR(VLOOKUP($C149, covid_vlookup, HLOOKUP(F$1, covid_hlookup, 2, FALSE), FALSE), "No data")</f>
        <v>No data</v>
      </c>
      <c r="G149" s="2" t="str">
        <f>IFERROR(VLOOKUP($C149, covid_vlookup, HLOOKUP(G$1, covid_hlookup, 2, FALSE), FALSE), "No data")</f>
        <v>No data</v>
      </c>
      <c r="H149" s="2"/>
    </row>
    <row r="150">
      <c r="A150" s="3" t="s">
        <v>372</v>
      </c>
      <c r="B150" s="3" t="s">
        <v>155</v>
      </c>
      <c r="C150" s="3" t="s">
        <v>373</v>
      </c>
      <c r="D150" s="2" t="str">
        <f>IFERROR(VLOOKUP($C150, covid_vlookup, HLOOKUP(D$1, covid_hlookup, 2, FALSE), FALSE), "No data")</f>
        <v>No data</v>
      </c>
      <c r="E150" s="2" t="str">
        <f>IFERROR(VLOOKUP($C150, covid_vlookup, HLOOKUP(E$1, covid_hlookup, 2, FALSE), FALSE), "No data")</f>
        <v>No data</v>
      </c>
      <c r="F150" s="2" t="str">
        <f>IFERROR(VLOOKUP($C150, covid_vlookup, HLOOKUP(F$1, covid_hlookup, 2, FALSE), FALSE), "No data")</f>
        <v>No data</v>
      </c>
      <c r="G150" s="2" t="str">
        <f>IFERROR(VLOOKUP($C150, covid_vlookup, HLOOKUP(G$1, covid_hlookup, 2, FALSE), FALSE), "No data")</f>
        <v>No data</v>
      </c>
      <c r="H150" s="2"/>
    </row>
    <row r="151">
      <c r="A151" s="3" t="s">
        <v>374</v>
      </c>
      <c r="B151" s="3" t="s">
        <v>155</v>
      </c>
      <c r="C151" s="3" t="s">
        <v>375</v>
      </c>
      <c r="D151" s="2" t="str">
        <f>IFERROR(VLOOKUP($C151, covid_vlookup, HLOOKUP(D$1, covid_hlookup, 2, FALSE), FALSE), "No data")</f>
        <v>No data</v>
      </c>
      <c r="E151" s="2" t="str">
        <f>IFERROR(VLOOKUP($C151, covid_vlookup, HLOOKUP(E$1, covid_hlookup, 2, FALSE), FALSE), "No data")</f>
        <v>No data</v>
      </c>
      <c r="F151" s="2" t="str">
        <f>IFERROR(VLOOKUP($C151, covid_vlookup, HLOOKUP(F$1, covid_hlookup, 2, FALSE), FALSE), "No data")</f>
        <v>No data</v>
      </c>
      <c r="G151" s="2" t="str">
        <f>IFERROR(VLOOKUP($C151, covid_vlookup, HLOOKUP(G$1, covid_hlookup, 2, FALSE), FALSE), "No data")</f>
        <v>No data</v>
      </c>
      <c r="H151" s="2"/>
    </row>
    <row r="152">
      <c r="A152" s="3" t="s">
        <v>376</v>
      </c>
      <c r="B152" s="3" t="s">
        <v>142</v>
      </c>
      <c r="C152" s="3" t="s">
        <v>377</v>
      </c>
      <c r="D152" s="2" t="str">
        <f>IFERROR(VLOOKUP($C152, covid_vlookup, HLOOKUP(D$1, covid_hlookup, 2, FALSE), FALSE), "No data")</f>
        <v>No data</v>
      </c>
      <c r="E152" s="2" t="str">
        <f>IFERROR(VLOOKUP($C152, covid_vlookup, HLOOKUP(E$1, covid_hlookup, 2, FALSE), FALSE), "No data")</f>
        <v>No data</v>
      </c>
      <c r="F152" s="2" t="str">
        <f>IFERROR(VLOOKUP($C152, covid_vlookup, HLOOKUP(F$1, covid_hlookup, 2, FALSE), FALSE), "No data")</f>
        <v>No data</v>
      </c>
      <c r="G152" s="2" t="str">
        <f>IFERROR(VLOOKUP($C152, covid_vlookup, HLOOKUP(G$1, covid_hlookup, 2, FALSE), FALSE), "No data")</f>
        <v>No data</v>
      </c>
      <c r="H152" s="2"/>
    </row>
    <row r="153">
      <c r="A153" s="3" t="s">
        <v>119</v>
      </c>
      <c r="B153" s="3" t="s">
        <v>39</v>
      </c>
      <c r="C153" s="3" t="s">
        <v>120</v>
      </c>
      <c r="D153" s="2">
        <f>IFERROR(VLOOKUP($C153, covid_vlookup, HLOOKUP(D$1, covid_hlookup, 2, FALSE), FALSE), "No data")</f>
        <v>2387511</v>
      </c>
      <c r="E153" s="2">
        <f>IFERROR(VLOOKUP($C153, covid_vlookup, HLOOKUP(E$1, covid_hlookup, 2, FALSE), FALSE), "No data")</f>
        <v>54165</v>
      </c>
      <c r="F153" s="2">
        <f>IFERROR(VLOOKUP($C153, covid_vlookup, HLOOKUP(F$1, covid_hlookup, 2, FALSE), FALSE), "No data")</f>
        <v>37846605</v>
      </c>
      <c r="G153" s="2">
        <f>IFERROR(VLOOKUP($C153, covid_vlookup, HLOOKUP(G$1, covid_hlookup, 2, FALSE), FALSE), "No data")</f>
        <v>27216.445</v>
      </c>
      <c r="H153" s="2"/>
    </row>
    <row r="154">
      <c r="A154" s="3" t="s">
        <v>121</v>
      </c>
      <c r="B154" s="3" t="s">
        <v>39</v>
      </c>
      <c r="C154" s="3" t="s">
        <v>122</v>
      </c>
      <c r="D154" s="2">
        <f>IFERROR(VLOOKUP($C154, covid_vlookup, HLOOKUP(D$1, covid_hlookup, 2, FALSE), FALSE), "No data")</f>
        <v>822862</v>
      </c>
      <c r="E154" s="2">
        <f>IFERROR(VLOOKUP($C154, covid_vlookup, HLOOKUP(E$1, covid_hlookup, 2, FALSE), FALSE), "No data")</f>
        <v>16868</v>
      </c>
      <c r="F154" s="2">
        <f>IFERROR(VLOOKUP($C154, covid_vlookup, HLOOKUP(F$1, covid_hlookup, 2, FALSE), FALSE), "No data")</f>
        <v>10196707</v>
      </c>
      <c r="G154" s="2">
        <f>IFERROR(VLOOKUP($C154, covid_vlookup, HLOOKUP(G$1, covid_hlookup, 2, FALSE), FALSE), "No data")</f>
        <v>27936.896</v>
      </c>
      <c r="H154" s="2"/>
    </row>
    <row r="155">
      <c r="A155" s="3" t="s">
        <v>378</v>
      </c>
      <c r="B155" s="3" t="s">
        <v>150</v>
      </c>
      <c r="C155" s="3" t="s">
        <v>379</v>
      </c>
      <c r="D155" s="2" t="str">
        <f>IFERROR(VLOOKUP($C155, covid_vlookup, HLOOKUP(D$1, covid_hlookup, 2, FALSE), FALSE), "No data")</f>
        <v>No data</v>
      </c>
      <c r="E155" s="2" t="str">
        <f>IFERROR(VLOOKUP($C155, covid_vlookup, HLOOKUP(E$1, covid_hlookup, 2, FALSE), FALSE), "No data")</f>
        <v>No data</v>
      </c>
      <c r="F155" s="2" t="str">
        <f>IFERROR(VLOOKUP($C155, covid_vlookup, HLOOKUP(F$1, covid_hlookup, 2, FALSE), FALSE), "No data")</f>
        <v>No data</v>
      </c>
      <c r="G155" s="2" t="str">
        <f>IFERROR(VLOOKUP($C155, covid_vlookup, HLOOKUP(G$1, covid_hlookup, 2, FALSE), FALSE), "No data")</f>
        <v>No data</v>
      </c>
      <c r="H155" s="2"/>
    </row>
    <row r="156">
      <c r="A156" s="3" t="s">
        <v>380</v>
      </c>
      <c r="B156" s="3" t="s">
        <v>142</v>
      </c>
      <c r="C156" s="3" t="s">
        <v>381</v>
      </c>
      <c r="D156" s="2" t="str">
        <f>IFERROR(VLOOKUP($C156, covid_vlookup, HLOOKUP(D$1, covid_hlookup, 2, FALSE), FALSE), "No data")</f>
        <v>No data</v>
      </c>
      <c r="E156" s="2" t="str">
        <f>IFERROR(VLOOKUP($C156, covid_vlookup, HLOOKUP(E$1, covid_hlookup, 2, FALSE), FALSE), "No data")</f>
        <v>No data</v>
      </c>
      <c r="F156" s="2" t="str">
        <f>IFERROR(VLOOKUP($C156, covid_vlookup, HLOOKUP(F$1, covid_hlookup, 2, FALSE), FALSE), "No data")</f>
        <v>No data</v>
      </c>
      <c r="G156" s="2" t="str">
        <f>IFERROR(VLOOKUP($C156, covid_vlookup, HLOOKUP(G$1, covid_hlookup, 2, FALSE), FALSE), "No data")</f>
        <v>No data</v>
      </c>
      <c r="H156" s="2"/>
    </row>
    <row r="157">
      <c r="A157" s="3" t="s">
        <v>123</v>
      </c>
      <c r="B157" s="3" t="s">
        <v>39</v>
      </c>
      <c r="C157" s="3" t="s">
        <v>124</v>
      </c>
      <c r="D157" s="2">
        <f>IFERROR(VLOOKUP($C157, covid_vlookup, HLOOKUP(D$1, covid_hlookup, 2, FALSE), FALSE), "No data")</f>
        <v>964726</v>
      </c>
      <c r="E157" s="2">
        <f>IFERROR(VLOOKUP($C157, covid_vlookup, HLOOKUP(E$1, covid_hlookup, 2, FALSE), FALSE), "No data")</f>
        <v>23819</v>
      </c>
      <c r="F157" s="2">
        <f>IFERROR(VLOOKUP($C157, covid_vlookup, HLOOKUP(F$1, covid_hlookup, 2, FALSE), FALSE), "No data")</f>
        <v>19237682</v>
      </c>
      <c r="G157" s="2">
        <f>IFERROR(VLOOKUP($C157, covid_vlookup, HLOOKUP(G$1, covid_hlookup, 2, FALSE), FALSE), "No data")</f>
        <v>23313.199</v>
      </c>
      <c r="H157" s="2"/>
    </row>
    <row r="158">
      <c r="A158" s="3" t="s">
        <v>125</v>
      </c>
      <c r="B158" s="3" t="s">
        <v>39</v>
      </c>
      <c r="C158" s="3" t="s">
        <v>126</v>
      </c>
      <c r="D158" s="2">
        <f>IFERROR(VLOOKUP($C158, covid_vlookup, HLOOKUP(D$1, covid_hlookup, 2, FALSE), FALSE), "No data")</f>
        <v>4511973</v>
      </c>
      <c r="E158" s="2">
        <f>IFERROR(VLOOKUP($C158, covid_vlookup, HLOOKUP(E$1, covid_hlookup, 2, FALSE), FALSE), "No data")</f>
        <v>97986</v>
      </c>
      <c r="F158" s="2">
        <f>IFERROR(VLOOKUP($C158, covid_vlookup, HLOOKUP(F$1, covid_hlookup, 2, FALSE), FALSE), "No data")</f>
        <v>145934460</v>
      </c>
      <c r="G158" s="2">
        <f>IFERROR(VLOOKUP($C158, covid_vlookup, HLOOKUP(G$1, covid_hlookup, 2, FALSE), FALSE), "No data")</f>
        <v>24765.954</v>
      </c>
      <c r="H158" s="2"/>
    </row>
    <row r="159">
      <c r="A159" s="3" t="s">
        <v>382</v>
      </c>
      <c r="B159" s="3" t="s">
        <v>145</v>
      </c>
      <c r="C159" s="3" t="s">
        <v>383</v>
      </c>
      <c r="D159" s="2" t="str">
        <f>IFERROR(VLOOKUP($C159, covid_vlookup, HLOOKUP(D$1, covid_hlookup, 2, FALSE), FALSE), "No data")</f>
        <v>No data</v>
      </c>
      <c r="E159" s="2" t="str">
        <f>IFERROR(VLOOKUP($C159, covid_vlookup, HLOOKUP(E$1, covid_hlookup, 2, FALSE), FALSE), "No data")</f>
        <v>No data</v>
      </c>
      <c r="F159" s="2" t="str">
        <f>IFERROR(VLOOKUP($C159, covid_vlookup, HLOOKUP(F$1, covid_hlookup, 2, FALSE), FALSE), "No data")</f>
        <v>No data</v>
      </c>
      <c r="G159" s="2" t="str">
        <f>IFERROR(VLOOKUP($C159, covid_vlookup, HLOOKUP(G$1, covid_hlookup, 2, FALSE), FALSE), "No data")</f>
        <v>No data</v>
      </c>
      <c r="H159" s="2"/>
    </row>
    <row r="160">
      <c r="A160" s="3" t="s">
        <v>384</v>
      </c>
      <c r="B160" s="3" t="s">
        <v>150</v>
      </c>
      <c r="C160" s="3" t="s">
        <v>385</v>
      </c>
      <c r="D160" s="2" t="str">
        <f>IFERROR(VLOOKUP($C160, covid_vlookup, HLOOKUP(D$1, covid_hlookup, 2, FALSE), FALSE), "No data")</f>
        <v>No data</v>
      </c>
      <c r="E160" s="2" t="str">
        <f>IFERROR(VLOOKUP($C160, covid_vlookup, HLOOKUP(E$1, covid_hlookup, 2, FALSE), FALSE), "No data")</f>
        <v>No data</v>
      </c>
      <c r="F160" s="2" t="str">
        <f>IFERROR(VLOOKUP($C160, covid_vlookup, HLOOKUP(F$1, covid_hlookup, 2, FALSE), FALSE), "No data")</f>
        <v>No data</v>
      </c>
      <c r="G160" s="2" t="str">
        <f>IFERROR(VLOOKUP($C160, covid_vlookup, HLOOKUP(G$1, covid_hlookup, 2, FALSE), FALSE), "No data")</f>
        <v>No data</v>
      </c>
      <c r="H160" s="2"/>
    </row>
    <row r="161">
      <c r="A161" s="3" t="s">
        <v>386</v>
      </c>
      <c r="B161" s="3" t="s">
        <v>150</v>
      </c>
      <c r="C161" s="3" t="s">
        <v>387</v>
      </c>
      <c r="D161" s="2" t="str">
        <f>IFERROR(VLOOKUP($C161, covid_vlookup, HLOOKUP(D$1, covid_hlookup, 2, FALSE), FALSE), "No data")</f>
        <v>No data</v>
      </c>
      <c r="E161" s="2" t="str">
        <f>IFERROR(VLOOKUP($C161, covid_vlookup, HLOOKUP(E$1, covid_hlookup, 2, FALSE), FALSE), "No data")</f>
        <v>No data</v>
      </c>
      <c r="F161" s="2" t="str">
        <f>IFERROR(VLOOKUP($C161, covid_vlookup, HLOOKUP(F$1, covid_hlookup, 2, FALSE), FALSE), "No data")</f>
        <v>No data</v>
      </c>
      <c r="G161" s="2" t="str">
        <f>IFERROR(VLOOKUP($C161, covid_vlookup, HLOOKUP(G$1, covid_hlookup, 2, FALSE), FALSE), "No data")</f>
        <v>No data</v>
      </c>
      <c r="H161" s="2"/>
    </row>
    <row r="162">
      <c r="A162" s="3" t="s">
        <v>388</v>
      </c>
      <c r="B162" s="3" t="s">
        <v>150</v>
      </c>
      <c r="C162" s="3" t="s">
        <v>389</v>
      </c>
      <c r="D162" s="2" t="str">
        <f>IFERROR(VLOOKUP($C162, covid_vlookup, HLOOKUP(D$1, covid_hlookup, 2, FALSE), FALSE), "No data")</f>
        <v>No data</v>
      </c>
      <c r="E162" s="2" t="str">
        <f>IFERROR(VLOOKUP($C162, covid_vlookup, HLOOKUP(E$1, covid_hlookup, 2, FALSE), FALSE), "No data")</f>
        <v>No data</v>
      </c>
      <c r="F162" s="2" t="str">
        <f>IFERROR(VLOOKUP($C162, covid_vlookup, HLOOKUP(F$1, covid_hlookup, 2, FALSE), FALSE), "No data")</f>
        <v>No data</v>
      </c>
      <c r="G162" s="2" t="str">
        <f>IFERROR(VLOOKUP($C162, covid_vlookup, HLOOKUP(G$1, covid_hlookup, 2, FALSE), FALSE), "No data")</f>
        <v>No data</v>
      </c>
      <c r="H162" s="2"/>
    </row>
    <row r="163">
      <c r="A163" s="3" t="s">
        <v>127</v>
      </c>
      <c r="B163" s="3" t="s">
        <v>39</v>
      </c>
      <c r="C163" s="3" t="s">
        <v>128</v>
      </c>
      <c r="D163" s="2">
        <f>IFERROR(VLOOKUP($C163, covid_vlookup, HLOOKUP(D$1, covid_hlookup, 2, FALSE), FALSE), "No data")</f>
        <v>4775</v>
      </c>
      <c r="E163" s="2">
        <f>IFERROR(VLOOKUP($C163, covid_vlookup, HLOOKUP(E$1, covid_hlookup, 2, FALSE), FALSE), "No data")</f>
        <v>84</v>
      </c>
      <c r="F163" s="2">
        <f>IFERROR(VLOOKUP($C163, covid_vlookup, HLOOKUP(F$1, covid_hlookup, 2, FALSE), FALSE), "No data")</f>
        <v>33938</v>
      </c>
      <c r="G163" s="2">
        <f>IFERROR(VLOOKUP($C163, covid_vlookup, HLOOKUP(G$1, covid_hlookup, 2, FALSE), FALSE), "No data")</f>
        <v>56861.47</v>
      </c>
      <c r="H163" s="2"/>
    </row>
    <row r="164">
      <c r="A164" s="3" t="s">
        <v>390</v>
      </c>
      <c r="B164" s="3" t="s">
        <v>145</v>
      </c>
      <c r="C164" s="3" t="s">
        <v>391</v>
      </c>
      <c r="D164" s="2" t="str">
        <f>IFERROR(VLOOKUP($C164, covid_vlookup, HLOOKUP(D$1, covid_hlookup, 2, FALSE), FALSE), "No data")</f>
        <v>No data</v>
      </c>
      <c r="E164" s="2" t="str">
        <f>IFERROR(VLOOKUP($C164, covid_vlookup, HLOOKUP(E$1, covid_hlookup, 2, FALSE), FALSE), "No data")</f>
        <v>No data</v>
      </c>
      <c r="F164" s="2" t="str">
        <f>IFERROR(VLOOKUP($C164, covid_vlookup, HLOOKUP(F$1, covid_hlookup, 2, FALSE), FALSE), "No data")</f>
        <v>No data</v>
      </c>
      <c r="G164" s="2" t="str">
        <f>IFERROR(VLOOKUP($C164, covid_vlookup, HLOOKUP(G$1, covid_hlookup, 2, FALSE), FALSE), "No data")</f>
        <v>No data</v>
      </c>
      <c r="H164" s="2"/>
    </row>
    <row r="165">
      <c r="A165" s="3" t="s">
        <v>392</v>
      </c>
      <c r="B165" s="3" t="s">
        <v>142</v>
      </c>
      <c r="C165" s="3" t="s">
        <v>393</v>
      </c>
      <c r="D165" s="2" t="str">
        <f>IFERROR(VLOOKUP($C165, covid_vlookup, HLOOKUP(D$1, covid_hlookup, 2, FALSE), FALSE), "No data")</f>
        <v>No data</v>
      </c>
      <c r="E165" s="2" t="str">
        <f>IFERROR(VLOOKUP($C165, covid_vlookup, HLOOKUP(E$1, covid_hlookup, 2, FALSE), FALSE), "No data")</f>
        <v>No data</v>
      </c>
      <c r="F165" s="2" t="str">
        <f>IFERROR(VLOOKUP($C165, covid_vlookup, HLOOKUP(F$1, covid_hlookup, 2, FALSE), FALSE), "No data")</f>
        <v>No data</v>
      </c>
      <c r="G165" s="2" t="str">
        <f>IFERROR(VLOOKUP($C165, covid_vlookup, HLOOKUP(G$1, covid_hlookup, 2, FALSE), FALSE), "No data")</f>
        <v>No data</v>
      </c>
      <c r="H165" s="2"/>
    </row>
    <row r="166">
      <c r="A166" s="3" t="s">
        <v>394</v>
      </c>
      <c r="B166" s="3" t="s">
        <v>145</v>
      </c>
      <c r="C166" s="3" t="s">
        <v>395</v>
      </c>
      <c r="D166" s="2" t="str">
        <f>IFERROR(VLOOKUP($C166, covid_vlookup, HLOOKUP(D$1, covid_hlookup, 2, FALSE), FALSE), "No data")</f>
        <v>No data</v>
      </c>
      <c r="E166" s="2" t="str">
        <f>IFERROR(VLOOKUP($C166, covid_vlookup, HLOOKUP(E$1, covid_hlookup, 2, FALSE), FALSE), "No data")</f>
        <v>No data</v>
      </c>
      <c r="F166" s="2" t="str">
        <f>IFERROR(VLOOKUP($C166, covid_vlookup, HLOOKUP(F$1, covid_hlookup, 2, FALSE), FALSE), "No data")</f>
        <v>No data</v>
      </c>
      <c r="G166" s="2" t="str">
        <f>IFERROR(VLOOKUP($C166, covid_vlookup, HLOOKUP(G$1, covid_hlookup, 2, FALSE), FALSE), "No data")</f>
        <v>No data</v>
      </c>
      <c r="H166" s="2"/>
    </row>
    <row r="167">
      <c r="A167" s="3" t="s">
        <v>129</v>
      </c>
      <c r="B167" s="3" t="s">
        <v>39</v>
      </c>
      <c r="C167" s="3" t="s">
        <v>130</v>
      </c>
      <c r="D167" s="2">
        <f>IFERROR(VLOOKUP($C167, covid_vlookup, HLOOKUP(D$1, covid_hlookup, 2, FALSE), FALSE), "No data")</f>
        <v>610232</v>
      </c>
      <c r="E167" s="2">
        <f>IFERROR(VLOOKUP($C167, covid_vlookup, HLOOKUP(E$1, covid_hlookup, 2, FALSE), FALSE), "No data")</f>
        <v>5384</v>
      </c>
      <c r="F167" s="2">
        <f>IFERROR(VLOOKUP($C167, covid_vlookup, HLOOKUP(F$1, covid_hlookup, 2, FALSE), FALSE), "No data")</f>
        <v>6804596</v>
      </c>
      <c r="G167" s="2">
        <f>IFERROR(VLOOKUP($C167, covid_vlookup, HLOOKUP(G$1, covid_hlookup, 2, FALSE), FALSE), "No data")</f>
        <v>14048.881</v>
      </c>
      <c r="H167" s="2"/>
    </row>
    <row r="168">
      <c r="A168" s="3" t="s">
        <v>396</v>
      </c>
      <c r="B168" s="3" t="s">
        <v>145</v>
      </c>
      <c r="C168" s="3" t="s">
        <v>397</v>
      </c>
      <c r="D168" s="2" t="str">
        <f>IFERROR(VLOOKUP($C168, covid_vlookup, HLOOKUP(D$1, covid_hlookup, 2, FALSE), FALSE), "No data")</f>
        <v>No data</v>
      </c>
      <c r="E168" s="2" t="str">
        <f>IFERROR(VLOOKUP($C168, covid_vlookup, HLOOKUP(E$1, covid_hlookup, 2, FALSE), FALSE), "No data")</f>
        <v>No data</v>
      </c>
      <c r="F168" s="2" t="str">
        <f>IFERROR(VLOOKUP($C168, covid_vlookup, HLOOKUP(F$1, covid_hlookup, 2, FALSE), FALSE), "No data")</f>
        <v>No data</v>
      </c>
      <c r="G168" s="2" t="str">
        <f>IFERROR(VLOOKUP($C168, covid_vlookup, HLOOKUP(G$1, covid_hlookup, 2, FALSE), FALSE), "No data")</f>
        <v>No data</v>
      </c>
      <c r="H168" s="2"/>
    </row>
    <row r="169">
      <c r="A169" s="3" t="s">
        <v>398</v>
      </c>
      <c r="B169" s="3" t="s">
        <v>145</v>
      </c>
      <c r="C169" s="3" t="s">
        <v>399</v>
      </c>
      <c r="D169" s="2" t="str">
        <f>IFERROR(VLOOKUP($C169, covid_vlookup, HLOOKUP(D$1, covid_hlookup, 2, FALSE), FALSE), "No data")</f>
        <v>No data</v>
      </c>
      <c r="E169" s="2" t="str">
        <f>IFERROR(VLOOKUP($C169, covid_vlookup, HLOOKUP(E$1, covid_hlookup, 2, FALSE), FALSE), "No data")</f>
        <v>No data</v>
      </c>
      <c r="F169" s="2" t="str">
        <f>IFERROR(VLOOKUP($C169, covid_vlookup, HLOOKUP(F$1, covid_hlookup, 2, FALSE), FALSE), "No data")</f>
        <v>No data</v>
      </c>
      <c r="G169" s="2" t="str">
        <f>IFERROR(VLOOKUP($C169, covid_vlookup, HLOOKUP(G$1, covid_hlookup, 2, FALSE), FALSE), "No data")</f>
        <v>No data</v>
      </c>
      <c r="H169" s="2"/>
    </row>
    <row r="170">
      <c r="A170" s="3" t="s">
        <v>400</v>
      </c>
      <c r="B170" s="3" t="s">
        <v>142</v>
      </c>
      <c r="C170" s="3" t="s">
        <v>401</v>
      </c>
      <c r="D170" s="2" t="str">
        <f>IFERROR(VLOOKUP($C170, covid_vlookup, HLOOKUP(D$1, covid_hlookup, 2, FALSE), FALSE), "No data")</f>
        <v>No data</v>
      </c>
      <c r="E170" s="2" t="str">
        <f>IFERROR(VLOOKUP($C170, covid_vlookup, HLOOKUP(E$1, covid_hlookup, 2, FALSE), FALSE), "No data")</f>
        <v>No data</v>
      </c>
      <c r="F170" s="2" t="str">
        <f>IFERROR(VLOOKUP($C170, covid_vlookup, HLOOKUP(F$1, covid_hlookup, 2, FALSE), FALSE), "No data")</f>
        <v>No data</v>
      </c>
      <c r="G170" s="2" t="str">
        <f>IFERROR(VLOOKUP($C170, covid_vlookup, HLOOKUP(G$1, covid_hlookup, 2, FALSE), FALSE), "No data")</f>
        <v>No data</v>
      </c>
      <c r="H170" s="2"/>
    </row>
    <row r="171">
      <c r="A171" s="3" t="s">
        <v>402</v>
      </c>
      <c r="B171" s="3" t="s">
        <v>150</v>
      </c>
      <c r="C171" s="3" t="s">
        <v>403</v>
      </c>
      <c r="D171" s="2" t="str">
        <f>IFERROR(VLOOKUP($C171, covid_vlookup, HLOOKUP(D$1, covid_hlookup, 2, FALSE), FALSE), "No data")</f>
        <v>No data</v>
      </c>
      <c r="E171" s="2" t="str">
        <f>IFERROR(VLOOKUP($C171, covid_vlookup, HLOOKUP(E$1, covid_hlookup, 2, FALSE), FALSE), "No data")</f>
        <v>No data</v>
      </c>
      <c r="F171" s="2" t="str">
        <f>IFERROR(VLOOKUP($C171, covid_vlookup, HLOOKUP(F$1, covid_hlookup, 2, FALSE), FALSE), "No data")</f>
        <v>No data</v>
      </c>
      <c r="G171" s="2" t="str">
        <f>IFERROR(VLOOKUP($C171, covid_vlookup, HLOOKUP(G$1, covid_hlookup, 2, FALSE), FALSE), "No data")</f>
        <v>No data</v>
      </c>
      <c r="H171" s="2"/>
    </row>
    <row r="172">
      <c r="A172" s="3" t="s">
        <v>131</v>
      </c>
      <c r="B172" s="3" t="s">
        <v>39</v>
      </c>
      <c r="C172" s="3" t="s">
        <v>132</v>
      </c>
      <c r="D172" s="2">
        <f>IFERROR(VLOOKUP($C172, covid_vlookup, HLOOKUP(D$1, covid_hlookup, 2, FALSE), FALSE), "No data")</f>
        <v>363874</v>
      </c>
      <c r="E172" s="2">
        <f>IFERROR(VLOOKUP($C172, covid_vlookup, HLOOKUP(E$1, covid_hlookup, 2, FALSE), FALSE), "No data")</f>
        <v>9877</v>
      </c>
      <c r="F172" s="2">
        <f>IFERROR(VLOOKUP($C172, covid_vlookup, HLOOKUP(F$1, covid_hlookup, 2, FALSE), FALSE), "No data")</f>
        <v>5459643</v>
      </c>
      <c r="G172" s="2">
        <f>IFERROR(VLOOKUP($C172, covid_vlookup, HLOOKUP(G$1, covid_hlookup, 2, FALSE), FALSE), "No data")</f>
        <v>30155.152</v>
      </c>
      <c r="H172" s="2"/>
    </row>
    <row r="173">
      <c r="A173" s="3" t="s">
        <v>133</v>
      </c>
      <c r="B173" s="3" t="s">
        <v>39</v>
      </c>
      <c r="C173" s="3" t="s">
        <v>134</v>
      </c>
      <c r="D173" s="2">
        <f>IFERROR(VLOOKUP($C173, covid_vlookup, HLOOKUP(D$1, covid_hlookup, 2, FALSE), FALSE), "No data")</f>
        <v>218114</v>
      </c>
      <c r="E173" s="2">
        <f>IFERROR(VLOOKUP($C173, covid_vlookup, HLOOKUP(E$1, covid_hlookup, 2, FALSE), FALSE), "No data")</f>
        <v>4063</v>
      </c>
      <c r="F173" s="2">
        <f>IFERROR(VLOOKUP($C173, covid_vlookup, HLOOKUP(F$1, covid_hlookup, 2, FALSE), FALSE), "No data")</f>
        <v>2078932</v>
      </c>
      <c r="G173" s="2">
        <f>IFERROR(VLOOKUP($C173, covid_vlookup, HLOOKUP(G$1, covid_hlookup, 2, FALSE), FALSE), "No data")</f>
        <v>31400.84</v>
      </c>
      <c r="H173" s="2"/>
    </row>
    <row r="174">
      <c r="A174" s="3" t="s">
        <v>404</v>
      </c>
      <c r="B174" s="3" t="s">
        <v>145</v>
      </c>
      <c r="C174" s="3" t="s">
        <v>405</v>
      </c>
      <c r="D174" s="2" t="str">
        <f>IFERROR(VLOOKUP($C174, covid_vlookup, HLOOKUP(D$1, covid_hlookup, 2, FALSE), FALSE), "No data")</f>
        <v>No data</v>
      </c>
      <c r="E174" s="2" t="str">
        <f>IFERROR(VLOOKUP($C174, covid_vlookup, HLOOKUP(E$1, covid_hlookup, 2, FALSE), FALSE), "No data")</f>
        <v>No data</v>
      </c>
      <c r="F174" s="2" t="str">
        <f>IFERROR(VLOOKUP($C174, covid_vlookup, HLOOKUP(F$1, covid_hlookup, 2, FALSE), FALSE), "No data")</f>
        <v>No data</v>
      </c>
      <c r="G174" s="2" t="str">
        <f>IFERROR(VLOOKUP($C174, covid_vlookup, HLOOKUP(G$1, covid_hlookup, 2, FALSE), FALSE), "No data")</f>
        <v>No data</v>
      </c>
      <c r="H174" s="2"/>
    </row>
    <row r="175">
      <c r="A175" s="3" t="s">
        <v>406</v>
      </c>
      <c r="B175" s="3" t="s">
        <v>145</v>
      </c>
      <c r="C175" s="3" t="s">
        <v>407</v>
      </c>
      <c r="D175" s="2" t="str">
        <f>IFERROR(VLOOKUP($C175, covid_vlookup, HLOOKUP(D$1, covid_hlookup, 2, FALSE), FALSE), "No data")</f>
        <v>No data</v>
      </c>
      <c r="E175" s="2" t="str">
        <f>IFERROR(VLOOKUP($C175, covid_vlookup, HLOOKUP(E$1, covid_hlookup, 2, FALSE), FALSE), "No data")</f>
        <v>No data</v>
      </c>
      <c r="F175" s="2" t="str">
        <f>IFERROR(VLOOKUP($C175, covid_vlookup, HLOOKUP(F$1, covid_hlookup, 2, FALSE), FALSE), "No data")</f>
        <v>No data</v>
      </c>
      <c r="G175" s="2" t="str">
        <f>IFERROR(VLOOKUP($C175, covid_vlookup, HLOOKUP(G$1, covid_hlookup, 2, FALSE), FALSE), "No data")</f>
        <v>No data</v>
      </c>
      <c r="H175" s="2"/>
    </row>
    <row r="176">
      <c r="A176" s="3" t="s">
        <v>408</v>
      </c>
      <c r="B176" s="3" t="s">
        <v>142</v>
      </c>
      <c r="C176" s="3" t="s">
        <v>409</v>
      </c>
      <c r="D176" s="2" t="str">
        <f>IFERROR(VLOOKUP($C176, covid_vlookup, HLOOKUP(D$1, covid_hlookup, 2, FALSE), FALSE), "No data")</f>
        <v>No data</v>
      </c>
      <c r="E176" s="2" t="str">
        <f>IFERROR(VLOOKUP($C176, covid_vlookup, HLOOKUP(E$1, covid_hlookup, 2, FALSE), FALSE), "No data")</f>
        <v>No data</v>
      </c>
      <c r="F176" s="2" t="str">
        <f>IFERROR(VLOOKUP($C176, covid_vlookup, HLOOKUP(F$1, covid_hlookup, 2, FALSE), FALSE), "No data")</f>
        <v>No data</v>
      </c>
      <c r="G176" s="2" t="str">
        <f>IFERROR(VLOOKUP($C176, covid_vlookup, HLOOKUP(G$1, covid_hlookup, 2, FALSE), FALSE), "No data")</f>
        <v>No data</v>
      </c>
      <c r="H176" s="2"/>
    </row>
    <row r="177">
      <c r="A177" s="3" t="s">
        <v>410</v>
      </c>
      <c r="B177" s="3" t="s">
        <v>145</v>
      </c>
      <c r="C177" s="3" t="s">
        <v>411</v>
      </c>
      <c r="D177" s="2" t="str">
        <f>IFERROR(VLOOKUP($C177, covid_vlookup, HLOOKUP(D$1, covid_hlookup, 2, FALSE), FALSE), "No data")</f>
        <v>No data</v>
      </c>
      <c r="E177" s="2" t="str">
        <f>IFERROR(VLOOKUP($C177, covid_vlookup, HLOOKUP(E$1, covid_hlookup, 2, FALSE), FALSE), "No data")</f>
        <v>No data</v>
      </c>
      <c r="F177" s="2" t="str">
        <f>IFERROR(VLOOKUP($C177, covid_vlookup, HLOOKUP(F$1, covid_hlookup, 2, FALSE), FALSE), "No data")</f>
        <v>No data</v>
      </c>
      <c r="G177" s="2" t="str">
        <f>IFERROR(VLOOKUP($C177, covid_vlookup, HLOOKUP(G$1, covid_hlookup, 2, FALSE), FALSE), "No data")</f>
        <v>No data</v>
      </c>
      <c r="H177" s="2"/>
    </row>
    <row r="178">
      <c r="A178" s="3" t="s">
        <v>63</v>
      </c>
      <c r="B178" s="3" t="s">
        <v>39</v>
      </c>
      <c r="C178" s="3" t="s">
        <v>64</v>
      </c>
      <c r="D178" s="2">
        <f>IFERROR(VLOOKUP($C178, covid_vlookup, HLOOKUP(D$1, covid_hlookup, 2, FALSE), FALSE), "No data")</f>
        <v>3291394</v>
      </c>
      <c r="E178" s="2">
        <f>IFERROR(VLOOKUP($C178, covid_vlookup, HLOOKUP(E$1, covid_hlookup, 2, FALSE), FALSE), "No data")</f>
        <v>75541</v>
      </c>
      <c r="F178" s="2">
        <f>IFERROR(VLOOKUP($C178, covid_vlookup, HLOOKUP(F$1, covid_hlookup, 2, FALSE), FALSE), "No data")</f>
        <v>46754783</v>
      </c>
      <c r="G178" s="2">
        <f>IFERROR(VLOOKUP($C178, covid_vlookup, HLOOKUP(G$1, covid_hlookup, 2, FALSE), FALSE), "No data")</f>
        <v>34272.36</v>
      </c>
      <c r="H178" s="2"/>
    </row>
    <row r="179">
      <c r="A179" s="3" t="s">
        <v>412</v>
      </c>
      <c r="B179" s="3" t="s">
        <v>142</v>
      </c>
      <c r="C179" s="3" t="s">
        <v>413</v>
      </c>
      <c r="D179" s="2" t="str">
        <f>IFERROR(VLOOKUP($C179, covid_vlookup, HLOOKUP(D$1, covid_hlookup, 2, FALSE), FALSE), "No data")</f>
        <v>No data</v>
      </c>
      <c r="E179" s="2" t="str">
        <f>IFERROR(VLOOKUP($C179, covid_vlookup, HLOOKUP(E$1, covid_hlookup, 2, FALSE), FALSE), "No data")</f>
        <v>No data</v>
      </c>
      <c r="F179" s="2" t="str">
        <f>IFERROR(VLOOKUP($C179, covid_vlookup, HLOOKUP(F$1, covid_hlookup, 2, FALSE), FALSE), "No data")</f>
        <v>No data</v>
      </c>
      <c r="G179" s="2" t="str">
        <f>IFERROR(VLOOKUP($C179, covid_vlookup, HLOOKUP(G$1, covid_hlookup, 2, FALSE), FALSE), "No data")</f>
        <v>No data</v>
      </c>
      <c r="H179" s="2"/>
    </row>
    <row r="180">
      <c r="A180" s="3" t="s">
        <v>414</v>
      </c>
      <c r="B180" s="3" t="s">
        <v>145</v>
      </c>
      <c r="C180" s="3" t="s">
        <v>415</v>
      </c>
      <c r="D180" s="2" t="str">
        <f>IFERROR(VLOOKUP($C180, covid_vlookup, HLOOKUP(D$1, covid_hlookup, 2, FALSE), FALSE), "No data")</f>
        <v>No data</v>
      </c>
      <c r="E180" s="2" t="str">
        <f>IFERROR(VLOOKUP($C180, covid_vlookup, HLOOKUP(E$1, covid_hlookup, 2, FALSE), FALSE), "No data")</f>
        <v>No data</v>
      </c>
      <c r="F180" s="2" t="str">
        <f>IFERROR(VLOOKUP($C180, covid_vlookup, HLOOKUP(F$1, covid_hlookup, 2, FALSE), FALSE), "No data")</f>
        <v>No data</v>
      </c>
      <c r="G180" s="2" t="str">
        <f>IFERROR(VLOOKUP($C180, covid_vlookup, HLOOKUP(G$1, covid_hlookup, 2, FALSE), FALSE), "No data")</f>
        <v>No data</v>
      </c>
      <c r="H180" s="2"/>
    </row>
    <row r="181">
      <c r="A181" s="3" t="s">
        <v>416</v>
      </c>
      <c r="B181" s="3" t="s">
        <v>155</v>
      </c>
      <c r="C181" s="3" t="s">
        <v>417</v>
      </c>
      <c r="D181" s="2" t="str">
        <f>IFERROR(VLOOKUP($C181, covid_vlookup, HLOOKUP(D$1, covid_hlookup, 2, FALSE), FALSE), "No data")</f>
        <v>No data</v>
      </c>
      <c r="E181" s="2" t="str">
        <f>IFERROR(VLOOKUP($C181, covid_vlookup, HLOOKUP(E$1, covid_hlookup, 2, FALSE), FALSE), "No data")</f>
        <v>No data</v>
      </c>
      <c r="F181" s="2" t="str">
        <f>IFERROR(VLOOKUP($C181, covid_vlookup, HLOOKUP(F$1, covid_hlookup, 2, FALSE), FALSE), "No data")</f>
        <v>No data</v>
      </c>
      <c r="G181" s="2" t="str">
        <f>IFERROR(VLOOKUP($C181, covid_vlookup, HLOOKUP(G$1, covid_hlookup, 2, FALSE), FALSE), "No data")</f>
        <v>No data</v>
      </c>
      <c r="H181" s="2"/>
    </row>
    <row r="182">
      <c r="A182" s="3" t="s">
        <v>418</v>
      </c>
      <c r="B182" s="3" t="s">
        <v>145</v>
      </c>
      <c r="C182" s="3" t="s">
        <v>419</v>
      </c>
      <c r="D182" s="2" t="str">
        <f>IFERROR(VLOOKUP($C182, covid_vlookup, HLOOKUP(D$1, covid_hlookup, 2, FALSE), FALSE), "No data")</f>
        <v>No data</v>
      </c>
      <c r="E182" s="2" t="str">
        <f>IFERROR(VLOOKUP($C182, covid_vlookup, HLOOKUP(E$1, covid_hlookup, 2, FALSE), FALSE), "No data")</f>
        <v>No data</v>
      </c>
      <c r="F182" s="2" t="str">
        <f>IFERROR(VLOOKUP($C182, covid_vlookup, HLOOKUP(F$1, covid_hlookup, 2, FALSE), FALSE), "No data")</f>
        <v>No data</v>
      </c>
      <c r="G182" s="2" t="str">
        <f>IFERROR(VLOOKUP($C182, covid_vlookup, HLOOKUP(G$1, covid_hlookup, 2, FALSE), FALSE), "No data")</f>
        <v>No data</v>
      </c>
      <c r="H182" s="2"/>
    </row>
    <row r="183">
      <c r="A183" s="3" t="s">
        <v>135</v>
      </c>
      <c r="B183" s="3" t="s">
        <v>39</v>
      </c>
      <c r="C183" s="3" t="s">
        <v>136</v>
      </c>
      <c r="D183" s="2">
        <f>IFERROR(VLOOKUP($C183, covid_vlookup, HLOOKUP(D$1, covid_hlookup, 2, FALSE), FALSE), "No data")</f>
        <v>813191</v>
      </c>
      <c r="E183" s="2">
        <f>IFERROR(VLOOKUP($C183, covid_vlookup, HLOOKUP(E$1, covid_hlookup, 2, FALSE), FALSE), "No data")</f>
        <v>13498</v>
      </c>
      <c r="F183" s="2">
        <f>IFERROR(VLOOKUP($C183, covid_vlookup, HLOOKUP(F$1, covid_hlookup, 2, FALSE), FALSE), "No data")</f>
        <v>10099270</v>
      </c>
      <c r="G183" s="2">
        <f>IFERROR(VLOOKUP($C183, covid_vlookup, HLOOKUP(G$1, covid_hlookup, 2, FALSE), FALSE), "No data")</f>
        <v>46949.283</v>
      </c>
      <c r="H183" s="2"/>
    </row>
    <row r="184">
      <c r="A184" s="3" t="s">
        <v>53</v>
      </c>
      <c r="B184" s="3" t="s">
        <v>39</v>
      </c>
      <c r="C184" s="3" t="s">
        <v>54</v>
      </c>
      <c r="D184" s="2">
        <f>IFERROR(VLOOKUP($C184, covid_vlookup, HLOOKUP(D$1, covid_hlookup, 2, FALSE), FALSE), "No data")</f>
        <v>605342</v>
      </c>
      <c r="E184" s="2">
        <f>IFERROR(VLOOKUP($C184, covid_vlookup, HLOOKUP(E$1, covid_hlookup, 2, FALSE), FALSE), "No data")</f>
        <v>10351</v>
      </c>
      <c r="F184" s="2">
        <f>IFERROR(VLOOKUP($C184, covid_vlookup, HLOOKUP(F$1, covid_hlookup, 2, FALSE), FALSE), "No data")</f>
        <v>8654618</v>
      </c>
      <c r="G184" s="2">
        <f>IFERROR(VLOOKUP($C184, covid_vlookup, HLOOKUP(G$1, covid_hlookup, 2, FALSE), FALSE), "No data")</f>
        <v>57410.166</v>
      </c>
      <c r="H184" s="2"/>
    </row>
    <row r="185">
      <c r="A185" s="3" t="s">
        <v>420</v>
      </c>
      <c r="B185" s="3" t="s">
        <v>142</v>
      </c>
      <c r="C185" s="3" t="s">
        <v>421</v>
      </c>
      <c r="D185" s="2" t="str">
        <f>IFERROR(VLOOKUP($C185, covid_vlookup, HLOOKUP(D$1, covid_hlookup, 2, FALSE), FALSE), "No data")</f>
        <v>No data</v>
      </c>
      <c r="E185" s="2" t="str">
        <f>IFERROR(VLOOKUP($C185, covid_vlookup, HLOOKUP(E$1, covid_hlookup, 2, FALSE), FALSE), "No data")</f>
        <v>No data</v>
      </c>
      <c r="F185" s="2" t="str">
        <f>IFERROR(VLOOKUP($C185, covid_vlookup, HLOOKUP(F$1, covid_hlookup, 2, FALSE), FALSE), "No data")</f>
        <v>No data</v>
      </c>
      <c r="G185" s="2" t="str">
        <f>IFERROR(VLOOKUP($C185, covid_vlookup, HLOOKUP(G$1, covid_hlookup, 2, FALSE), FALSE), "No data")</f>
        <v>No data</v>
      </c>
      <c r="H185" s="2"/>
    </row>
    <row r="186">
      <c r="A186" s="3" t="s">
        <v>422</v>
      </c>
      <c r="B186" s="3" t="s">
        <v>142</v>
      </c>
      <c r="C186" s="3" t="s">
        <v>423</v>
      </c>
      <c r="D186" s="2" t="str">
        <f>IFERROR(VLOOKUP($C186, covid_vlookup, HLOOKUP(D$1, covid_hlookup, 2, FALSE), FALSE), "No data")</f>
        <v>No data</v>
      </c>
      <c r="E186" s="2" t="str">
        <f>IFERROR(VLOOKUP($C186, covid_vlookup, HLOOKUP(E$1, covid_hlookup, 2, FALSE), FALSE), "No data")</f>
        <v>No data</v>
      </c>
      <c r="F186" s="2" t="str">
        <f>IFERROR(VLOOKUP($C186, covid_vlookup, HLOOKUP(F$1, covid_hlookup, 2, FALSE), FALSE), "No data")</f>
        <v>No data</v>
      </c>
      <c r="G186" s="2" t="str">
        <f>IFERROR(VLOOKUP($C186, covid_vlookup, HLOOKUP(G$1, covid_hlookup, 2, FALSE), FALSE), "No data")</f>
        <v>No data</v>
      </c>
      <c r="H186" s="2"/>
    </row>
    <row r="187">
      <c r="A187" s="3" t="s">
        <v>424</v>
      </c>
      <c r="B187" s="3" t="s">
        <v>142</v>
      </c>
      <c r="C187" s="3" t="s">
        <v>425</v>
      </c>
      <c r="D187" s="2" t="str">
        <f>IFERROR(VLOOKUP($C187, covid_vlookup, HLOOKUP(D$1, covid_hlookup, 2, FALSE), FALSE), "No data")</f>
        <v>No data</v>
      </c>
      <c r="E187" s="2" t="str">
        <f>IFERROR(VLOOKUP($C187, covid_vlookup, HLOOKUP(E$1, covid_hlookup, 2, FALSE), FALSE), "No data")</f>
        <v>No data</v>
      </c>
      <c r="F187" s="2" t="str">
        <f>IFERROR(VLOOKUP($C187, covid_vlookup, HLOOKUP(F$1, covid_hlookup, 2, FALSE), FALSE), "No data")</f>
        <v>No data</v>
      </c>
      <c r="G187" s="2" t="str">
        <f>IFERROR(VLOOKUP($C187, covid_vlookup, HLOOKUP(G$1, covid_hlookup, 2, FALSE), FALSE), "No data")</f>
        <v>No data</v>
      </c>
      <c r="H187" s="2"/>
    </row>
    <row r="188">
      <c r="A188" s="3" t="s">
        <v>426</v>
      </c>
      <c r="B188" s="3" t="s">
        <v>145</v>
      </c>
      <c r="C188" s="3" t="s">
        <v>427</v>
      </c>
      <c r="D188" s="2" t="str">
        <f>IFERROR(VLOOKUP($C188, covid_vlookup, HLOOKUP(D$1, covid_hlookup, 2, FALSE), FALSE), "No data")</f>
        <v>No data</v>
      </c>
      <c r="E188" s="2" t="str">
        <f>IFERROR(VLOOKUP($C188, covid_vlookup, HLOOKUP(E$1, covid_hlookup, 2, FALSE), FALSE), "No data")</f>
        <v>No data</v>
      </c>
      <c r="F188" s="2" t="str">
        <f>IFERROR(VLOOKUP($C188, covid_vlookup, HLOOKUP(F$1, covid_hlookup, 2, FALSE), FALSE), "No data")</f>
        <v>No data</v>
      </c>
      <c r="G188" s="2" t="str">
        <f>IFERROR(VLOOKUP($C188, covid_vlookup, HLOOKUP(G$1, covid_hlookup, 2, FALSE), FALSE), "No data")</f>
        <v>No data</v>
      </c>
      <c r="H188" s="2"/>
    </row>
    <row r="189">
      <c r="A189" s="3" t="s">
        <v>428</v>
      </c>
      <c r="B189" s="3" t="s">
        <v>142</v>
      </c>
      <c r="C189" s="3" t="s">
        <v>429</v>
      </c>
      <c r="D189" s="2" t="str">
        <f>IFERROR(VLOOKUP($C189, covid_vlookup, HLOOKUP(D$1, covid_hlookup, 2, FALSE), FALSE), "No data")</f>
        <v>No data</v>
      </c>
      <c r="E189" s="2" t="str">
        <f>IFERROR(VLOOKUP($C189, covid_vlookup, HLOOKUP(E$1, covid_hlookup, 2, FALSE), FALSE), "No data")</f>
        <v>No data</v>
      </c>
      <c r="F189" s="2" t="str">
        <f>IFERROR(VLOOKUP($C189, covid_vlookup, HLOOKUP(F$1, covid_hlookup, 2, FALSE), FALSE), "No data")</f>
        <v>No data</v>
      </c>
      <c r="G189" s="2" t="str">
        <f>IFERROR(VLOOKUP($C189, covid_vlookup, HLOOKUP(G$1, covid_hlookup, 2, FALSE), FALSE), "No data")</f>
        <v>No data</v>
      </c>
      <c r="H189" s="2"/>
    </row>
    <row r="190">
      <c r="A190" s="3" t="s">
        <v>430</v>
      </c>
      <c r="B190" s="3" t="s">
        <v>142</v>
      </c>
      <c r="C190" s="3" t="s">
        <v>431</v>
      </c>
      <c r="D190" s="2" t="str">
        <f>IFERROR(VLOOKUP($C190, covid_vlookup, HLOOKUP(D$1, covid_hlookup, 2, FALSE), FALSE), "No data")</f>
        <v>No data</v>
      </c>
      <c r="E190" s="2" t="str">
        <f>IFERROR(VLOOKUP($C190, covid_vlookup, HLOOKUP(E$1, covid_hlookup, 2, FALSE), FALSE), "No data")</f>
        <v>No data</v>
      </c>
      <c r="F190" s="2" t="str">
        <f>IFERROR(VLOOKUP($C190, covid_vlookup, HLOOKUP(F$1, covid_hlookup, 2, FALSE), FALSE), "No data")</f>
        <v>No data</v>
      </c>
      <c r="G190" s="2" t="str">
        <f>IFERROR(VLOOKUP($C190, covid_vlookup, HLOOKUP(G$1, covid_hlookup, 2, FALSE), FALSE), "No data")</f>
        <v>No data</v>
      </c>
      <c r="H190" s="2"/>
    </row>
    <row r="191">
      <c r="A191" s="3" t="s">
        <v>432</v>
      </c>
      <c r="B191" s="3" t="s">
        <v>145</v>
      </c>
      <c r="C191" s="3" t="s">
        <v>433</v>
      </c>
      <c r="D191" s="2" t="str">
        <f>IFERROR(VLOOKUP($C191, covid_vlookup, HLOOKUP(D$1, covid_hlookup, 2, FALSE), FALSE), "No data")</f>
        <v>No data</v>
      </c>
      <c r="E191" s="2" t="str">
        <f>IFERROR(VLOOKUP($C191, covid_vlookup, HLOOKUP(E$1, covid_hlookup, 2, FALSE), FALSE), "No data")</f>
        <v>No data</v>
      </c>
      <c r="F191" s="2" t="str">
        <f>IFERROR(VLOOKUP($C191, covid_vlookup, HLOOKUP(F$1, covid_hlookup, 2, FALSE), FALSE), "No data")</f>
        <v>No data</v>
      </c>
      <c r="G191" s="2" t="str">
        <f>IFERROR(VLOOKUP($C191, covid_vlookup, HLOOKUP(G$1, covid_hlookup, 2, FALSE), FALSE), "No data")</f>
        <v>No data</v>
      </c>
      <c r="H191" s="2"/>
    </row>
    <row r="192">
      <c r="A192" s="3" t="s">
        <v>434</v>
      </c>
      <c r="B192" s="3" t="s">
        <v>150</v>
      </c>
      <c r="C192" s="3" t="s">
        <v>435</v>
      </c>
      <c r="D192" s="2" t="str">
        <f>IFERROR(VLOOKUP($C192, covid_vlookup, HLOOKUP(D$1, covid_hlookup, 2, FALSE), FALSE), "No data")</f>
        <v>No data</v>
      </c>
      <c r="E192" s="2" t="str">
        <f>IFERROR(VLOOKUP($C192, covid_vlookup, HLOOKUP(E$1, covid_hlookup, 2, FALSE), FALSE), "No data")</f>
        <v>No data</v>
      </c>
      <c r="F192" s="2" t="str">
        <f>IFERROR(VLOOKUP($C192, covid_vlookup, HLOOKUP(F$1, covid_hlookup, 2, FALSE), FALSE), "No data")</f>
        <v>No data</v>
      </c>
      <c r="G192" s="2" t="str">
        <f>IFERROR(VLOOKUP($C192, covid_vlookup, HLOOKUP(G$1, covid_hlookup, 2, FALSE), FALSE), "No data")</f>
        <v>No data</v>
      </c>
      <c r="H192" s="2"/>
    </row>
    <row r="193">
      <c r="A193" s="3" t="s">
        <v>436</v>
      </c>
      <c r="B193" s="3" t="s">
        <v>145</v>
      </c>
      <c r="C193" s="3" t="s">
        <v>437</v>
      </c>
      <c r="D193" s="2" t="str">
        <f>IFERROR(VLOOKUP($C193, covid_vlookup, HLOOKUP(D$1, covid_hlookup, 2, FALSE), FALSE), "No data")</f>
        <v>No data</v>
      </c>
      <c r="E193" s="2" t="str">
        <f>IFERROR(VLOOKUP($C193, covid_vlookup, HLOOKUP(E$1, covid_hlookup, 2, FALSE), FALSE), "No data")</f>
        <v>No data</v>
      </c>
      <c r="F193" s="2" t="str">
        <f>IFERROR(VLOOKUP($C193, covid_vlookup, HLOOKUP(F$1, covid_hlookup, 2, FALSE), FALSE), "No data")</f>
        <v>No data</v>
      </c>
      <c r="G193" s="2" t="str">
        <f>IFERROR(VLOOKUP($C193, covid_vlookup, HLOOKUP(G$1, covid_hlookup, 2, FALSE), FALSE), "No data")</f>
        <v>No data</v>
      </c>
      <c r="H193" s="2"/>
    </row>
    <row r="194">
      <c r="A194" s="3" t="s">
        <v>438</v>
      </c>
      <c r="B194" s="3" t="s">
        <v>142</v>
      </c>
      <c r="C194" s="3" t="s">
        <v>439</v>
      </c>
      <c r="D194" s="2" t="str">
        <f>IFERROR(VLOOKUP($C194, covid_vlookup, HLOOKUP(D$1, covid_hlookup, 2, FALSE), FALSE), "No data")</f>
        <v>No data</v>
      </c>
      <c r="E194" s="2" t="str">
        <f>IFERROR(VLOOKUP($C194, covid_vlookup, HLOOKUP(E$1, covid_hlookup, 2, FALSE), FALSE), "No data")</f>
        <v>No data</v>
      </c>
      <c r="F194" s="2" t="str">
        <f>IFERROR(VLOOKUP($C194, covid_vlookup, HLOOKUP(F$1, covid_hlookup, 2, FALSE), FALSE), "No data")</f>
        <v>No data</v>
      </c>
      <c r="G194" s="2" t="str">
        <f>IFERROR(VLOOKUP($C194, covid_vlookup, HLOOKUP(G$1, covid_hlookup, 2, FALSE), FALSE), "No data")</f>
        <v>No data</v>
      </c>
      <c r="H194" s="2"/>
    </row>
    <row r="195">
      <c r="A195" s="3" t="s">
        <v>440</v>
      </c>
      <c r="B195" s="3" t="s">
        <v>150</v>
      </c>
      <c r="C195" s="3" t="s">
        <v>441</v>
      </c>
      <c r="D195" s="2" t="str">
        <f>IFERROR(VLOOKUP($C195, covid_vlookup, HLOOKUP(D$1, covid_hlookup, 2, FALSE), FALSE), "No data")</f>
        <v>No data</v>
      </c>
      <c r="E195" s="2" t="str">
        <f>IFERROR(VLOOKUP($C195, covid_vlookup, HLOOKUP(E$1, covid_hlookup, 2, FALSE), FALSE), "No data")</f>
        <v>No data</v>
      </c>
      <c r="F195" s="2" t="str">
        <f>IFERROR(VLOOKUP($C195, covid_vlookup, HLOOKUP(F$1, covid_hlookup, 2, FALSE), FALSE), "No data")</f>
        <v>No data</v>
      </c>
      <c r="G195" s="2" t="str">
        <f>IFERROR(VLOOKUP($C195, covid_vlookup, HLOOKUP(G$1, covid_hlookup, 2, FALSE), FALSE), "No data")</f>
        <v>No data</v>
      </c>
      <c r="H195" s="2"/>
    </row>
    <row r="196">
      <c r="A196" s="3" t="s">
        <v>442</v>
      </c>
      <c r="B196" s="3" t="s">
        <v>145</v>
      </c>
      <c r="C196" s="3" t="s">
        <v>443</v>
      </c>
      <c r="D196" s="2" t="str">
        <f>IFERROR(VLOOKUP($C196, covid_vlookup, HLOOKUP(D$1, covid_hlookup, 2, FALSE), FALSE), "No data")</f>
        <v>No data</v>
      </c>
      <c r="E196" s="2" t="str">
        <f>IFERROR(VLOOKUP($C196, covid_vlookup, HLOOKUP(E$1, covid_hlookup, 2, FALSE), FALSE), "No data")</f>
        <v>No data</v>
      </c>
      <c r="F196" s="2" t="str">
        <f>IFERROR(VLOOKUP($C196, covid_vlookup, HLOOKUP(F$1, covid_hlookup, 2, FALSE), FALSE), "No data")</f>
        <v>No data</v>
      </c>
      <c r="G196" s="2" t="str">
        <f>IFERROR(VLOOKUP($C196, covid_vlookup, HLOOKUP(G$1, covid_hlookup, 2, FALSE), FALSE), "No data")</f>
        <v>No data</v>
      </c>
      <c r="H196" s="2"/>
    </row>
    <row r="197">
      <c r="A197" s="3" t="s">
        <v>137</v>
      </c>
      <c r="B197" s="3" t="s">
        <v>39</v>
      </c>
      <c r="C197" s="3" t="s">
        <v>138</v>
      </c>
      <c r="D197" s="2">
        <f>IFERROR(VLOOKUP($C197, covid_vlookup, HLOOKUP(D$1, covid_hlookup, 2, FALSE), FALSE), "No data")</f>
        <v>1762713</v>
      </c>
      <c r="E197" s="2">
        <f>IFERROR(VLOOKUP($C197, covid_vlookup, HLOOKUP(E$1, covid_hlookup, 2, FALSE), FALSE), "No data")</f>
        <v>35326</v>
      </c>
      <c r="F197" s="2">
        <f>IFERROR(VLOOKUP($C197, covid_vlookup, HLOOKUP(F$1, covid_hlookup, 2, FALSE), FALSE), "No data")</f>
        <v>43733759</v>
      </c>
      <c r="G197" s="2">
        <f>IFERROR(VLOOKUP($C197, covid_vlookup, HLOOKUP(G$1, covid_hlookup, 2, FALSE), FALSE), "No data")</f>
        <v>7894.393</v>
      </c>
      <c r="H197" s="2"/>
    </row>
    <row r="198">
      <c r="A198" s="3" t="s">
        <v>444</v>
      </c>
      <c r="B198" s="3" t="s">
        <v>142</v>
      </c>
      <c r="C198" s="3" t="s">
        <v>445</v>
      </c>
      <c r="D198" s="2" t="str">
        <f>IFERROR(VLOOKUP($C198, covid_vlookup, HLOOKUP(D$1, covid_hlookup, 2, FALSE), FALSE), "No data")</f>
        <v>No data</v>
      </c>
      <c r="E198" s="2" t="str">
        <f>IFERROR(VLOOKUP($C198, covid_vlookup, HLOOKUP(E$1, covid_hlookup, 2, FALSE), FALSE), "No data")</f>
        <v>No data</v>
      </c>
      <c r="F198" s="2" t="str">
        <f>IFERROR(VLOOKUP($C198, covid_vlookup, HLOOKUP(F$1, covid_hlookup, 2, FALSE), FALSE), "No data")</f>
        <v>No data</v>
      </c>
      <c r="G198" s="2" t="str">
        <f>IFERROR(VLOOKUP($C198, covid_vlookup, HLOOKUP(G$1, covid_hlookup, 2, FALSE), FALSE), "No data")</f>
        <v>No data</v>
      </c>
      <c r="H198" s="2"/>
    </row>
    <row r="199">
      <c r="A199" s="3" t="s">
        <v>73</v>
      </c>
      <c r="B199" s="3" t="s">
        <v>39</v>
      </c>
      <c r="C199" s="3" t="s">
        <v>74</v>
      </c>
      <c r="D199" s="2">
        <f>IFERROR(VLOOKUP($C199, covid_vlookup, HLOOKUP(D$1, covid_hlookup, 2, FALSE), FALSE), "No data")</f>
        <v>4367969</v>
      </c>
      <c r="E199" s="2">
        <f>IFERROR(VLOOKUP($C199, covid_vlookup, HLOOKUP(E$1, covid_hlookup, 2, FALSE), FALSE), "No data")</f>
        <v>127058</v>
      </c>
      <c r="F199" s="2">
        <f>IFERROR(VLOOKUP($C199, covid_vlookup, HLOOKUP(F$1, covid_hlookup, 2, FALSE), FALSE), "No data")</f>
        <v>67886004</v>
      </c>
      <c r="G199" s="2">
        <f>IFERROR(VLOOKUP($C199, covid_vlookup, HLOOKUP(G$1, covid_hlookup, 2, FALSE), FALSE), "No data")</f>
        <v>39753.244</v>
      </c>
      <c r="H199" s="2"/>
    </row>
    <row r="200">
      <c r="A200" s="3" t="s">
        <v>446</v>
      </c>
      <c r="B200" s="3" t="s">
        <v>150</v>
      </c>
      <c r="C200" s="3" t="s">
        <v>447</v>
      </c>
      <c r="D200" s="2" t="str">
        <f>IFERROR(VLOOKUP($C200, covid_vlookup, HLOOKUP(D$1, covid_hlookup, 2, FALSE), FALSE), "No data")</f>
        <v>No data</v>
      </c>
      <c r="E200" s="2" t="str">
        <f>IFERROR(VLOOKUP($C200, covid_vlookup, HLOOKUP(E$1, covid_hlookup, 2, FALSE), FALSE), "No data")</f>
        <v>No data</v>
      </c>
      <c r="F200" s="2" t="str">
        <f>IFERROR(VLOOKUP($C200, covid_vlookup, HLOOKUP(F$1, covid_hlookup, 2, FALSE), FALSE), "No data")</f>
        <v>No data</v>
      </c>
      <c r="G200" s="2" t="str">
        <f>IFERROR(VLOOKUP($C200, covid_vlookup, HLOOKUP(G$1, covid_hlookup, 2, FALSE), FALSE), "No data")</f>
        <v>No data</v>
      </c>
      <c r="H200" s="2"/>
    </row>
    <row r="201">
      <c r="A201" s="3" t="s">
        <v>448</v>
      </c>
      <c r="B201" s="3" t="s">
        <v>150</v>
      </c>
      <c r="C201" s="3" t="s">
        <v>449</v>
      </c>
      <c r="D201" s="2" t="str">
        <f>IFERROR(VLOOKUP($C201, covid_vlookup, HLOOKUP(D$1, covid_hlookup, 2, FALSE), FALSE), "No data")</f>
        <v>No data</v>
      </c>
      <c r="E201" s="2" t="str">
        <f>IFERROR(VLOOKUP($C201, covid_vlookup, HLOOKUP(E$1, covid_hlookup, 2, FALSE), FALSE), "No data")</f>
        <v>No data</v>
      </c>
      <c r="F201" s="2" t="str">
        <f>IFERROR(VLOOKUP($C201, covid_vlookup, HLOOKUP(F$1, covid_hlookup, 2, FALSE), FALSE), "No data")</f>
        <v>No data</v>
      </c>
      <c r="G201" s="2" t="str">
        <f>IFERROR(VLOOKUP($C201, covid_vlookup, HLOOKUP(G$1, covid_hlookup, 2, FALSE), FALSE), "No data")</f>
        <v>No data</v>
      </c>
      <c r="H201" s="2"/>
    </row>
    <row r="202">
      <c r="A202" s="3" t="s">
        <v>450</v>
      </c>
      <c r="B202" s="3" t="s">
        <v>155</v>
      </c>
      <c r="C202" s="3" t="s">
        <v>451</v>
      </c>
      <c r="D202" s="2" t="str">
        <f>IFERROR(VLOOKUP($C202, covid_vlookup, HLOOKUP(D$1, covid_hlookup, 2, FALSE), FALSE), "No data")</f>
        <v>No data</v>
      </c>
      <c r="E202" s="2" t="str">
        <f>IFERROR(VLOOKUP($C202, covid_vlookup, HLOOKUP(E$1, covid_hlookup, 2, FALSE), FALSE), "No data")</f>
        <v>No data</v>
      </c>
      <c r="F202" s="2" t="str">
        <f>IFERROR(VLOOKUP($C202, covid_vlookup, HLOOKUP(F$1, covid_hlookup, 2, FALSE), FALSE), "No data")</f>
        <v>No data</v>
      </c>
      <c r="G202" s="2" t="str">
        <f>IFERROR(VLOOKUP($C202, covid_vlookup, HLOOKUP(G$1, covid_hlookup, 2, FALSE), FALSE), "No data")</f>
        <v>No data</v>
      </c>
      <c r="H202" s="2"/>
    </row>
    <row r="203">
      <c r="A203" s="3" t="s">
        <v>452</v>
      </c>
      <c r="B203" s="3" t="s">
        <v>142</v>
      </c>
      <c r="C203" s="3" t="s">
        <v>453</v>
      </c>
      <c r="D203" s="2" t="str">
        <f>IFERROR(VLOOKUP($C203, covid_vlookup, HLOOKUP(D$1, covid_hlookup, 2, FALSE), FALSE), "No data")</f>
        <v>No data</v>
      </c>
      <c r="E203" s="2" t="str">
        <f>IFERROR(VLOOKUP($C203, covid_vlookup, HLOOKUP(E$1, covid_hlookup, 2, FALSE), FALSE), "No data")</f>
        <v>No data</v>
      </c>
      <c r="F203" s="2" t="str">
        <f>IFERROR(VLOOKUP($C203, covid_vlookup, HLOOKUP(F$1, covid_hlookup, 2, FALSE), FALSE), "No data")</f>
        <v>No data</v>
      </c>
      <c r="G203" s="2" t="str">
        <f>IFERROR(VLOOKUP($C203, covid_vlookup, HLOOKUP(G$1, covid_hlookup, 2, FALSE), FALSE), "No data")</f>
        <v>No data</v>
      </c>
      <c r="H203" s="2"/>
    </row>
    <row r="204">
      <c r="A204" s="3" t="s">
        <v>139</v>
      </c>
      <c r="B204" s="3" t="s">
        <v>39</v>
      </c>
      <c r="C204" s="3" t="s">
        <v>140</v>
      </c>
      <c r="D204" s="2" t="str">
        <f>IFERROR(VLOOKUP($C204, covid_vlookup, HLOOKUP(D$1, covid_hlookup, 2, FALSE), FALSE), "No data")</f>
        <v>No data</v>
      </c>
      <c r="E204" s="2" t="str">
        <f>IFERROR(VLOOKUP($C204, covid_vlookup, HLOOKUP(E$1, covid_hlookup, 2, FALSE), FALSE), "No data")</f>
        <v>No data</v>
      </c>
      <c r="F204" s="2" t="str">
        <f>IFERROR(VLOOKUP($C204, covid_vlookup, HLOOKUP(F$1, covid_hlookup, 2, FALSE), FALSE), "No data")</f>
        <v>No data</v>
      </c>
      <c r="G204" s="2" t="str">
        <f>IFERROR(VLOOKUP($C204, covid_vlookup, HLOOKUP(G$1, covid_hlookup, 2, FALSE), FALSE), "No data")</f>
        <v>No data</v>
      </c>
      <c r="H204" s="2"/>
    </row>
    <row r="205">
      <c r="A205" s="3" t="s">
        <v>454</v>
      </c>
      <c r="B205" s="3" t="s">
        <v>155</v>
      </c>
      <c r="C205" s="3" t="s">
        <v>455</v>
      </c>
      <c r="D205" s="2" t="str">
        <f>IFERROR(VLOOKUP($C205, covid_vlookup, HLOOKUP(D$1, covid_hlookup, 2, FALSE), FALSE), "No data")</f>
        <v>No data</v>
      </c>
      <c r="E205" s="2" t="str">
        <f>IFERROR(VLOOKUP($C205, covid_vlookup, HLOOKUP(E$1, covid_hlookup, 2, FALSE), FALSE), "No data")</f>
        <v>No data</v>
      </c>
      <c r="F205" s="2" t="str">
        <f>IFERROR(VLOOKUP($C205, covid_vlookup, HLOOKUP(F$1, covid_hlookup, 2, FALSE), FALSE), "No data")</f>
        <v>No data</v>
      </c>
      <c r="G205" s="2" t="str">
        <f>IFERROR(VLOOKUP($C205, covid_vlookup, HLOOKUP(G$1, covid_hlookup, 2, FALSE), FALSE), "No data")</f>
        <v>No data</v>
      </c>
      <c r="H205" s="2"/>
    </row>
    <row r="206">
      <c r="A206" s="3" t="s">
        <v>456</v>
      </c>
      <c r="B206" s="3" t="s">
        <v>142</v>
      </c>
      <c r="C206" s="3" t="s">
        <v>457</v>
      </c>
      <c r="D206" s="2" t="str">
        <f>IFERROR(VLOOKUP($C206, covid_vlookup, HLOOKUP(D$1, covid_hlookup, 2, FALSE), FALSE), "No data")</f>
        <v>No data</v>
      </c>
      <c r="E206" s="2" t="str">
        <f>IFERROR(VLOOKUP($C206, covid_vlookup, HLOOKUP(E$1, covid_hlookup, 2, FALSE), FALSE), "No data")</f>
        <v>No data</v>
      </c>
      <c r="F206" s="2" t="str">
        <f>IFERROR(VLOOKUP($C206, covid_vlookup, HLOOKUP(F$1, covid_hlookup, 2, FALSE), FALSE), "No data")</f>
        <v>No data</v>
      </c>
      <c r="G206" s="2" t="str">
        <f>IFERROR(VLOOKUP($C206, covid_vlookup, HLOOKUP(G$1, covid_hlookup, 2, FALSE), FALSE), "No data")</f>
        <v>No data</v>
      </c>
      <c r="H206" s="2"/>
    </row>
    <row r="207">
      <c r="A207" s="3" t="s">
        <v>458</v>
      </c>
      <c r="B207" s="3" t="s">
        <v>145</v>
      </c>
      <c r="C207" s="3" t="s">
        <v>459</v>
      </c>
      <c r="D207" s="2" t="str">
        <f>IFERROR(VLOOKUP($C207, covid_vlookup, HLOOKUP(D$1, covid_hlookup, 2, FALSE), FALSE), "No data")</f>
        <v>No data</v>
      </c>
      <c r="E207" s="2" t="str">
        <f>IFERROR(VLOOKUP($C207, covid_vlookup, HLOOKUP(E$1, covid_hlookup, 2, FALSE), FALSE), "No data")</f>
        <v>No data</v>
      </c>
      <c r="F207" s="2" t="str">
        <f>IFERROR(VLOOKUP($C207, covid_vlookup, HLOOKUP(F$1, covid_hlookup, 2, FALSE), FALSE), "No data")</f>
        <v>No data</v>
      </c>
      <c r="G207" s="2" t="str">
        <f>IFERROR(VLOOKUP($C207, covid_vlookup, HLOOKUP(G$1, covid_hlookup, 2, FALSE), FALSE), "No data")</f>
        <v>No data</v>
      </c>
      <c r="H207" s="2"/>
    </row>
    <row r="208">
      <c r="A208" s="3" t="s">
        <v>460</v>
      </c>
      <c r="B208" s="3" t="s">
        <v>142</v>
      </c>
      <c r="C208" s="3" t="s">
        <v>461</v>
      </c>
      <c r="D208" s="2" t="str">
        <f>IFERROR(VLOOKUP($C208, covid_vlookup, HLOOKUP(D$1, covid_hlookup, 2, FALSE), FALSE), "No data")</f>
        <v>No data</v>
      </c>
      <c r="E208" s="2" t="str">
        <f>IFERROR(VLOOKUP($C208, covid_vlookup, HLOOKUP(E$1, covid_hlookup, 2, FALSE), FALSE), "No data")</f>
        <v>No data</v>
      </c>
      <c r="F208" s="2" t="str">
        <f>IFERROR(VLOOKUP($C208, covid_vlookup, HLOOKUP(F$1, covid_hlookup, 2, FALSE), FALSE), "No data")</f>
        <v>No data</v>
      </c>
      <c r="G208" s="2" t="str">
        <f>IFERROR(VLOOKUP($C208, covid_vlookup, HLOOKUP(G$1, covid_hlookup, 2, FALSE), FALSE), "No data")</f>
        <v>No data</v>
      </c>
      <c r="H208" s="2"/>
    </row>
    <row r="209">
      <c r="A209" s="3" t="s">
        <v>462</v>
      </c>
      <c r="B209" s="3" t="s">
        <v>145</v>
      </c>
      <c r="C209" s="3" t="s">
        <v>463</v>
      </c>
      <c r="D209" s="2" t="str">
        <f>IFERROR(VLOOKUP($C209, covid_vlookup, HLOOKUP(D$1, covid_hlookup, 2, FALSE), FALSE), "No data")</f>
        <v>No data</v>
      </c>
      <c r="E209" s="2" t="str">
        <f>IFERROR(VLOOKUP($C209, covid_vlookup, HLOOKUP(E$1, covid_hlookup, 2, FALSE), FALSE), "No data")</f>
        <v>No data</v>
      </c>
      <c r="F209" s="2" t="str">
        <f>IFERROR(VLOOKUP($C209, covid_vlookup, HLOOKUP(F$1, covid_hlookup, 2, FALSE), FALSE), "No data")</f>
        <v>No data</v>
      </c>
      <c r="G209" s="2" t="str">
        <f>IFERROR(VLOOKUP($C209, covid_vlookup, HLOOKUP(G$1, covid_hlookup, 2, FALSE), FALSE), "No data")</f>
        <v>No data</v>
      </c>
      <c r="H209" s="2"/>
    </row>
    <row r="210">
      <c r="A210" s="3" t="s">
        <v>464</v>
      </c>
      <c r="B210" s="3" t="s">
        <v>145</v>
      </c>
      <c r="C210" s="3" t="s">
        <v>465</v>
      </c>
      <c r="D210" s="2" t="str">
        <f>IFERROR(VLOOKUP($C210, covid_vlookup, HLOOKUP(D$1, covid_hlookup, 2, FALSE), FALSE), "No data")</f>
        <v>No data</v>
      </c>
      <c r="E210" s="2" t="str">
        <f>IFERROR(VLOOKUP($C210, covid_vlookup, HLOOKUP(E$1, covid_hlookup, 2, FALSE), FALSE), "No data")</f>
        <v>No data</v>
      </c>
      <c r="F210" s="2" t="str">
        <f>IFERROR(VLOOKUP($C210, covid_vlookup, HLOOKUP(F$1, covid_hlookup, 2, FALSE), FALSE), "No data")</f>
        <v>No data</v>
      </c>
      <c r="G210" s="2" t="str">
        <f>IFERROR(VLOOKUP($C210, covid_vlookup, HLOOKUP(G$1, covid_hlookup, 2, FALSE), FALSE), "No data")</f>
        <v>No data</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13.57"/>
    <col customWidth="1" min="3" max="3" width="29.57"/>
    <col customWidth="1" min="4" max="4" width="11.71"/>
    <col customWidth="1" min="5" max="5" width="12.43"/>
    <col customWidth="1" min="6" max="6" width="11.0"/>
    <col customWidth="1" min="7" max="7" width="14.86"/>
    <col customWidth="1" min="8" max="8" width="4.43"/>
    <col customWidth="1" min="9" max="9" width="16.14"/>
    <col customWidth="1" min="10" max="10" width="4.43"/>
    <col customWidth="1" min="11" max="12" width="11.71"/>
    <col customWidth="1" min="13" max="13" width="12.43"/>
    <col customWidth="1" min="14" max="14" width="11.0"/>
    <col customWidth="1" min="15" max="15" width="14.86"/>
    <col customWidth="1" min="16" max="16" width="15.29"/>
  </cols>
  <sheetData>
    <row r="1">
      <c r="A1" s="4" t="s">
        <v>1</v>
      </c>
      <c r="B1" s="4" t="s">
        <v>2</v>
      </c>
      <c r="C1" s="4" t="s">
        <v>3</v>
      </c>
      <c r="D1" s="8" t="s">
        <v>30</v>
      </c>
      <c r="E1" s="8" t="s">
        <v>32</v>
      </c>
      <c r="F1" s="8" t="s">
        <v>28</v>
      </c>
      <c r="G1" s="8" t="s">
        <v>12</v>
      </c>
      <c r="H1" s="9"/>
      <c r="P1" s="10"/>
    </row>
    <row r="2">
      <c r="A2" s="3" t="s">
        <v>141</v>
      </c>
      <c r="B2" s="3" t="s">
        <v>142</v>
      </c>
      <c r="C2" s="3" t="s">
        <v>143</v>
      </c>
      <c r="D2" s="2" t="str">
        <f t="array" ref="D2">INDEX(covid, MATCH($A2, iso_code, 0), MATCH(D$1, columns, 0))</f>
        <v>#N/A</v>
      </c>
      <c r="E2" s="2" t="str">
        <f t="array" ref="E2">INDEX(covid, MATCH($A2, iso_code, 0), MATCH(E$1, columns, 0))</f>
        <v>#N/A</v>
      </c>
      <c r="F2" s="2" t="str">
        <f t="array" ref="F2">INDEX(covid, MATCH($A2, iso_code, 0), MATCH(F$1, columns, 0))</f>
        <v>#N/A</v>
      </c>
      <c r="G2" s="2" t="str">
        <f t="array" ref="G2">INDEX(covid, MATCH($A2, iso_code, 0), MATCH(G$1, columns, 0))</f>
        <v>#N/A</v>
      </c>
      <c r="H2" s="9"/>
      <c r="P2" s="2"/>
    </row>
    <row r="3">
      <c r="A3" s="3" t="s">
        <v>38</v>
      </c>
      <c r="B3" s="3" t="s">
        <v>39</v>
      </c>
      <c r="C3" s="3" t="s">
        <v>40</v>
      </c>
      <c r="D3" s="2">
        <f t="array" ref="D3">INDEX(covid, MATCH($A3, iso_code, 0), MATCH(D$1, columns, 0))</f>
        <v>125842</v>
      </c>
      <c r="E3" s="2">
        <f t="array" ref="E3">INDEX(covid, MATCH($A3, iso_code, 0), MATCH(E$1, columns, 0))</f>
        <v>2247</v>
      </c>
      <c r="F3" s="2">
        <f t="array" ref="F3">INDEX(covid, MATCH($A3, iso_code, 0), MATCH(F$1, columns, 0))</f>
        <v>2877800</v>
      </c>
      <c r="G3" s="2">
        <f t="array" ref="G3">INDEX(covid, MATCH($A3, iso_code, 0), MATCH(G$1, columns, 0))</f>
        <v>11803.431</v>
      </c>
      <c r="H3" s="9"/>
      <c r="P3" s="2"/>
    </row>
    <row r="4">
      <c r="A4" s="3" t="s">
        <v>144</v>
      </c>
      <c r="B4" s="3" t="s">
        <v>145</v>
      </c>
      <c r="C4" s="3" t="s">
        <v>146</v>
      </c>
      <c r="D4" s="2" t="str">
        <f t="array" ref="D4">INDEX(covid, MATCH($A4, iso_code, 0), MATCH(D$1, columns, 0))</f>
        <v>#N/A</v>
      </c>
      <c r="E4" s="2" t="str">
        <f t="array" ref="E4">INDEX(covid, MATCH($A4, iso_code, 0), MATCH(E$1, columns, 0))</f>
        <v>#N/A</v>
      </c>
      <c r="F4" s="2" t="str">
        <f t="array" ref="F4">INDEX(covid, MATCH($A4, iso_code, 0), MATCH(F$1, columns, 0))</f>
        <v>#N/A</v>
      </c>
      <c r="G4" s="2" t="str">
        <f t="array" ref="G4">INDEX(covid, MATCH($A4, iso_code, 0), MATCH(G$1, columns, 0))</f>
        <v>#N/A</v>
      </c>
      <c r="H4" s="9"/>
      <c r="P4" s="2"/>
    </row>
    <row r="5">
      <c r="A5" s="3" t="s">
        <v>41</v>
      </c>
      <c r="B5" s="3" t="s">
        <v>39</v>
      </c>
      <c r="C5" s="3" t="s">
        <v>42</v>
      </c>
      <c r="D5" s="2">
        <f t="array" ref="D5">INDEX(covid, MATCH($A5, iso_code, 0), MATCH(D$1, columns, 0))</f>
        <v>12115</v>
      </c>
      <c r="E5" s="2">
        <f t="array" ref="E5">INDEX(covid, MATCH($A5, iso_code, 0), MATCH(E$1, columns, 0))</f>
        <v>116</v>
      </c>
      <c r="F5" s="2">
        <f t="array" ref="F5">INDEX(covid, MATCH($A5, iso_code, 0), MATCH(F$1, columns, 0))</f>
        <v>77265</v>
      </c>
      <c r="G5" s="2" t="str">
        <f t="array" ref="G5">INDEX(covid, MATCH($A5, iso_code, 0), MATCH(G$1, columns, 0))</f>
        <v/>
      </c>
      <c r="H5" s="9"/>
      <c r="P5" s="2"/>
    </row>
    <row r="6">
      <c r="A6" s="3" t="s">
        <v>147</v>
      </c>
      <c r="B6" s="3" t="s">
        <v>145</v>
      </c>
      <c r="C6" s="3" t="s">
        <v>148</v>
      </c>
      <c r="D6" s="2" t="str">
        <f t="array" ref="D6">INDEX(covid, MATCH($A6, iso_code, 0), MATCH(D$1, columns, 0))</f>
        <v>#N/A</v>
      </c>
      <c r="E6" s="2" t="str">
        <f t="array" ref="E6">INDEX(covid, MATCH($A6, iso_code, 0), MATCH(E$1, columns, 0))</f>
        <v>#N/A</v>
      </c>
      <c r="F6" s="2" t="str">
        <f t="array" ref="F6">INDEX(covid, MATCH($A6, iso_code, 0), MATCH(F$1, columns, 0))</f>
        <v>#N/A</v>
      </c>
      <c r="G6" s="2" t="str">
        <f t="array" ref="G6">INDEX(covid, MATCH($A6, iso_code, 0), MATCH(G$1, columns, 0))</f>
        <v>#N/A</v>
      </c>
      <c r="H6" s="9"/>
      <c r="P6" s="2"/>
    </row>
    <row r="7">
      <c r="A7" s="3" t="s">
        <v>149</v>
      </c>
      <c r="B7" s="3" t="s">
        <v>150</v>
      </c>
      <c r="C7" s="3" t="s">
        <v>151</v>
      </c>
      <c r="D7" s="2" t="str">
        <f t="array" ref="D7">INDEX(covid, MATCH($A7, iso_code, 0), MATCH(D$1, columns, 0))</f>
        <v>#N/A</v>
      </c>
      <c r="E7" s="2" t="str">
        <f t="array" ref="E7">INDEX(covid, MATCH($A7, iso_code, 0), MATCH(E$1, columns, 0))</f>
        <v>#N/A</v>
      </c>
      <c r="F7" s="2" t="str">
        <f t="array" ref="F7">INDEX(covid, MATCH($A7, iso_code, 0), MATCH(F$1, columns, 0))</f>
        <v>#N/A</v>
      </c>
      <c r="G7" s="2" t="str">
        <f t="array" ref="G7">INDEX(covid, MATCH($A7, iso_code, 0), MATCH(G$1, columns, 0))</f>
        <v>#N/A</v>
      </c>
      <c r="H7" s="9"/>
      <c r="P7" s="2"/>
    </row>
    <row r="8">
      <c r="A8" s="3" t="s">
        <v>152</v>
      </c>
      <c r="B8" s="3" t="s">
        <v>150</v>
      </c>
      <c r="C8" s="3" t="s">
        <v>153</v>
      </c>
      <c r="D8" s="2" t="str">
        <f t="array" ref="D8">INDEX(covid, MATCH($A8, iso_code, 0), MATCH(D$1, columns, 0))</f>
        <v>#N/A</v>
      </c>
      <c r="E8" s="2" t="str">
        <f t="array" ref="E8">INDEX(covid, MATCH($A8, iso_code, 0), MATCH(E$1, columns, 0))</f>
        <v>#N/A</v>
      </c>
      <c r="F8" s="2" t="str">
        <f t="array" ref="F8">INDEX(covid, MATCH($A8, iso_code, 0), MATCH(F$1, columns, 0))</f>
        <v>#N/A</v>
      </c>
      <c r="G8" s="2" t="str">
        <f t="array" ref="G8">INDEX(covid, MATCH($A8, iso_code, 0), MATCH(G$1, columns, 0))</f>
        <v>#N/A</v>
      </c>
      <c r="H8" s="9"/>
      <c r="P8" s="2"/>
    </row>
    <row r="9">
      <c r="A9" s="3" t="s">
        <v>154</v>
      </c>
      <c r="B9" s="3" t="s">
        <v>155</v>
      </c>
      <c r="C9" s="3" t="s">
        <v>156</v>
      </c>
      <c r="D9" s="2" t="str">
        <f t="array" ref="D9">INDEX(covid, MATCH($A9, iso_code, 0), MATCH(D$1, columns, 0))</f>
        <v>#N/A</v>
      </c>
      <c r="E9" s="2" t="str">
        <f t="array" ref="E9">INDEX(covid, MATCH($A9, iso_code, 0), MATCH(E$1, columns, 0))</f>
        <v>#N/A</v>
      </c>
      <c r="F9" s="2" t="str">
        <f t="array" ref="F9">INDEX(covid, MATCH($A9, iso_code, 0), MATCH(F$1, columns, 0))</f>
        <v>#N/A</v>
      </c>
      <c r="G9" s="2" t="str">
        <f t="array" ref="G9">INDEX(covid, MATCH($A9, iso_code, 0), MATCH(G$1, columns, 0))</f>
        <v>#N/A</v>
      </c>
      <c r="H9" s="9"/>
      <c r="P9" s="2"/>
    </row>
    <row r="10">
      <c r="A10" s="3" t="s">
        <v>157</v>
      </c>
      <c r="B10" s="3" t="s">
        <v>142</v>
      </c>
      <c r="C10" s="3" t="s">
        <v>158</v>
      </c>
      <c r="D10" s="2" t="str">
        <f t="array" ref="D10">INDEX(covid, MATCH($A10, iso_code, 0), MATCH(D$1, columns, 0))</f>
        <v>#N/A</v>
      </c>
      <c r="E10" s="2" t="str">
        <f t="array" ref="E10">INDEX(covid, MATCH($A10, iso_code, 0), MATCH(E$1, columns, 0))</f>
        <v>#N/A</v>
      </c>
      <c r="F10" s="2" t="str">
        <f t="array" ref="F10">INDEX(covid, MATCH($A10, iso_code, 0), MATCH(F$1, columns, 0))</f>
        <v>#N/A</v>
      </c>
      <c r="G10" s="2" t="str">
        <f t="array" ref="G10">INDEX(covid, MATCH($A10, iso_code, 0), MATCH(G$1, columns, 0))</f>
        <v>#N/A</v>
      </c>
      <c r="H10" s="9"/>
      <c r="P10" s="2"/>
    </row>
    <row r="11">
      <c r="A11" s="3" t="s">
        <v>159</v>
      </c>
      <c r="B11" s="3" t="s">
        <v>150</v>
      </c>
      <c r="C11" s="3" t="s">
        <v>160</v>
      </c>
      <c r="D11" s="2" t="str">
        <f t="array" ref="D11">INDEX(covid, MATCH($A11, iso_code, 0), MATCH(D$1, columns, 0))</f>
        <v>#N/A</v>
      </c>
      <c r="E11" s="2" t="str">
        <f t="array" ref="E11">INDEX(covid, MATCH($A11, iso_code, 0), MATCH(E$1, columns, 0))</f>
        <v>#N/A</v>
      </c>
      <c r="F11" s="2" t="str">
        <f t="array" ref="F11">INDEX(covid, MATCH($A11, iso_code, 0), MATCH(F$1, columns, 0))</f>
        <v>#N/A</v>
      </c>
      <c r="G11" s="2" t="str">
        <f t="array" ref="G11">INDEX(covid, MATCH($A11, iso_code, 0), MATCH(G$1, columns, 0))</f>
        <v>#N/A</v>
      </c>
      <c r="H11" s="9"/>
      <c r="P11" s="2"/>
    </row>
    <row r="12">
      <c r="A12" s="3" t="s">
        <v>161</v>
      </c>
      <c r="B12" s="3" t="s">
        <v>162</v>
      </c>
      <c r="C12" s="3" t="s">
        <v>163</v>
      </c>
      <c r="D12" s="2" t="str">
        <f t="array" ref="D12">INDEX(covid, MATCH($A12, iso_code, 0), MATCH(D$1, columns, 0))</f>
        <v>#N/A</v>
      </c>
      <c r="E12" s="2" t="str">
        <f t="array" ref="E12">INDEX(covid, MATCH($A12, iso_code, 0), MATCH(E$1, columns, 0))</f>
        <v>#N/A</v>
      </c>
      <c r="F12" s="2" t="str">
        <f t="array" ref="F12">INDEX(covid, MATCH($A12, iso_code, 0), MATCH(F$1, columns, 0))</f>
        <v>#N/A</v>
      </c>
      <c r="G12" s="2" t="str">
        <f t="array" ref="G12">INDEX(covid, MATCH($A12, iso_code, 0), MATCH(G$1, columns, 0))</f>
        <v>#N/A</v>
      </c>
      <c r="H12" s="9"/>
      <c r="I12" s="2"/>
      <c r="J12" s="2"/>
      <c r="K12" s="2"/>
      <c r="L12" s="2"/>
      <c r="M12" s="2"/>
      <c r="N12" s="2"/>
      <c r="O12" s="2"/>
      <c r="P12" s="2"/>
    </row>
    <row r="13">
      <c r="A13" s="3" t="s">
        <v>43</v>
      </c>
      <c r="B13" s="3" t="s">
        <v>39</v>
      </c>
      <c r="C13" s="3" t="s">
        <v>44</v>
      </c>
      <c r="D13" s="2">
        <f t="array" ref="D13">INDEX(covid, MATCH($A13, iso_code, 0), MATCH(D$1, columns, 0))</f>
        <v>552729</v>
      </c>
      <c r="E13" s="2">
        <f t="array" ref="E13">INDEX(covid, MATCH($A13, iso_code, 0), MATCH(E$1, columns, 0))</f>
        <v>9397</v>
      </c>
      <c r="F13" s="2">
        <f t="array" ref="F13">INDEX(covid, MATCH($A13, iso_code, 0), MATCH(F$1, columns, 0))</f>
        <v>9006400</v>
      </c>
      <c r="G13" s="2">
        <f t="array" ref="G13">INDEX(covid, MATCH($A13, iso_code, 0), MATCH(G$1, columns, 0))</f>
        <v>45436.686</v>
      </c>
      <c r="H13" s="9"/>
      <c r="P13" s="2"/>
    </row>
    <row r="14">
      <c r="A14" s="3" t="s">
        <v>164</v>
      </c>
      <c r="B14" s="3" t="s">
        <v>142</v>
      </c>
      <c r="C14" s="3" t="s">
        <v>165</v>
      </c>
      <c r="D14" s="2" t="str">
        <f t="array" ref="D14">INDEX(covid, MATCH($A14, iso_code, 0), MATCH(D$1, columns, 0))</f>
        <v>#N/A</v>
      </c>
      <c r="E14" s="2" t="str">
        <f t="array" ref="E14">INDEX(covid, MATCH($A14, iso_code, 0), MATCH(E$1, columns, 0))</f>
        <v>#N/A</v>
      </c>
      <c r="F14" s="2" t="str">
        <f t="array" ref="F14">INDEX(covid, MATCH($A14, iso_code, 0), MATCH(F$1, columns, 0))</f>
        <v>#N/A</v>
      </c>
      <c r="G14" s="2" t="str">
        <f t="array" ref="G14">INDEX(covid, MATCH($A14, iso_code, 0), MATCH(G$1, columns, 0))</f>
        <v>#N/A</v>
      </c>
      <c r="H14" s="9"/>
      <c r="P14" s="2"/>
    </row>
    <row r="15">
      <c r="A15" s="3" t="s">
        <v>166</v>
      </c>
      <c r="B15" s="3" t="s">
        <v>150</v>
      </c>
      <c r="C15" s="3" t="s">
        <v>167</v>
      </c>
      <c r="D15" s="2" t="str">
        <f t="array" ref="D15">INDEX(covid, MATCH($A15, iso_code, 0), MATCH(D$1, columns, 0))</f>
        <v>#N/A</v>
      </c>
      <c r="E15" s="2" t="str">
        <f t="array" ref="E15">INDEX(covid, MATCH($A15, iso_code, 0), MATCH(E$1, columns, 0))</f>
        <v>#N/A</v>
      </c>
      <c r="F15" s="2" t="str">
        <f t="array" ref="F15">INDEX(covid, MATCH($A15, iso_code, 0), MATCH(F$1, columns, 0))</f>
        <v>#N/A</v>
      </c>
      <c r="G15" s="2" t="str">
        <f t="array" ref="G15">INDEX(covid, MATCH($A15, iso_code, 0), MATCH(G$1, columns, 0))</f>
        <v>#N/A</v>
      </c>
      <c r="H15" s="9"/>
      <c r="P15" s="2"/>
    </row>
    <row r="16">
      <c r="A16" s="3" t="s">
        <v>168</v>
      </c>
      <c r="B16" s="3" t="s">
        <v>142</v>
      </c>
      <c r="C16" s="3" t="s">
        <v>169</v>
      </c>
      <c r="D16" s="2" t="str">
        <f t="array" ref="D16">INDEX(covid, MATCH($A16, iso_code, 0), MATCH(D$1, columns, 0))</f>
        <v>#N/A</v>
      </c>
      <c r="E16" s="2" t="str">
        <f t="array" ref="E16">INDEX(covid, MATCH($A16, iso_code, 0), MATCH(E$1, columns, 0))</f>
        <v>#N/A</v>
      </c>
      <c r="F16" s="2" t="str">
        <f t="array" ref="F16">INDEX(covid, MATCH($A16, iso_code, 0), MATCH(F$1, columns, 0))</f>
        <v>#N/A</v>
      </c>
      <c r="G16" s="2" t="str">
        <f t="array" ref="G16">INDEX(covid, MATCH($A16, iso_code, 0), MATCH(G$1, columns, 0))</f>
        <v>#N/A</v>
      </c>
      <c r="H16" s="9"/>
      <c r="I16" s="4" t="s">
        <v>466</v>
      </c>
      <c r="J16" s="11"/>
      <c r="K16" s="11" t="s">
        <v>3</v>
      </c>
      <c r="L16" s="11" t="s">
        <v>30</v>
      </c>
      <c r="M16" s="11" t="s">
        <v>32</v>
      </c>
      <c r="N16" s="11" t="s">
        <v>28</v>
      </c>
      <c r="O16" s="11" t="s">
        <v>12</v>
      </c>
      <c r="P16" s="2"/>
    </row>
    <row r="17">
      <c r="A17" s="3" t="s">
        <v>170</v>
      </c>
      <c r="B17" s="3" t="s">
        <v>142</v>
      </c>
      <c r="C17" s="3" t="s">
        <v>171</v>
      </c>
      <c r="D17" s="2" t="str">
        <f t="array" ref="D17">INDEX(covid, MATCH($A17, iso_code, 0), MATCH(D$1, columns, 0))</f>
        <v>#N/A</v>
      </c>
      <c r="E17" s="2" t="str">
        <f t="array" ref="E17">INDEX(covid, MATCH($A17, iso_code, 0), MATCH(E$1, columns, 0))</f>
        <v>#N/A</v>
      </c>
      <c r="F17" s="2" t="str">
        <f t="array" ref="F17">INDEX(covid, MATCH($A17, iso_code, 0), MATCH(F$1, columns, 0))</f>
        <v>#N/A</v>
      </c>
      <c r="G17" s="2" t="str">
        <f t="array" ref="G17">INDEX(covid, MATCH($A17, iso_code, 0), MATCH(G$1, columns, 0))</f>
        <v>#N/A</v>
      </c>
      <c r="H17" s="9"/>
      <c r="I17" s="2"/>
      <c r="J17" s="2"/>
      <c r="K17" s="12" t="str">
        <f>IFERROR(__xludf.DUMMYFUNCTION("SORTN(FILTER(results_with_index, NOT(ISNA(total_cases_index))), $I$19, ,$I$22, $I$25)"),"Moldova")</f>
        <v>Moldova</v>
      </c>
      <c r="L17" s="2">
        <f>IFERROR(__xludf.DUMMYFUNCTION("""COMPUTED_VALUE"""),233136.0)</f>
        <v>233136</v>
      </c>
      <c r="M17" s="2">
        <f>IFERROR(__xludf.DUMMYFUNCTION("""COMPUTED_VALUE"""),5048.0)</f>
        <v>5048</v>
      </c>
      <c r="N17" s="2">
        <f>IFERROR(__xludf.DUMMYFUNCTION("""COMPUTED_VALUE"""),4033963.0)</f>
        <v>4033963</v>
      </c>
      <c r="O17" s="2">
        <f>IFERROR(__xludf.DUMMYFUNCTION("""COMPUTED_VALUE"""),5189.972)</f>
        <v>5189.972</v>
      </c>
      <c r="P17" s="2"/>
    </row>
    <row r="18">
      <c r="A18" s="3" t="s">
        <v>172</v>
      </c>
      <c r="B18" s="3" t="s">
        <v>150</v>
      </c>
      <c r="C18" s="3" t="s">
        <v>173</v>
      </c>
      <c r="D18" s="2" t="str">
        <f t="array" ref="D18">INDEX(covid, MATCH($A18, iso_code, 0), MATCH(D$1, columns, 0))</f>
        <v>#N/A</v>
      </c>
      <c r="E18" s="2" t="str">
        <f t="array" ref="E18">INDEX(covid, MATCH($A18, iso_code, 0), MATCH(E$1, columns, 0))</f>
        <v>#N/A</v>
      </c>
      <c r="F18" s="2" t="str">
        <f t="array" ref="F18">INDEX(covid, MATCH($A18, iso_code, 0), MATCH(F$1, columns, 0))</f>
        <v>#N/A</v>
      </c>
      <c r="G18" s="2" t="str">
        <f t="array" ref="G18">INDEX(covid, MATCH($A18, iso_code, 0), MATCH(G$1, columns, 0))</f>
        <v>#N/A</v>
      </c>
      <c r="H18" s="9"/>
      <c r="I18" s="13" t="s">
        <v>467</v>
      </c>
      <c r="J18" s="2"/>
      <c r="K18" s="2" t="str">
        <f>IFERROR(__xludf.DUMMYFUNCTION("""COMPUTED_VALUE"""),"Ukraine")</f>
        <v>Ukraine</v>
      </c>
      <c r="L18" s="2">
        <f>IFERROR(__xludf.DUMMYFUNCTION("""COMPUTED_VALUE"""),1762713.0)</f>
        <v>1762713</v>
      </c>
      <c r="M18" s="2">
        <f>IFERROR(__xludf.DUMMYFUNCTION("""COMPUTED_VALUE"""),35326.0)</f>
        <v>35326</v>
      </c>
      <c r="N18" s="2">
        <f>IFERROR(__xludf.DUMMYFUNCTION("""COMPUTED_VALUE"""),4.3733759E7)</f>
        <v>43733759</v>
      </c>
      <c r="O18" s="2">
        <f>IFERROR(__xludf.DUMMYFUNCTION("""COMPUTED_VALUE"""),7894.393)</f>
        <v>7894.393</v>
      </c>
      <c r="P18" s="2"/>
    </row>
    <row r="19">
      <c r="A19" s="3" t="s">
        <v>51</v>
      </c>
      <c r="B19" s="3" t="s">
        <v>39</v>
      </c>
      <c r="C19" s="3" t="s">
        <v>52</v>
      </c>
      <c r="D19" s="2">
        <f t="array" ref="D19">INDEX(covid, MATCH($A19, iso_code, 0), MATCH(D$1, columns, 0))</f>
        <v>324694</v>
      </c>
      <c r="E19" s="2">
        <f t="array" ref="E19">INDEX(covid, MATCH($A19, iso_code, 0), MATCH(E$1, columns, 0))</f>
        <v>2267</v>
      </c>
      <c r="F19" s="2">
        <f t="array" ref="F19">INDEX(covid, MATCH($A19, iso_code, 0), MATCH(F$1, columns, 0))</f>
        <v>9449321</v>
      </c>
      <c r="G19" s="2">
        <f t="array" ref="G19">INDEX(covid, MATCH($A19, iso_code, 0), MATCH(G$1, columns, 0))</f>
        <v>17167.967</v>
      </c>
      <c r="H19" s="9"/>
      <c r="I19" s="14">
        <v>20.0</v>
      </c>
      <c r="J19" s="2"/>
      <c r="K19" s="2" t="str">
        <f>IFERROR(__xludf.DUMMYFUNCTION("""COMPUTED_VALUE"""),"Kosovo")</f>
        <v>Kosovo</v>
      </c>
      <c r="L19" s="2">
        <f>IFERROR(__xludf.DUMMYFUNCTION("""COMPUTED_VALUE"""),91079.0)</f>
        <v>91079</v>
      </c>
      <c r="M19" s="2">
        <f>IFERROR(__xludf.DUMMYFUNCTION("""COMPUTED_VALUE"""),1892.0)</f>
        <v>1892</v>
      </c>
      <c r="N19" s="2">
        <f>IFERROR(__xludf.DUMMYFUNCTION("""COMPUTED_VALUE"""),1932774.0)</f>
        <v>1932774</v>
      </c>
      <c r="O19" s="2">
        <f>IFERROR(__xludf.DUMMYFUNCTION("""COMPUTED_VALUE"""),9795.834)</f>
        <v>9795.834</v>
      </c>
      <c r="P19" s="2"/>
    </row>
    <row r="20">
      <c r="A20" s="3" t="s">
        <v>45</v>
      </c>
      <c r="B20" s="3" t="s">
        <v>39</v>
      </c>
      <c r="C20" s="3" t="s">
        <v>46</v>
      </c>
      <c r="D20" s="2">
        <f t="array" ref="D20">INDEX(covid, MATCH($A20, iso_code, 0), MATCH(D$1, columns, 0))</f>
        <v>892585</v>
      </c>
      <c r="E20" s="2">
        <f t="array" ref="E20">INDEX(covid, MATCH($A20, iso_code, 0), MATCH(E$1, columns, 0))</f>
        <v>23083</v>
      </c>
      <c r="F20" s="2">
        <f t="array" ref="F20">INDEX(covid, MATCH($A20, iso_code, 0), MATCH(F$1, columns, 0))</f>
        <v>11589616</v>
      </c>
      <c r="G20" s="2">
        <f t="array" ref="G20">INDEX(covid, MATCH($A20, iso_code, 0), MATCH(G$1, columns, 0))</f>
        <v>42658.576</v>
      </c>
      <c r="H20" s="9"/>
      <c r="I20" s="15"/>
      <c r="J20" s="2"/>
      <c r="K20" s="2" t="str">
        <f>IFERROR(__xludf.DUMMYFUNCTION("""COMPUTED_VALUE"""),"Bosnia and Herzegovina")</f>
        <v>Bosnia and Herzegovina</v>
      </c>
      <c r="L20" s="2">
        <f>IFERROR(__xludf.DUMMYFUNCTION("""COMPUTED_VALUE"""),173478.0)</f>
        <v>173478</v>
      </c>
      <c r="M20" s="2">
        <f>IFERROR(__xludf.DUMMYFUNCTION("""COMPUTED_VALUE"""),6763.0)</f>
        <v>6763</v>
      </c>
      <c r="N20" s="2">
        <f>IFERROR(__xludf.DUMMYFUNCTION("""COMPUTED_VALUE"""),3280815.0)</f>
        <v>3280815</v>
      </c>
      <c r="O20" s="2">
        <f>IFERROR(__xludf.DUMMYFUNCTION("""COMPUTED_VALUE"""),11713.895)</f>
        <v>11713.895</v>
      </c>
      <c r="P20" s="2"/>
    </row>
    <row r="21">
      <c r="A21" s="3" t="s">
        <v>174</v>
      </c>
      <c r="B21" s="3" t="s">
        <v>150</v>
      </c>
      <c r="C21" s="3" t="s">
        <v>175</v>
      </c>
      <c r="D21" s="2" t="str">
        <f t="array" ref="D21">INDEX(covid, MATCH($A21, iso_code, 0), MATCH(D$1, columns, 0))</f>
        <v>#N/A</v>
      </c>
      <c r="E21" s="2" t="str">
        <f t="array" ref="E21">INDEX(covid, MATCH($A21, iso_code, 0), MATCH(E$1, columns, 0))</f>
        <v>#N/A</v>
      </c>
      <c r="F21" s="2" t="str">
        <f t="array" ref="F21">INDEX(covid, MATCH($A21, iso_code, 0), MATCH(F$1, columns, 0))</f>
        <v>#N/A</v>
      </c>
      <c r="G21" s="2" t="str">
        <f t="array" ref="G21">INDEX(covid, MATCH($A21, iso_code, 0), MATCH(G$1, columns, 0))</f>
        <v>#N/A</v>
      </c>
      <c r="H21" s="9"/>
      <c r="I21" s="13" t="s">
        <v>468</v>
      </c>
      <c r="J21" s="2"/>
      <c r="K21" s="2" t="str">
        <f>IFERROR(__xludf.DUMMYFUNCTION("""COMPUTED_VALUE"""),"Albania")</f>
        <v>Albania</v>
      </c>
      <c r="L21" s="2">
        <f>IFERROR(__xludf.DUMMYFUNCTION("""COMPUTED_VALUE"""),125842.0)</f>
        <v>125842</v>
      </c>
      <c r="M21" s="2">
        <f>IFERROR(__xludf.DUMMYFUNCTION("""COMPUTED_VALUE"""),2247.0)</f>
        <v>2247</v>
      </c>
      <c r="N21" s="2">
        <f>IFERROR(__xludf.DUMMYFUNCTION("""COMPUTED_VALUE"""),2877800.0)</f>
        <v>2877800</v>
      </c>
      <c r="O21" s="2">
        <f>IFERROR(__xludf.DUMMYFUNCTION("""COMPUTED_VALUE"""),11803.431)</f>
        <v>11803.431</v>
      </c>
      <c r="P21" s="2"/>
    </row>
    <row r="22">
      <c r="A22" s="3" t="s">
        <v>176</v>
      </c>
      <c r="B22" s="3" t="s">
        <v>145</v>
      </c>
      <c r="C22" s="3" t="s">
        <v>177</v>
      </c>
      <c r="D22" s="2" t="str">
        <f t="array" ref="D22">INDEX(covid, MATCH($A22, iso_code, 0), MATCH(D$1, columns, 0))</f>
        <v>#N/A</v>
      </c>
      <c r="E22" s="2" t="str">
        <f t="array" ref="E22">INDEX(covid, MATCH($A22, iso_code, 0), MATCH(E$1, columns, 0))</f>
        <v>#N/A</v>
      </c>
      <c r="F22" s="2" t="str">
        <f t="array" ref="F22">INDEX(covid, MATCH($A22, iso_code, 0), MATCH(F$1, columns, 0))</f>
        <v>#N/A</v>
      </c>
      <c r="G22" s="2" t="str">
        <f t="array" ref="G22">INDEX(covid, MATCH($A22, iso_code, 0), MATCH(G$1, columns, 0))</f>
        <v>#N/A</v>
      </c>
      <c r="H22" s="9"/>
      <c r="I22" s="14">
        <v>5.0</v>
      </c>
      <c r="J22" s="2"/>
      <c r="K22" s="2" t="str">
        <f>IFERROR(__xludf.DUMMYFUNCTION("""COMPUTED_VALUE"""),"Macedonia")</f>
        <v>Macedonia</v>
      </c>
      <c r="L22" s="2">
        <f>IFERROR(__xludf.DUMMYFUNCTION("""COMPUTED_VALUE"""),132740.0)</f>
        <v>132740</v>
      </c>
      <c r="M22" s="2">
        <f>IFERROR(__xludf.DUMMYFUNCTION("""COMPUTED_VALUE"""),3860.0)</f>
        <v>3860</v>
      </c>
      <c r="N22" s="2">
        <f>IFERROR(__xludf.DUMMYFUNCTION("""COMPUTED_VALUE"""),2083380.0)</f>
        <v>2083380</v>
      </c>
      <c r="O22" s="2">
        <f>IFERROR(__xludf.DUMMYFUNCTION("""COMPUTED_VALUE"""),13111.214)</f>
        <v>13111.214</v>
      </c>
      <c r="P22" s="2"/>
    </row>
    <row r="23">
      <c r="A23" s="3" t="s">
        <v>178</v>
      </c>
      <c r="B23" s="3" t="s">
        <v>150</v>
      </c>
      <c r="C23" s="3" t="s">
        <v>179</v>
      </c>
      <c r="D23" s="2" t="str">
        <f t="array" ref="D23">INDEX(covid, MATCH($A23, iso_code, 0), MATCH(D$1, columns, 0))</f>
        <v>#N/A</v>
      </c>
      <c r="E23" s="2" t="str">
        <f t="array" ref="E23">INDEX(covid, MATCH($A23, iso_code, 0), MATCH(E$1, columns, 0))</f>
        <v>#N/A</v>
      </c>
      <c r="F23" s="2" t="str">
        <f t="array" ref="F23">INDEX(covid, MATCH($A23, iso_code, 0), MATCH(F$1, columns, 0))</f>
        <v>#N/A</v>
      </c>
      <c r="G23" s="2" t="str">
        <f t="array" ref="G23">INDEX(covid, MATCH($A23, iso_code, 0), MATCH(G$1, columns, 0))</f>
        <v>#N/A</v>
      </c>
      <c r="H23" s="9"/>
      <c r="I23" s="15"/>
      <c r="J23" s="2"/>
      <c r="K23" s="2" t="str">
        <f>IFERROR(__xludf.DUMMYFUNCTION("""COMPUTED_VALUE"""),"Serbia")</f>
        <v>Serbia</v>
      </c>
      <c r="L23" s="2">
        <f>IFERROR(__xludf.DUMMYFUNCTION("""COMPUTED_VALUE"""),610232.0)</f>
        <v>610232</v>
      </c>
      <c r="M23" s="2">
        <f>IFERROR(__xludf.DUMMYFUNCTION("""COMPUTED_VALUE"""),5384.0)</f>
        <v>5384</v>
      </c>
      <c r="N23" s="2">
        <f>IFERROR(__xludf.DUMMYFUNCTION("""COMPUTED_VALUE"""),6804596.0)</f>
        <v>6804596</v>
      </c>
      <c r="O23" s="2">
        <f>IFERROR(__xludf.DUMMYFUNCTION("""COMPUTED_VALUE"""),14048.881)</f>
        <v>14048.881</v>
      </c>
      <c r="P23" s="2"/>
    </row>
    <row r="24">
      <c r="A24" s="3" t="s">
        <v>180</v>
      </c>
      <c r="B24" s="3" t="s">
        <v>142</v>
      </c>
      <c r="C24" s="3" t="s">
        <v>181</v>
      </c>
      <c r="D24" s="2" t="str">
        <f t="array" ref="D24">INDEX(covid, MATCH($A24, iso_code, 0), MATCH(D$1, columns, 0))</f>
        <v>#N/A</v>
      </c>
      <c r="E24" s="2" t="str">
        <f t="array" ref="E24">INDEX(covid, MATCH($A24, iso_code, 0), MATCH(E$1, columns, 0))</f>
        <v>#N/A</v>
      </c>
      <c r="F24" s="2" t="str">
        <f t="array" ref="F24">INDEX(covid, MATCH($A24, iso_code, 0), MATCH(F$1, columns, 0))</f>
        <v>#N/A</v>
      </c>
      <c r="G24" s="2" t="str">
        <f t="array" ref="G24">INDEX(covid, MATCH($A24, iso_code, 0), MATCH(G$1, columns, 0))</f>
        <v>#N/A</v>
      </c>
      <c r="H24" s="9"/>
      <c r="I24" s="13" t="s">
        <v>469</v>
      </c>
      <c r="J24" s="2"/>
      <c r="K24" s="2" t="str">
        <f>IFERROR(__xludf.DUMMYFUNCTION("""COMPUTED_VALUE"""),"Montenegro")</f>
        <v>Montenegro</v>
      </c>
      <c r="L24" s="2">
        <f>IFERROR(__xludf.DUMMYFUNCTION("""COMPUTED_VALUE"""),91906.0)</f>
        <v>91906</v>
      </c>
      <c r="M24" s="2">
        <f>IFERROR(__xludf.DUMMYFUNCTION("""COMPUTED_VALUE"""),1296.0)</f>
        <v>1296</v>
      </c>
      <c r="N24" s="2">
        <f>IFERROR(__xludf.DUMMYFUNCTION("""COMPUTED_VALUE"""),628062.0)</f>
        <v>628062</v>
      </c>
      <c r="O24" s="2">
        <f>IFERROR(__xludf.DUMMYFUNCTION("""COMPUTED_VALUE"""),16409.288)</f>
        <v>16409.288</v>
      </c>
      <c r="P24" s="2"/>
    </row>
    <row r="25">
      <c r="A25" s="3" t="s">
        <v>182</v>
      </c>
      <c r="B25" s="3" t="s">
        <v>155</v>
      </c>
      <c r="C25" s="3" t="s">
        <v>183</v>
      </c>
      <c r="D25" s="2" t="str">
        <f t="array" ref="D25">INDEX(covid, MATCH($A25, iso_code, 0), MATCH(D$1, columns, 0))</f>
        <v>#N/A</v>
      </c>
      <c r="E25" s="2" t="str">
        <f t="array" ref="E25">INDEX(covid, MATCH($A25, iso_code, 0), MATCH(E$1, columns, 0))</f>
        <v>#N/A</v>
      </c>
      <c r="F25" s="2" t="str">
        <f t="array" ref="F25">INDEX(covid, MATCH($A25, iso_code, 0), MATCH(F$1, columns, 0))</f>
        <v>#N/A</v>
      </c>
      <c r="G25" s="2" t="str">
        <f t="array" ref="G25">INDEX(covid, MATCH($A25, iso_code, 0), MATCH(G$1, columns, 0))</f>
        <v>#N/A</v>
      </c>
      <c r="H25" s="9"/>
      <c r="I25" s="16" t="b">
        <v>1</v>
      </c>
      <c r="J25" s="2"/>
      <c r="K25" s="2" t="str">
        <f>IFERROR(__xludf.DUMMYFUNCTION("""COMPUTED_VALUE"""),"Belarus")</f>
        <v>Belarus</v>
      </c>
      <c r="L25" s="2">
        <f>IFERROR(__xludf.DUMMYFUNCTION("""COMPUTED_VALUE"""),324694.0)</f>
        <v>324694</v>
      </c>
      <c r="M25" s="2">
        <f>IFERROR(__xludf.DUMMYFUNCTION("""COMPUTED_VALUE"""),2267.0)</f>
        <v>2267</v>
      </c>
      <c r="N25" s="2">
        <f>IFERROR(__xludf.DUMMYFUNCTION("""COMPUTED_VALUE"""),9449321.0)</f>
        <v>9449321</v>
      </c>
      <c r="O25" s="2">
        <f>IFERROR(__xludf.DUMMYFUNCTION("""COMPUTED_VALUE"""),17167.967)</f>
        <v>17167.967</v>
      </c>
      <c r="P25" s="2"/>
    </row>
    <row r="26">
      <c r="A26" s="3" t="s">
        <v>184</v>
      </c>
      <c r="B26" s="3" t="s">
        <v>150</v>
      </c>
      <c r="C26" s="3" t="s">
        <v>185</v>
      </c>
      <c r="D26" s="2" t="str">
        <f t="array" ref="D26">INDEX(covid, MATCH($A26, iso_code, 0), MATCH(D$1, columns, 0))</f>
        <v>#N/A</v>
      </c>
      <c r="E26" s="2" t="str">
        <f t="array" ref="E26">INDEX(covid, MATCH($A26, iso_code, 0), MATCH(E$1, columns, 0))</f>
        <v>#N/A</v>
      </c>
      <c r="F26" s="2" t="str">
        <f t="array" ref="F26">INDEX(covid, MATCH($A26, iso_code, 0), MATCH(F$1, columns, 0))</f>
        <v>#N/A</v>
      </c>
      <c r="G26" s="2" t="str">
        <f t="array" ref="G26">INDEX(covid, MATCH($A26, iso_code, 0), MATCH(G$1, columns, 0))</f>
        <v>#N/A</v>
      </c>
      <c r="H26" s="9"/>
      <c r="I26" s="2"/>
      <c r="J26" s="2"/>
      <c r="K26" s="2" t="str">
        <f>IFERROR(__xludf.DUMMYFUNCTION("""COMPUTED_VALUE"""),"Bulgaria")</f>
        <v>Bulgaria</v>
      </c>
      <c r="L26" s="2">
        <f>IFERROR(__xludf.DUMMYFUNCTION("""COMPUTED_VALUE"""),350340.0)</f>
        <v>350340</v>
      </c>
      <c r="M26" s="2">
        <f>IFERROR(__xludf.DUMMYFUNCTION("""COMPUTED_VALUE"""),13438.0)</f>
        <v>13438</v>
      </c>
      <c r="N26" s="2">
        <f>IFERROR(__xludf.DUMMYFUNCTION("""COMPUTED_VALUE"""),6948445.0)</f>
        <v>6948445</v>
      </c>
      <c r="O26" s="2">
        <f>IFERROR(__xludf.DUMMYFUNCTION("""COMPUTED_VALUE"""),18563.307)</f>
        <v>18563.307</v>
      </c>
      <c r="P26" s="2"/>
    </row>
    <row r="27">
      <c r="A27" s="3" t="s">
        <v>49</v>
      </c>
      <c r="B27" s="3" t="s">
        <v>39</v>
      </c>
      <c r="C27" s="3" t="s">
        <v>50</v>
      </c>
      <c r="D27" s="2">
        <f t="array" ref="D27">INDEX(covid, MATCH($A27, iso_code, 0), MATCH(D$1, columns, 0))</f>
        <v>173478</v>
      </c>
      <c r="E27" s="2">
        <f t="array" ref="E27">INDEX(covid, MATCH($A27, iso_code, 0), MATCH(E$1, columns, 0))</f>
        <v>6763</v>
      </c>
      <c r="F27" s="2">
        <f t="array" ref="F27">INDEX(covid, MATCH($A27, iso_code, 0), MATCH(F$1, columns, 0))</f>
        <v>3280815</v>
      </c>
      <c r="G27" s="2">
        <f t="array" ref="G27">INDEX(covid, MATCH($A27, iso_code, 0), MATCH(G$1, columns, 0))</f>
        <v>11713.895</v>
      </c>
      <c r="H27" s="9"/>
      <c r="K27" s="17" t="str">
        <f>IFERROR(__xludf.DUMMYFUNCTION("""COMPUTED_VALUE"""),"Croatia")</f>
        <v>Croatia</v>
      </c>
      <c r="L27" s="17">
        <f>IFERROR(__xludf.DUMMYFUNCTION("""COMPUTED_VALUE"""),276416.0)</f>
        <v>276416</v>
      </c>
      <c r="M27" s="17">
        <f>IFERROR(__xludf.DUMMYFUNCTION("""COMPUTED_VALUE"""),5996.0)</f>
        <v>5996</v>
      </c>
      <c r="N27" s="17">
        <f>IFERROR(__xludf.DUMMYFUNCTION("""COMPUTED_VALUE"""),4105268.0)</f>
        <v>4105268</v>
      </c>
      <c r="O27" s="17">
        <f>IFERROR(__xludf.DUMMYFUNCTION("""COMPUTED_VALUE"""),22669.797)</f>
        <v>22669.797</v>
      </c>
      <c r="P27" s="2"/>
    </row>
    <row r="28">
      <c r="A28" s="3" t="s">
        <v>186</v>
      </c>
      <c r="B28" s="3" t="s">
        <v>145</v>
      </c>
      <c r="C28" s="3" t="s">
        <v>187</v>
      </c>
      <c r="D28" s="2" t="str">
        <f t="array" ref="D28">INDEX(covid, MATCH($A28, iso_code, 0), MATCH(D$1, columns, 0))</f>
        <v>#N/A</v>
      </c>
      <c r="E28" s="2" t="str">
        <f t="array" ref="E28">INDEX(covid, MATCH($A28, iso_code, 0), MATCH(E$1, columns, 0))</f>
        <v>#N/A</v>
      </c>
      <c r="F28" s="2" t="str">
        <f t="array" ref="F28">INDEX(covid, MATCH($A28, iso_code, 0), MATCH(F$1, columns, 0))</f>
        <v>#N/A</v>
      </c>
      <c r="G28" s="2" t="str">
        <f t="array" ref="G28">INDEX(covid, MATCH($A28, iso_code, 0), MATCH(G$1, columns, 0))</f>
        <v>#N/A</v>
      </c>
      <c r="H28" s="9"/>
      <c r="K28" s="17" t="str">
        <f>IFERROR(__xludf.DUMMYFUNCTION("""COMPUTED_VALUE"""),"Romania")</f>
        <v>Romania</v>
      </c>
      <c r="L28" s="17">
        <f>IFERROR(__xludf.DUMMYFUNCTION("""COMPUTED_VALUE"""),964726.0)</f>
        <v>964726</v>
      </c>
      <c r="M28" s="17">
        <f>IFERROR(__xludf.DUMMYFUNCTION("""COMPUTED_VALUE"""),23819.0)</f>
        <v>23819</v>
      </c>
      <c r="N28" s="17">
        <f>IFERROR(__xludf.DUMMYFUNCTION("""COMPUTED_VALUE"""),1.9237682E7)</f>
        <v>19237682</v>
      </c>
      <c r="O28" s="17">
        <f>IFERROR(__xludf.DUMMYFUNCTION("""COMPUTED_VALUE"""),23313.199)</f>
        <v>23313.199</v>
      </c>
      <c r="P28" s="2"/>
    </row>
    <row r="29">
      <c r="A29" s="3" t="s">
        <v>188</v>
      </c>
      <c r="B29" s="3" t="s">
        <v>155</v>
      </c>
      <c r="C29" s="3" t="s">
        <v>189</v>
      </c>
      <c r="D29" s="2" t="str">
        <f t="array" ref="D29">INDEX(covid, MATCH($A29, iso_code, 0), MATCH(D$1, columns, 0))</f>
        <v>#N/A</v>
      </c>
      <c r="E29" s="2" t="str">
        <f t="array" ref="E29">INDEX(covid, MATCH($A29, iso_code, 0), MATCH(E$1, columns, 0))</f>
        <v>#N/A</v>
      </c>
      <c r="F29" s="2" t="str">
        <f t="array" ref="F29">INDEX(covid, MATCH($A29, iso_code, 0), MATCH(F$1, columns, 0))</f>
        <v>#N/A</v>
      </c>
      <c r="G29" s="2" t="str">
        <f t="array" ref="G29">INDEX(covid, MATCH($A29, iso_code, 0), MATCH(G$1, columns, 0))</f>
        <v>#N/A</v>
      </c>
      <c r="H29" s="9"/>
      <c r="K29" s="17" t="str">
        <f>IFERROR(__xludf.DUMMYFUNCTION("""COMPUTED_VALUE"""),"Greece")</f>
        <v>Greece</v>
      </c>
      <c r="L29" s="17">
        <f>IFERROR(__xludf.DUMMYFUNCTION("""COMPUTED_VALUE"""),270230.0)</f>
        <v>270230</v>
      </c>
      <c r="M29" s="17">
        <f>IFERROR(__xludf.DUMMYFUNCTION("""COMPUTED_VALUE"""),8232.0)</f>
        <v>8232</v>
      </c>
      <c r="N29" s="17">
        <f>IFERROR(__xludf.DUMMYFUNCTION("""COMPUTED_VALUE"""),1.0423056E7)</f>
        <v>10423056</v>
      </c>
      <c r="O29" s="17">
        <f>IFERROR(__xludf.DUMMYFUNCTION("""COMPUTED_VALUE"""),24574.382)</f>
        <v>24574.382</v>
      </c>
      <c r="P29" s="2"/>
    </row>
    <row r="30">
      <c r="A30" s="3" t="s">
        <v>190</v>
      </c>
      <c r="B30" s="3" t="s">
        <v>150</v>
      </c>
      <c r="C30" s="3" t="s">
        <v>191</v>
      </c>
      <c r="D30" s="2" t="str">
        <f t="array" ref="D30">INDEX(covid, MATCH($A30, iso_code, 0), MATCH(D$1, columns, 0))</f>
        <v>#N/A</v>
      </c>
      <c r="E30" s="2" t="str">
        <f t="array" ref="E30">INDEX(covid, MATCH($A30, iso_code, 0), MATCH(E$1, columns, 0))</f>
        <v>#N/A</v>
      </c>
      <c r="F30" s="2" t="str">
        <f t="array" ref="F30">INDEX(covid, MATCH($A30, iso_code, 0), MATCH(F$1, columns, 0))</f>
        <v>#N/A</v>
      </c>
      <c r="G30" s="2" t="str">
        <f t="array" ref="G30">INDEX(covid, MATCH($A30, iso_code, 0), MATCH(G$1, columns, 0))</f>
        <v>#N/A</v>
      </c>
      <c r="H30" s="9"/>
      <c r="I30" s="2"/>
      <c r="J30" s="2"/>
      <c r="K30" s="2" t="str">
        <f>IFERROR(__xludf.DUMMYFUNCTION("""COMPUTED_VALUE"""),"Russia")</f>
        <v>Russia</v>
      </c>
      <c r="L30" s="2">
        <f>IFERROR(__xludf.DUMMYFUNCTION("""COMPUTED_VALUE"""),4511973.0)</f>
        <v>4511973</v>
      </c>
      <c r="M30" s="2">
        <f>IFERROR(__xludf.DUMMYFUNCTION("""COMPUTED_VALUE"""),97986.0)</f>
        <v>97986</v>
      </c>
      <c r="N30" s="2">
        <f>IFERROR(__xludf.DUMMYFUNCTION("""COMPUTED_VALUE"""),1.4593446E8)</f>
        <v>145934460</v>
      </c>
      <c r="O30" s="2">
        <f>IFERROR(__xludf.DUMMYFUNCTION("""COMPUTED_VALUE"""),24765.954)</f>
        <v>24765.954</v>
      </c>
      <c r="P30" s="2"/>
    </row>
    <row r="31">
      <c r="A31" s="3" t="s">
        <v>192</v>
      </c>
      <c r="B31" s="3" t="s">
        <v>142</v>
      </c>
      <c r="C31" s="3" t="s">
        <v>193</v>
      </c>
      <c r="D31" s="2" t="str">
        <f t="array" ref="D31">INDEX(covid, MATCH($A31, iso_code, 0), MATCH(D$1, columns, 0))</f>
        <v>#N/A</v>
      </c>
      <c r="E31" s="2" t="str">
        <f t="array" ref="E31">INDEX(covid, MATCH($A31, iso_code, 0), MATCH(E$1, columns, 0))</f>
        <v>#N/A</v>
      </c>
      <c r="F31" s="2" t="str">
        <f t="array" ref="F31">INDEX(covid, MATCH($A31, iso_code, 0), MATCH(F$1, columns, 0))</f>
        <v>#N/A</v>
      </c>
      <c r="G31" s="2" t="str">
        <f t="array" ref="G31">INDEX(covid, MATCH($A31, iso_code, 0), MATCH(G$1, columns, 0))</f>
        <v>#N/A</v>
      </c>
      <c r="H31" s="9"/>
      <c r="I31" s="2"/>
      <c r="J31" s="2"/>
      <c r="K31" s="2" t="str">
        <f>IFERROR(__xludf.DUMMYFUNCTION("""COMPUTED_VALUE"""),"Latvia")</f>
        <v>Latvia</v>
      </c>
      <c r="L31" s="2">
        <f>IFERROR(__xludf.DUMMYFUNCTION("""COMPUTED_VALUE"""),103588.0)</f>
        <v>103588</v>
      </c>
      <c r="M31" s="2">
        <f>IFERROR(__xludf.DUMMYFUNCTION("""COMPUTED_VALUE"""),1922.0)</f>
        <v>1922</v>
      </c>
      <c r="N31" s="2">
        <f>IFERROR(__xludf.DUMMYFUNCTION("""COMPUTED_VALUE"""),1886202.0)</f>
        <v>1886202</v>
      </c>
      <c r="O31" s="2">
        <f>IFERROR(__xludf.DUMMYFUNCTION("""COMPUTED_VALUE"""),25063.846)</f>
        <v>25063.846</v>
      </c>
      <c r="P31" s="2"/>
    </row>
    <row r="32">
      <c r="A32" s="3" t="s">
        <v>47</v>
      </c>
      <c r="B32" s="3" t="s">
        <v>39</v>
      </c>
      <c r="C32" s="3" t="s">
        <v>48</v>
      </c>
      <c r="D32" s="2">
        <f t="array" ref="D32">INDEX(covid, MATCH($A32, iso_code, 0), MATCH(D$1, columns, 0))</f>
        <v>350340</v>
      </c>
      <c r="E32" s="2">
        <f t="array" ref="E32">INDEX(covid, MATCH($A32, iso_code, 0), MATCH(E$1, columns, 0))</f>
        <v>13438</v>
      </c>
      <c r="F32" s="2">
        <f t="array" ref="F32">INDEX(covid, MATCH($A32, iso_code, 0), MATCH(F$1, columns, 0))</f>
        <v>6948445</v>
      </c>
      <c r="G32" s="2">
        <f t="array" ref="G32">INDEX(covid, MATCH($A32, iso_code, 0), MATCH(G$1, columns, 0))</f>
        <v>18563.307</v>
      </c>
      <c r="H32" s="9"/>
      <c r="I32" s="2"/>
      <c r="J32" s="2"/>
      <c r="K32" s="2" t="str">
        <f>IFERROR(__xludf.DUMMYFUNCTION("""COMPUTED_VALUE"""),"Hungary")</f>
        <v>Hungary</v>
      </c>
      <c r="L32" s="2">
        <f>IFERROR(__xludf.DUMMYFUNCTION("""COMPUTED_VALUE"""),670776.0)</f>
        <v>670776</v>
      </c>
      <c r="M32" s="2">
        <f>IFERROR(__xludf.DUMMYFUNCTION("""COMPUTED_VALUE"""),21262.0)</f>
        <v>21262</v>
      </c>
      <c r="N32" s="2">
        <f>IFERROR(__xludf.DUMMYFUNCTION("""COMPUTED_VALUE"""),9660350.0)</f>
        <v>9660350</v>
      </c>
      <c r="O32" s="2">
        <f>IFERROR(__xludf.DUMMYFUNCTION("""COMPUTED_VALUE"""),26777.561)</f>
        <v>26777.561</v>
      </c>
      <c r="P32" s="2"/>
    </row>
    <row r="33">
      <c r="A33" s="3" t="s">
        <v>194</v>
      </c>
      <c r="B33" s="3" t="s">
        <v>145</v>
      </c>
      <c r="C33" s="3" t="s">
        <v>195</v>
      </c>
      <c r="D33" s="2" t="str">
        <f t="array" ref="D33">INDEX(covid, MATCH($A33, iso_code, 0), MATCH(D$1, columns, 0))</f>
        <v>#N/A</v>
      </c>
      <c r="E33" s="2" t="str">
        <f t="array" ref="E33">INDEX(covid, MATCH($A33, iso_code, 0), MATCH(E$1, columns, 0))</f>
        <v>#N/A</v>
      </c>
      <c r="F33" s="2" t="str">
        <f t="array" ref="F33">INDEX(covid, MATCH($A33, iso_code, 0), MATCH(F$1, columns, 0))</f>
        <v>#N/A</v>
      </c>
      <c r="G33" s="2" t="str">
        <f t="array" ref="G33">INDEX(covid, MATCH($A33, iso_code, 0), MATCH(G$1, columns, 0))</f>
        <v>#N/A</v>
      </c>
      <c r="H33" s="9"/>
      <c r="I33" s="2"/>
      <c r="J33" s="2"/>
      <c r="K33" s="2" t="str">
        <f>IFERROR(__xludf.DUMMYFUNCTION("""COMPUTED_VALUE"""),"Poland")</f>
        <v>Poland</v>
      </c>
      <c r="L33" s="2">
        <f>IFERROR(__xludf.DUMMYFUNCTION("""COMPUTED_VALUE"""),2387511.0)</f>
        <v>2387511</v>
      </c>
      <c r="M33" s="2">
        <f>IFERROR(__xludf.DUMMYFUNCTION("""COMPUTED_VALUE"""),54165.0)</f>
        <v>54165</v>
      </c>
      <c r="N33" s="2">
        <f>IFERROR(__xludf.DUMMYFUNCTION("""COMPUTED_VALUE"""),3.7846605E7)</f>
        <v>37846605</v>
      </c>
      <c r="O33" s="2">
        <f>IFERROR(__xludf.DUMMYFUNCTION("""COMPUTED_VALUE"""),27216.445)</f>
        <v>27216.445</v>
      </c>
      <c r="P33" s="2"/>
    </row>
    <row r="34">
      <c r="A34" s="3" t="s">
        <v>196</v>
      </c>
      <c r="B34" s="3" t="s">
        <v>145</v>
      </c>
      <c r="C34" s="3" t="s">
        <v>197</v>
      </c>
      <c r="D34" s="2" t="str">
        <f t="array" ref="D34">INDEX(covid, MATCH($A34, iso_code, 0), MATCH(D$1, columns, 0))</f>
        <v>#N/A</v>
      </c>
      <c r="E34" s="2" t="str">
        <f t="array" ref="E34">INDEX(covid, MATCH($A34, iso_code, 0), MATCH(E$1, columns, 0))</f>
        <v>#N/A</v>
      </c>
      <c r="F34" s="2" t="str">
        <f t="array" ref="F34">INDEX(covid, MATCH($A34, iso_code, 0), MATCH(F$1, columns, 0))</f>
        <v>#N/A</v>
      </c>
      <c r="G34" s="2" t="str">
        <f t="array" ref="G34">INDEX(covid, MATCH($A34, iso_code, 0), MATCH(G$1, columns, 0))</f>
        <v>#N/A</v>
      </c>
      <c r="H34" s="9"/>
      <c r="I34" s="2"/>
      <c r="J34" s="2"/>
      <c r="K34" s="2" t="str">
        <f>IFERROR(__xludf.DUMMYFUNCTION("""COMPUTED_VALUE"""),"Portugal")</f>
        <v>Portugal</v>
      </c>
      <c r="L34" s="2">
        <f>IFERROR(__xludf.DUMMYFUNCTION("""COMPUTED_VALUE"""),822862.0)</f>
        <v>822862</v>
      </c>
      <c r="M34" s="2">
        <f>IFERROR(__xludf.DUMMYFUNCTION("""COMPUTED_VALUE"""),16868.0)</f>
        <v>16868</v>
      </c>
      <c r="N34" s="2">
        <f>IFERROR(__xludf.DUMMYFUNCTION("""COMPUTED_VALUE"""),1.0196707E7)</f>
        <v>10196707</v>
      </c>
      <c r="O34" s="2">
        <f>IFERROR(__xludf.DUMMYFUNCTION("""COMPUTED_VALUE"""),27936.896)</f>
        <v>27936.896</v>
      </c>
      <c r="P34" s="2"/>
    </row>
    <row r="35">
      <c r="A35" s="3" t="s">
        <v>198</v>
      </c>
      <c r="B35" s="3" t="s">
        <v>142</v>
      </c>
      <c r="C35" s="3" t="s">
        <v>199</v>
      </c>
      <c r="D35" s="2" t="str">
        <f t="array" ref="D35">INDEX(covid, MATCH($A35, iso_code, 0), MATCH(D$1, columns, 0))</f>
        <v>#N/A</v>
      </c>
      <c r="E35" s="2" t="str">
        <f t="array" ref="E35">INDEX(covid, MATCH($A35, iso_code, 0), MATCH(E$1, columns, 0))</f>
        <v>#N/A</v>
      </c>
      <c r="F35" s="2" t="str">
        <f t="array" ref="F35">INDEX(covid, MATCH($A35, iso_code, 0), MATCH(F$1, columns, 0))</f>
        <v>#N/A</v>
      </c>
      <c r="G35" s="2" t="str">
        <f t="array" ref="G35">INDEX(covid, MATCH($A35, iso_code, 0), MATCH(G$1, columns, 0))</f>
        <v>#N/A</v>
      </c>
      <c r="H35" s="9"/>
      <c r="I35" s="2"/>
      <c r="J35" s="2"/>
      <c r="K35" s="2" t="str">
        <f>IFERROR(__xludf.DUMMYFUNCTION("""COMPUTED_VALUE"""),"Estonia")</f>
        <v>Estonia</v>
      </c>
      <c r="L35" s="2">
        <f>IFERROR(__xludf.DUMMYFUNCTION("""COMPUTED_VALUE"""),108418.0)</f>
        <v>108418</v>
      </c>
      <c r="M35" s="2">
        <f>IFERROR(__xludf.DUMMYFUNCTION("""COMPUTED_VALUE"""),922.0)</f>
        <v>922</v>
      </c>
      <c r="N35" s="2">
        <f>IFERROR(__xludf.DUMMYFUNCTION("""COMPUTED_VALUE"""),1326539.0)</f>
        <v>1326539</v>
      </c>
      <c r="O35" s="2">
        <f>IFERROR(__xludf.DUMMYFUNCTION("""COMPUTED_VALUE"""),29481.252)</f>
        <v>29481.252</v>
      </c>
      <c r="P35" s="2"/>
    </row>
    <row r="36">
      <c r="A36" s="3" t="s">
        <v>200</v>
      </c>
      <c r="B36" s="3" t="s">
        <v>145</v>
      </c>
      <c r="C36" s="3" t="s">
        <v>201</v>
      </c>
      <c r="D36" s="2" t="str">
        <f t="array" ref="D36">INDEX(covid, MATCH($A36, iso_code, 0), MATCH(D$1, columns, 0))</f>
        <v>#N/A</v>
      </c>
      <c r="E36" s="2" t="str">
        <f t="array" ref="E36">INDEX(covid, MATCH($A36, iso_code, 0), MATCH(E$1, columns, 0))</f>
        <v>#N/A</v>
      </c>
      <c r="F36" s="2" t="str">
        <f t="array" ref="F36">INDEX(covid, MATCH($A36, iso_code, 0), MATCH(F$1, columns, 0))</f>
        <v>#N/A</v>
      </c>
      <c r="G36" s="2" t="str">
        <f t="array" ref="G36">INDEX(covid, MATCH($A36, iso_code, 0), MATCH(G$1, columns, 0))</f>
        <v>#N/A</v>
      </c>
      <c r="H36" s="9"/>
      <c r="I36" s="2"/>
      <c r="J36" s="2"/>
      <c r="K36" s="2" t="str">
        <f>IFERROR(__xludf.DUMMYFUNCTION("""COMPUTED_VALUE"""),"Lithuania")</f>
        <v>Lithuania</v>
      </c>
      <c r="L36" s="2">
        <f>IFERROR(__xludf.DUMMYFUNCTION("""COMPUTED_VALUE"""),217865.0)</f>
        <v>217865</v>
      </c>
      <c r="M36" s="2">
        <f>IFERROR(__xludf.DUMMYFUNCTION("""COMPUTED_VALUE"""),3594.0)</f>
        <v>3594</v>
      </c>
      <c r="N36" s="2">
        <f>IFERROR(__xludf.DUMMYFUNCTION("""COMPUTED_VALUE"""),2722291.0)</f>
        <v>2722291</v>
      </c>
      <c r="O36" s="2">
        <f>IFERROR(__xludf.DUMMYFUNCTION("""COMPUTED_VALUE"""),29524.265)</f>
        <v>29524.265</v>
      </c>
      <c r="P36" s="2"/>
    </row>
    <row r="37">
      <c r="A37" s="3" t="s">
        <v>202</v>
      </c>
      <c r="B37" s="3" t="s">
        <v>150</v>
      </c>
      <c r="C37" s="3" t="s">
        <v>203</v>
      </c>
      <c r="D37" s="2" t="str">
        <f t="array" ref="D37">INDEX(covid, MATCH($A37, iso_code, 0), MATCH(D$1, columns, 0))</f>
        <v>#N/A</v>
      </c>
      <c r="E37" s="2" t="str">
        <f t="array" ref="E37">INDEX(covid, MATCH($A37, iso_code, 0), MATCH(E$1, columns, 0))</f>
        <v>#N/A</v>
      </c>
      <c r="F37" s="2" t="str">
        <f t="array" ref="F37">INDEX(covid, MATCH($A37, iso_code, 0), MATCH(F$1, columns, 0))</f>
        <v>#N/A</v>
      </c>
      <c r="G37" s="2" t="str">
        <f t="array" ref="G37">INDEX(covid, MATCH($A37, iso_code, 0), MATCH(G$1, columns, 0))</f>
        <v>#N/A</v>
      </c>
      <c r="H37" s="9"/>
      <c r="I37" s="2"/>
      <c r="J37" s="2"/>
      <c r="K37" s="2"/>
      <c r="L37" s="2"/>
      <c r="M37" s="2"/>
      <c r="N37" s="2"/>
      <c r="O37" s="2"/>
      <c r="P37" s="2"/>
    </row>
    <row r="38">
      <c r="A38" s="3" t="s">
        <v>204</v>
      </c>
      <c r="B38" s="3" t="s">
        <v>145</v>
      </c>
      <c r="C38" s="3" t="s">
        <v>205</v>
      </c>
      <c r="D38" s="2" t="str">
        <f t="array" ref="D38">INDEX(covid, MATCH($A38, iso_code, 0), MATCH(D$1, columns, 0))</f>
        <v>#N/A</v>
      </c>
      <c r="E38" s="2" t="str">
        <f t="array" ref="E38">INDEX(covid, MATCH($A38, iso_code, 0), MATCH(E$1, columns, 0))</f>
        <v>#N/A</v>
      </c>
      <c r="F38" s="2" t="str">
        <f t="array" ref="F38">INDEX(covid, MATCH($A38, iso_code, 0), MATCH(F$1, columns, 0))</f>
        <v>#N/A</v>
      </c>
      <c r="G38" s="2" t="str">
        <f t="array" ref="G38">INDEX(covid, MATCH($A38, iso_code, 0), MATCH(G$1, columns, 0))</f>
        <v>#N/A</v>
      </c>
      <c r="H38" s="9"/>
      <c r="I38" s="2"/>
      <c r="J38" s="2"/>
      <c r="K38" s="2"/>
      <c r="L38" s="2"/>
      <c r="M38" s="2"/>
      <c r="N38" s="2"/>
      <c r="O38" s="2"/>
      <c r="P38" s="2"/>
    </row>
    <row r="39">
      <c r="A39" s="3" t="s">
        <v>206</v>
      </c>
      <c r="B39" s="3" t="s">
        <v>150</v>
      </c>
      <c r="C39" s="3" t="s">
        <v>207</v>
      </c>
      <c r="D39" s="2" t="str">
        <f t="array" ref="D39">INDEX(covid, MATCH($A39, iso_code, 0), MATCH(D$1, columns, 0))</f>
        <v>#N/A</v>
      </c>
      <c r="E39" s="2" t="str">
        <f t="array" ref="E39">INDEX(covid, MATCH($A39, iso_code, 0), MATCH(E$1, columns, 0))</f>
        <v>#N/A</v>
      </c>
      <c r="F39" s="2" t="str">
        <f t="array" ref="F39">INDEX(covid, MATCH($A39, iso_code, 0), MATCH(F$1, columns, 0))</f>
        <v>#N/A</v>
      </c>
      <c r="G39" s="2" t="str">
        <f t="array" ref="G39">INDEX(covid, MATCH($A39, iso_code, 0), MATCH(G$1, columns, 0))</f>
        <v>#N/A</v>
      </c>
      <c r="H39" s="9"/>
      <c r="I39" s="2"/>
      <c r="J39" s="2"/>
      <c r="K39" s="2"/>
      <c r="L39" s="2"/>
      <c r="M39" s="2"/>
      <c r="N39" s="2"/>
      <c r="O39" s="2"/>
      <c r="P39" s="2"/>
    </row>
    <row r="40">
      <c r="A40" s="3" t="s">
        <v>208</v>
      </c>
      <c r="B40" s="3" t="s">
        <v>145</v>
      </c>
      <c r="C40" s="3" t="s">
        <v>209</v>
      </c>
      <c r="D40" s="2" t="str">
        <f t="array" ref="D40">INDEX(covid, MATCH($A40, iso_code, 0), MATCH(D$1, columns, 0))</f>
        <v>#N/A</v>
      </c>
      <c r="E40" s="2" t="str">
        <f t="array" ref="E40">INDEX(covid, MATCH($A40, iso_code, 0), MATCH(E$1, columns, 0))</f>
        <v>#N/A</v>
      </c>
      <c r="F40" s="2" t="str">
        <f t="array" ref="F40">INDEX(covid, MATCH($A40, iso_code, 0), MATCH(F$1, columns, 0))</f>
        <v>#N/A</v>
      </c>
      <c r="G40" s="2" t="str">
        <f t="array" ref="G40">INDEX(covid, MATCH($A40, iso_code, 0), MATCH(G$1, columns, 0))</f>
        <v>#N/A</v>
      </c>
      <c r="H40" s="9"/>
      <c r="I40" s="2"/>
      <c r="J40" s="2"/>
      <c r="K40" s="2"/>
      <c r="L40" s="2"/>
      <c r="M40" s="2"/>
      <c r="N40" s="2"/>
      <c r="O40" s="2"/>
      <c r="P40" s="2"/>
    </row>
    <row r="41">
      <c r="A41" s="3" t="s">
        <v>210</v>
      </c>
      <c r="B41" s="3" t="s">
        <v>145</v>
      </c>
      <c r="C41" s="3" t="s">
        <v>211</v>
      </c>
      <c r="D41" s="2" t="str">
        <f t="array" ref="D41">INDEX(covid, MATCH($A41, iso_code, 0), MATCH(D$1, columns, 0))</f>
        <v>#N/A</v>
      </c>
      <c r="E41" s="2" t="str">
        <f t="array" ref="E41">INDEX(covid, MATCH($A41, iso_code, 0), MATCH(E$1, columns, 0))</f>
        <v>#N/A</v>
      </c>
      <c r="F41" s="2" t="str">
        <f t="array" ref="F41">INDEX(covid, MATCH($A41, iso_code, 0), MATCH(F$1, columns, 0))</f>
        <v>#N/A</v>
      </c>
      <c r="G41" s="2" t="str">
        <f t="array" ref="G41">INDEX(covid, MATCH($A41, iso_code, 0), MATCH(G$1, columns, 0))</f>
        <v>#N/A</v>
      </c>
      <c r="H41" s="9"/>
      <c r="I41" s="2"/>
      <c r="J41" s="2"/>
      <c r="K41" s="2"/>
      <c r="L41" s="2"/>
      <c r="M41" s="2"/>
      <c r="N41" s="2"/>
      <c r="O41" s="2"/>
      <c r="P41" s="2"/>
    </row>
    <row r="42">
      <c r="A42" s="3" t="s">
        <v>212</v>
      </c>
      <c r="B42" s="3" t="s">
        <v>155</v>
      </c>
      <c r="C42" s="3" t="s">
        <v>213</v>
      </c>
      <c r="D42" s="2" t="str">
        <f t="array" ref="D42">INDEX(covid, MATCH($A42, iso_code, 0), MATCH(D$1, columns, 0))</f>
        <v>#N/A</v>
      </c>
      <c r="E42" s="2" t="str">
        <f t="array" ref="E42">INDEX(covid, MATCH($A42, iso_code, 0), MATCH(E$1, columns, 0))</f>
        <v>#N/A</v>
      </c>
      <c r="F42" s="2" t="str">
        <f t="array" ref="F42">INDEX(covid, MATCH($A42, iso_code, 0), MATCH(F$1, columns, 0))</f>
        <v>#N/A</v>
      </c>
      <c r="G42" s="2" t="str">
        <f t="array" ref="G42">INDEX(covid, MATCH($A42, iso_code, 0), MATCH(G$1, columns, 0))</f>
        <v>#N/A</v>
      </c>
      <c r="H42" s="9"/>
      <c r="I42" s="2"/>
      <c r="J42" s="2"/>
      <c r="K42" s="2"/>
      <c r="L42" s="2"/>
      <c r="M42" s="2"/>
      <c r="N42" s="2"/>
      <c r="O42" s="2"/>
      <c r="P42" s="2"/>
    </row>
    <row r="43">
      <c r="A43" s="3" t="s">
        <v>214</v>
      </c>
      <c r="B43" s="3" t="s">
        <v>142</v>
      </c>
      <c r="C43" s="3" t="s">
        <v>215</v>
      </c>
      <c r="D43" s="2" t="str">
        <f t="array" ref="D43">INDEX(covid, MATCH($A43, iso_code, 0), MATCH(D$1, columns, 0))</f>
        <v>#N/A</v>
      </c>
      <c r="E43" s="2" t="str">
        <f t="array" ref="E43">INDEX(covid, MATCH($A43, iso_code, 0), MATCH(E$1, columns, 0))</f>
        <v>#N/A</v>
      </c>
      <c r="F43" s="2" t="str">
        <f t="array" ref="F43">INDEX(covid, MATCH($A43, iso_code, 0), MATCH(F$1, columns, 0))</f>
        <v>#N/A</v>
      </c>
      <c r="G43" s="2" t="str">
        <f t="array" ref="G43">INDEX(covid, MATCH($A43, iso_code, 0), MATCH(G$1, columns, 0))</f>
        <v>#N/A</v>
      </c>
      <c r="H43" s="9"/>
      <c r="I43" s="2"/>
      <c r="J43" s="2"/>
      <c r="K43" s="2"/>
      <c r="L43" s="2"/>
      <c r="M43" s="2"/>
      <c r="N43" s="2"/>
      <c r="O43" s="2"/>
      <c r="P43" s="2"/>
    </row>
    <row r="44">
      <c r="A44" s="3" t="s">
        <v>216</v>
      </c>
      <c r="B44" s="3" t="s">
        <v>155</v>
      </c>
      <c r="C44" s="3" t="s">
        <v>217</v>
      </c>
      <c r="D44" s="2" t="str">
        <f t="array" ref="D44">INDEX(covid, MATCH($A44, iso_code, 0), MATCH(D$1, columns, 0))</f>
        <v>#N/A</v>
      </c>
      <c r="E44" s="2" t="str">
        <f t="array" ref="E44">INDEX(covid, MATCH($A44, iso_code, 0), MATCH(E$1, columns, 0))</f>
        <v>#N/A</v>
      </c>
      <c r="F44" s="2" t="str">
        <f t="array" ref="F44">INDEX(covid, MATCH($A44, iso_code, 0), MATCH(F$1, columns, 0))</f>
        <v>#N/A</v>
      </c>
      <c r="G44" s="2" t="str">
        <f t="array" ref="G44">INDEX(covid, MATCH($A44, iso_code, 0), MATCH(G$1, columns, 0))</f>
        <v>#N/A</v>
      </c>
      <c r="H44" s="9"/>
      <c r="I44" s="2"/>
      <c r="J44" s="2"/>
      <c r="K44" s="2"/>
      <c r="L44" s="2"/>
      <c r="M44" s="2"/>
      <c r="N44" s="2"/>
      <c r="O44" s="2"/>
      <c r="P44" s="2"/>
    </row>
    <row r="45">
      <c r="A45" s="3" t="s">
        <v>218</v>
      </c>
      <c r="B45" s="3" t="s">
        <v>145</v>
      </c>
      <c r="C45" s="3" t="s">
        <v>219</v>
      </c>
      <c r="D45" s="2" t="str">
        <f t="array" ref="D45">INDEX(covid, MATCH($A45, iso_code, 0), MATCH(D$1, columns, 0))</f>
        <v>#N/A</v>
      </c>
      <c r="E45" s="2" t="str">
        <f t="array" ref="E45">INDEX(covid, MATCH($A45, iso_code, 0), MATCH(E$1, columns, 0))</f>
        <v>#N/A</v>
      </c>
      <c r="F45" s="2" t="str">
        <f t="array" ref="F45">INDEX(covid, MATCH($A45, iso_code, 0), MATCH(F$1, columns, 0))</f>
        <v>#N/A</v>
      </c>
      <c r="G45" s="2" t="str">
        <f t="array" ref="G45">INDEX(covid, MATCH($A45, iso_code, 0), MATCH(G$1, columns, 0))</f>
        <v>#N/A</v>
      </c>
      <c r="H45" s="9"/>
      <c r="I45" s="2"/>
      <c r="J45" s="2"/>
      <c r="K45" s="2"/>
      <c r="L45" s="2"/>
      <c r="M45" s="2"/>
      <c r="N45" s="2"/>
      <c r="O45" s="2"/>
      <c r="P45" s="2"/>
    </row>
    <row r="46">
      <c r="A46" s="3" t="s">
        <v>220</v>
      </c>
      <c r="B46" s="3" t="s">
        <v>145</v>
      </c>
      <c r="C46" s="3" t="s">
        <v>221</v>
      </c>
      <c r="D46" s="2" t="str">
        <f t="array" ref="D46">INDEX(covid, MATCH($A46, iso_code, 0), MATCH(D$1, columns, 0))</f>
        <v>#N/A</v>
      </c>
      <c r="E46" s="2" t="str">
        <f t="array" ref="E46">INDEX(covid, MATCH($A46, iso_code, 0), MATCH(E$1, columns, 0))</f>
        <v>#N/A</v>
      </c>
      <c r="F46" s="2" t="str">
        <f t="array" ref="F46">INDEX(covid, MATCH($A46, iso_code, 0), MATCH(F$1, columns, 0))</f>
        <v>#N/A</v>
      </c>
      <c r="G46" s="2" t="str">
        <f t="array" ref="G46">INDEX(covid, MATCH($A46, iso_code, 0), MATCH(G$1, columns, 0))</f>
        <v>#N/A</v>
      </c>
      <c r="H46" s="9"/>
      <c r="I46" s="2"/>
      <c r="J46" s="2"/>
      <c r="K46" s="2"/>
      <c r="L46" s="2"/>
      <c r="M46" s="2"/>
      <c r="N46" s="2"/>
      <c r="O46" s="2"/>
      <c r="P46" s="2"/>
    </row>
    <row r="47">
      <c r="A47" s="3" t="s">
        <v>222</v>
      </c>
      <c r="B47" s="3" t="s">
        <v>150</v>
      </c>
      <c r="C47" s="3" t="s">
        <v>223</v>
      </c>
      <c r="D47" s="2" t="str">
        <f t="array" ref="D47">INDEX(covid, MATCH($A47, iso_code, 0), MATCH(D$1, columns, 0))</f>
        <v>#N/A</v>
      </c>
      <c r="E47" s="2" t="str">
        <f t="array" ref="E47">INDEX(covid, MATCH($A47, iso_code, 0), MATCH(E$1, columns, 0))</f>
        <v>#N/A</v>
      </c>
      <c r="F47" s="2" t="str">
        <f t="array" ref="F47">INDEX(covid, MATCH($A47, iso_code, 0), MATCH(F$1, columns, 0))</f>
        <v>#N/A</v>
      </c>
      <c r="G47" s="2" t="str">
        <f t="array" ref="G47">INDEX(covid, MATCH($A47, iso_code, 0), MATCH(G$1, columns, 0))</f>
        <v>#N/A</v>
      </c>
      <c r="H47" s="9"/>
      <c r="I47" s="2"/>
      <c r="J47" s="2"/>
      <c r="K47" s="2"/>
      <c r="L47" s="2"/>
      <c r="M47" s="2"/>
      <c r="N47" s="2"/>
      <c r="O47" s="2"/>
      <c r="P47" s="2"/>
    </row>
    <row r="48">
      <c r="A48" s="3" t="s">
        <v>224</v>
      </c>
      <c r="B48" s="3" t="s">
        <v>145</v>
      </c>
      <c r="C48" s="3" t="s">
        <v>225</v>
      </c>
      <c r="D48" s="2" t="str">
        <f t="array" ref="D48">INDEX(covid, MATCH($A48, iso_code, 0), MATCH(D$1, columns, 0))</f>
        <v>#N/A</v>
      </c>
      <c r="E48" s="2" t="str">
        <f t="array" ref="E48">INDEX(covid, MATCH($A48, iso_code, 0), MATCH(E$1, columns, 0))</f>
        <v>#N/A</v>
      </c>
      <c r="F48" s="2" t="str">
        <f t="array" ref="F48">INDEX(covid, MATCH($A48, iso_code, 0), MATCH(F$1, columns, 0))</f>
        <v>#N/A</v>
      </c>
      <c r="G48" s="2" t="str">
        <f t="array" ref="G48">INDEX(covid, MATCH($A48, iso_code, 0), MATCH(G$1, columns, 0))</f>
        <v>#N/A</v>
      </c>
      <c r="H48" s="9"/>
      <c r="I48" s="2"/>
      <c r="J48" s="2"/>
      <c r="K48" s="2"/>
      <c r="L48" s="2"/>
      <c r="M48" s="2"/>
      <c r="N48" s="2"/>
      <c r="O48" s="2"/>
      <c r="P48" s="2"/>
    </row>
    <row r="49">
      <c r="A49" s="3" t="s">
        <v>81</v>
      </c>
      <c r="B49" s="3" t="s">
        <v>39</v>
      </c>
      <c r="C49" s="3" t="s">
        <v>82</v>
      </c>
      <c r="D49" s="2">
        <f t="array" ref="D49">INDEX(covid, MATCH($A49, iso_code, 0), MATCH(D$1, columns, 0))</f>
        <v>276416</v>
      </c>
      <c r="E49" s="2">
        <f t="array" ref="E49">INDEX(covid, MATCH($A49, iso_code, 0), MATCH(E$1, columns, 0))</f>
        <v>5996</v>
      </c>
      <c r="F49" s="2">
        <f t="array" ref="F49">INDEX(covid, MATCH($A49, iso_code, 0), MATCH(F$1, columns, 0))</f>
        <v>4105268</v>
      </c>
      <c r="G49" s="2">
        <f t="array" ref="G49">INDEX(covid, MATCH($A49, iso_code, 0), MATCH(G$1, columns, 0))</f>
        <v>22669.797</v>
      </c>
      <c r="H49" s="9"/>
      <c r="I49" s="2"/>
      <c r="J49" s="2"/>
      <c r="K49" s="2"/>
      <c r="L49" s="2"/>
      <c r="M49" s="2"/>
      <c r="N49" s="2"/>
      <c r="O49" s="2"/>
      <c r="P49" s="2"/>
    </row>
    <row r="50">
      <c r="A50" s="3" t="s">
        <v>226</v>
      </c>
      <c r="B50" s="3" t="s">
        <v>150</v>
      </c>
      <c r="C50" s="3" t="s">
        <v>227</v>
      </c>
      <c r="D50" s="2" t="str">
        <f t="array" ref="D50">INDEX(covid, MATCH($A50, iso_code, 0), MATCH(D$1, columns, 0))</f>
        <v>#N/A</v>
      </c>
      <c r="E50" s="2" t="str">
        <f t="array" ref="E50">INDEX(covid, MATCH($A50, iso_code, 0), MATCH(E$1, columns, 0))</f>
        <v>#N/A</v>
      </c>
      <c r="F50" s="2" t="str">
        <f t="array" ref="F50">INDEX(covid, MATCH($A50, iso_code, 0), MATCH(F$1, columns, 0))</f>
        <v>#N/A</v>
      </c>
      <c r="G50" s="2" t="str">
        <f t="array" ref="G50">INDEX(covid, MATCH($A50, iso_code, 0), MATCH(G$1, columns, 0))</f>
        <v>#N/A</v>
      </c>
      <c r="H50" s="9"/>
      <c r="I50" s="2"/>
      <c r="J50" s="2"/>
      <c r="K50" s="2"/>
      <c r="L50" s="2"/>
      <c r="M50" s="2"/>
      <c r="N50" s="2"/>
      <c r="O50" s="2"/>
      <c r="P50" s="2"/>
    </row>
    <row r="51">
      <c r="A51" s="3" t="s">
        <v>228</v>
      </c>
      <c r="B51" s="3" t="s">
        <v>150</v>
      </c>
      <c r="C51" s="3" t="s">
        <v>229</v>
      </c>
      <c r="D51" s="2" t="str">
        <f t="array" ref="D51">INDEX(covid, MATCH($A51, iso_code, 0), MATCH(D$1, columns, 0))</f>
        <v>#N/A</v>
      </c>
      <c r="E51" s="2" t="str">
        <f t="array" ref="E51">INDEX(covid, MATCH($A51, iso_code, 0), MATCH(E$1, columns, 0))</f>
        <v>#N/A</v>
      </c>
      <c r="F51" s="2" t="str">
        <f t="array" ref="F51">INDEX(covid, MATCH($A51, iso_code, 0), MATCH(F$1, columns, 0))</f>
        <v>#N/A</v>
      </c>
      <c r="G51" s="2" t="str">
        <f t="array" ref="G51">INDEX(covid, MATCH($A51, iso_code, 0), MATCH(G$1, columns, 0))</f>
        <v>#N/A</v>
      </c>
      <c r="H51" s="9"/>
      <c r="I51" s="2"/>
      <c r="J51" s="2"/>
      <c r="K51" s="2"/>
      <c r="L51" s="2"/>
      <c r="M51" s="2"/>
      <c r="N51" s="2"/>
      <c r="O51" s="2"/>
      <c r="P51" s="2"/>
    </row>
    <row r="52">
      <c r="A52" s="3" t="s">
        <v>57</v>
      </c>
      <c r="B52" s="3" t="s">
        <v>39</v>
      </c>
      <c r="C52" s="3" t="s">
        <v>230</v>
      </c>
      <c r="D52" s="2">
        <f t="array" ref="D52">INDEX(covid, MATCH($A52, iso_code, 0), MATCH(D$1, columns, 0))</f>
        <v>1545865</v>
      </c>
      <c r="E52" s="2">
        <f t="array" ref="E52">INDEX(covid, MATCH($A52, iso_code, 0), MATCH(E$1, columns, 0))</f>
        <v>26765</v>
      </c>
      <c r="F52" s="2">
        <f t="array" ref="F52">INDEX(covid, MATCH($A52, iso_code, 0), MATCH(F$1, columns, 0))</f>
        <v>10708982</v>
      </c>
      <c r="G52" s="2">
        <f t="array" ref="G52">INDEX(covid, MATCH($A52, iso_code, 0), MATCH(G$1, columns, 0))</f>
        <v>32605.906</v>
      </c>
      <c r="H52" s="9"/>
      <c r="I52" s="2"/>
      <c r="J52" s="2"/>
      <c r="K52" s="2"/>
      <c r="L52" s="2"/>
      <c r="M52" s="2"/>
      <c r="N52" s="2"/>
      <c r="O52" s="2"/>
      <c r="P52" s="2"/>
    </row>
    <row r="53">
      <c r="A53" s="3" t="s">
        <v>231</v>
      </c>
      <c r="B53" s="3" t="s">
        <v>145</v>
      </c>
      <c r="C53" s="3" t="s">
        <v>232</v>
      </c>
      <c r="D53" s="2" t="str">
        <f t="array" ref="D53">INDEX(covid, MATCH($A53, iso_code, 0), MATCH(D$1, columns, 0))</f>
        <v>#N/A</v>
      </c>
      <c r="E53" s="2" t="str">
        <f t="array" ref="E53">INDEX(covid, MATCH($A53, iso_code, 0), MATCH(E$1, columns, 0))</f>
        <v>#N/A</v>
      </c>
      <c r="F53" s="2" t="str">
        <f t="array" ref="F53">INDEX(covid, MATCH($A53, iso_code, 0), MATCH(F$1, columns, 0))</f>
        <v>#N/A</v>
      </c>
      <c r="G53" s="2" t="str">
        <f t="array" ref="G53">INDEX(covid, MATCH($A53, iso_code, 0), MATCH(G$1, columns, 0))</f>
        <v>#N/A</v>
      </c>
      <c r="H53" s="9"/>
      <c r="I53" s="2"/>
      <c r="J53" s="2"/>
      <c r="K53" s="2"/>
      <c r="L53" s="2"/>
      <c r="M53" s="2"/>
      <c r="N53" s="2"/>
      <c r="O53" s="2"/>
      <c r="P53" s="2"/>
    </row>
    <row r="54">
      <c r="A54" s="3" t="s">
        <v>61</v>
      </c>
      <c r="B54" s="3" t="s">
        <v>39</v>
      </c>
      <c r="C54" s="3" t="s">
        <v>62</v>
      </c>
      <c r="D54" s="2">
        <f t="array" ref="D54">INDEX(covid, MATCH($A54, iso_code, 0), MATCH(D$1, columns, 0))</f>
        <v>232665</v>
      </c>
      <c r="E54" s="2">
        <f t="array" ref="E54">INDEX(covid, MATCH($A54, iso_code, 0), MATCH(E$1, columns, 0))</f>
        <v>2425</v>
      </c>
      <c r="F54" s="2">
        <f t="array" ref="F54">INDEX(covid, MATCH($A54, iso_code, 0), MATCH(F$1, columns, 0))</f>
        <v>5792203</v>
      </c>
      <c r="G54" s="2">
        <f t="array" ref="G54">INDEX(covid, MATCH($A54, iso_code, 0), MATCH(G$1, columns, 0))</f>
        <v>46682.515</v>
      </c>
      <c r="H54" s="9"/>
      <c r="I54" s="2"/>
      <c r="J54" s="2"/>
      <c r="K54" s="2"/>
      <c r="L54" s="2"/>
      <c r="M54" s="2"/>
      <c r="N54" s="2"/>
      <c r="O54" s="2"/>
      <c r="P54" s="2"/>
    </row>
    <row r="55">
      <c r="A55" s="3" t="s">
        <v>233</v>
      </c>
      <c r="B55" s="3" t="s">
        <v>145</v>
      </c>
      <c r="C55" s="3" t="s">
        <v>234</v>
      </c>
      <c r="D55" s="2" t="str">
        <f t="array" ref="D55">INDEX(covid, MATCH($A55, iso_code, 0), MATCH(D$1, columns, 0))</f>
        <v>#N/A</v>
      </c>
      <c r="E55" s="2" t="str">
        <f t="array" ref="E55">INDEX(covid, MATCH($A55, iso_code, 0), MATCH(E$1, columns, 0))</f>
        <v>#N/A</v>
      </c>
      <c r="F55" s="2" t="str">
        <f t="array" ref="F55">INDEX(covid, MATCH($A55, iso_code, 0), MATCH(F$1, columns, 0))</f>
        <v>#N/A</v>
      </c>
      <c r="G55" s="2" t="str">
        <f t="array" ref="G55">INDEX(covid, MATCH($A55, iso_code, 0), MATCH(G$1, columns, 0))</f>
        <v>#N/A</v>
      </c>
      <c r="H55" s="9"/>
      <c r="I55" s="2"/>
      <c r="J55" s="2"/>
      <c r="K55" s="2"/>
      <c r="L55" s="2"/>
      <c r="M55" s="2"/>
      <c r="N55" s="2"/>
      <c r="O55" s="2"/>
      <c r="P55" s="2"/>
    </row>
    <row r="56">
      <c r="A56" s="3" t="s">
        <v>235</v>
      </c>
      <c r="B56" s="3" t="s">
        <v>150</v>
      </c>
      <c r="C56" s="3" t="s">
        <v>236</v>
      </c>
      <c r="D56" s="2" t="str">
        <f t="array" ref="D56">INDEX(covid, MATCH($A56, iso_code, 0), MATCH(D$1, columns, 0))</f>
        <v>#N/A</v>
      </c>
      <c r="E56" s="2" t="str">
        <f t="array" ref="E56">INDEX(covid, MATCH($A56, iso_code, 0), MATCH(E$1, columns, 0))</f>
        <v>#N/A</v>
      </c>
      <c r="F56" s="2" t="str">
        <f t="array" ref="F56">INDEX(covid, MATCH($A56, iso_code, 0), MATCH(F$1, columns, 0))</f>
        <v>#N/A</v>
      </c>
      <c r="G56" s="2" t="str">
        <f t="array" ref="G56">INDEX(covid, MATCH($A56, iso_code, 0), MATCH(G$1, columns, 0))</f>
        <v>#N/A</v>
      </c>
      <c r="H56" s="9"/>
      <c r="I56" s="2"/>
      <c r="J56" s="2"/>
      <c r="K56" s="2"/>
      <c r="L56" s="2"/>
      <c r="M56" s="2"/>
      <c r="N56" s="2"/>
      <c r="O56" s="2"/>
      <c r="P56" s="2"/>
    </row>
    <row r="57">
      <c r="A57" s="3" t="s">
        <v>237</v>
      </c>
      <c r="B57" s="3" t="s">
        <v>150</v>
      </c>
      <c r="C57" s="3" t="s">
        <v>238</v>
      </c>
      <c r="D57" s="2" t="str">
        <f t="array" ref="D57">INDEX(covid, MATCH($A57, iso_code, 0), MATCH(D$1, columns, 0))</f>
        <v>#N/A</v>
      </c>
      <c r="E57" s="2" t="str">
        <f t="array" ref="E57">INDEX(covid, MATCH($A57, iso_code, 0), MATCH(E$1, columns, 0))</f>
        <v>#N/A</v>
      </c>
      <c r="F57" s="2" t="str">
        <f t="array" ref="F57">INDEX(covid, MATCH($A57, iso_code, 0), MATCH(F$1, columns, 0))</f>
        <v>#N/A</v>
      </c>
      <c r="G57" s="2" t="str">
        <f t="array" ref="G57">INDEX(covid, MATCH($A57, iso_code, 0), MATCH(G$1, columns, 0))</f>
        <v>#N/A</v>
      </c>
      <c r="H57" s="9"/>
      <c r="I57" s="2"/>
      <c r="J57" s="2"/>
      <c r="K57" s="2"/>
      <c r="L57" s="2"/>
      <c r="M57" s="2"/>
      <c r="N57" s="2"/>
      <c r="O57" s="2"/>
      <c r="P57" s="2"/>
    </row>
    <row r="58">
      <c r="A58" s="3" t="s">
        <v>239</v>
      </c>
      <c r="B58" s="3" t="s">
        <v>155</v>
      </c>
      <c r="C58" s="3" t="s">
        <v>240</v>
      </c>
      <c r="D58" s="2" t="str">
        <f t="array" ref="D58">INDEX(covid, MATCH($A58, iso_code, 0), MATCH(D$1, columns, 0))</f>
        <v>#N/A</v>
      </c>
      <c r="E58" s="2" t="str">
        <f t="array" ref="E58">INDEX(covid, MATCH($A58, iso_code, 0), MATCH(E$1, columns, 0))</f>
        <v>#N/A</v>
      </c>
      <c r="F58" s="2" t="str">
        <f t="array" ref="F58">INDEX(covid, MATCH($A58, iso_code, 0), MATCH(F$1, columns, 0))</f>
        <v>#N/A</v>
      </c>
      <c r="G58" s="2" t="str">
        <f t="array" ref="G58">INDEX(covid, MATCH($A58, iso_code, 0), MATCH(G$1, columns, 0))</f>
        <v>#N/A</v>
      </c>
      <c r="H58" s="9"/>
      <c r="I58" s="2"/>
      <c r="J58" s="2"/>
      <c r="K58" s="2"/>
      <c r="L58" s="2"/>
      <c r="M58" s="2"/>
      <c r="N58" s="2"/>
      <c r="O58" s="2"/>
      <c r="P58" s="2"/>
    </row>
    <row r="59">
      <c r="A59" s="3" t="s">
        <v>241</v>
      </c>
      <c r="B59" s="3" t="s">
        <v>145</v>
      </c>
      <c r="C59" s="3" t="s">
        <v>242</v>
      </c>
      <c r="D59" s="2" t="str">
        <f t="array" ref="D59">INDEX(covid, MATCH($A59, iso_code, 0), MATCH(D$1, columns, 0))</f>
        <v>#N/A</v>
      </c>
      <c r="E59" s="2" t="str">
        <f t="array" ref="E59">INDEX(covid, MATCH($A59, iso_code, 0), MATCH(E$1, columns, 0))</f>
        <v>#N/A</v>
      </c>
      <c r="F59" s="2" t="str">
        <f t="array" ref="F59">INDEX(covid, MATCH($A59, iso_code, 0), MATCH(F$1, columns, 0))</f>
        <v>#N/A</v>
      </c>
      <c r="G59" s="2" t="str">
        <f t="array" ref="G59">INDEX(covid, MATCH($A59, iso_code, 0), MATCH(G$1, columns, 0))</f>
        <v>#N/A</v>
      </c>
      <c r="H59" s="9"/>
      <c r="I59" s="2"/>
      <c r="J59" s="2"/>
      <c r="K59" s="2"/>
      <c r="L59" s="2"/>
      <c r="M59" s="2"/>
      <c r="N59" s="2"/>
      <c r="O59" s="2"/>
      <c r="P59" s="2"/>
    </row>
    <row r="60">
      <c r="A60" s="3" t="s">
        <v>243</v>
      </c>
      <c r="B60" s="3" t="s">
        <v>150</v>
      </c>
      <c r="C60" s="3" t="s">
        <v>244</v>
      </c>
      <c r="D60" s="2" t="str">
        <f t="array" ref="D60">INDEX(covid, MATCH($A60, iso_code, 0), MATCH(D$1, columns, 0))</f>
        <v>#N/A</v>
      </c>
      <c r="E60" s="2" t="str">
        <f t="array" ref="E60">INDEX(covid, MATCH($A60, iso_code, 0), MATCH(E$1, columns, 0))</f>
        <v>#N/A</v>
      </c>
      <c r="F60" s="2" t="str">
        <f t="array" ref="F60">INDEX(covid, MATCH($A60, iso_code, 0), MATCH(F$1, columns, 0))</f>
        <v>#N/A</v>
      </c>
      <c r="G60" s="2" t="str">
        <f t="array" ref="G60">INDEX(covid, MATCH($A60, iso_code, 0), MATCH(G$1, columns, 0))</f>
        <v>#N/A</v>
      </c>
      <c r="H60" s="9"/>
      <c r="I60" s="2"/>
      <c r="J60" s="2"/>
      <c r="K60" s="2"/>
      <c r="L60" s="2"/>
      <c r="M60" s="2"/>
      <c r="N60" s="2"/>
      <c r="O60" s="2"/>
      <c r="P60" s="2"/>
    </row>
    <row r="61">
      <c r="A61" s="3" t="s">
        <v>245</v>
      </c>
      <c r="B61" s="3" t="s">
        <v>145</v>
      </c>
      <c r="C61" s="3" t="s">
        <v>246</v>
      </c>
      <c r="D61" s="2" t="str">
        <f t="array" ref="D61">INDEX(covid, MATCH($A61, iso_code, 0), MATCH(D$1, columns, 0))</f>
        <v>#N/A</v>
      </c>
      <c r="E61" s="2" t="str">
        <f t="array" ref="E61">INDEX(covid, MATCH($A61, iso_code, 0), MATCH(E$1, columns, 0))</f>
        <v>#N/A</v>
      </c>
      <c r="F61" s="2" t="str">
        <f t="array" ref="F61">INDEX(covid, MATCH($A61, iso_code, 0), MATCH(F$1, columns, 0))</f>
        <v>#N/A</v>
      </c>
      <c r="G61" s="2" t="str">
        <f t="array" ref="G61">INDEX(covid, MATCH($A61, iso_code, 0), MATCH(G$1, columns, 0))</f>
        <v>#N/A</v>
      </c>
      <c r="H61" s="9"/>
      <c r="I61" s="2"/>
      <c r="J61" s="2"/>
      <c r="K61" s="2"/>
      <c r="L61" s="2"/>
      <c r="M61" s="2"/>
      <c r="N61" s="2"/>
      <c r="O61" s="2"/>
      <c r="P61" s="2"/>
    </row>
    <row r="62">
      <c r="A62" s="3" t="s">
        <v>247</v>
      </c>
      <c r="B62" s="3" t="s">
        <v>145</v>
      </c>
      <c r="C62" s="3" t="s">
        <v>248</v>
      </c>
      <c r="D62" s="2" t="str">
        <f t="array" ref="D62">INDEX(covid, MATCH($A62, iso_code, 0), MATCH(D$1, columns, 0))</f>
        <v>#N/A</v>
      </c>
      <c r="E62" s="2" t="str">
        <f t="array" ref="E62">INDEX(covid, MATCH($A62, iso_code, 0), MATCH(E$1, columns, 0))</f>
        <v>#N/A</v>
      </c>
      <c r="F62" s="2" t="str">
        <f t="array" ref="F62">INDEX(covid, MATCH($A62, iso_code, 0), MATCH(F$1, columns, 0))</f>
        <v>#N/A</v>
      </c>
      <c r="G62" s="2" t="str">
        <f t="array" ref="G62">INDEX(covid, MATCH($A62, iso_code, 0), MATCH(G$1, columns, 0))</f>
        <v>#N/A</v>
      </c>
      <c r="H62" s="9"/>
      <c r="I62" s="2"/>
      <c r="J62" s="2"/>
      <c r="K62" s="2"/>
      <c r="L62" s="2"/>
      <c r="M62" s="2"/>
      <c r="N62" s="2"/>
      <c r="O62" s="2"/>
      <c r="P62" s="2"/>
    </row>
    <row r="63">
      <c r="A63" s="3" t="s">
        <v>65</v>
      </c>
      <c r="B63" s="3" t="s">
        <v>39</v>
      </c>
      <c r="C63" s="3" t="s">
        <v>66</v>
      </c>
      <c r="D63" s="2">
        <f t="array" ref="D63">INDEX(covid, MATCH($A63, iso_code, 0), MATCH(D$1, columns, 0))</f>
        <v>108418</v>
      </c>
      <c r="E63" s="2">
        <f t="array" ref="E63">INDEX(covid, MATCH($A63, iso_code, 0), MATCH(E$1, columns, 0))</f>
        <v>922</v>
      </c>
      <c r="F63" s="2">
        <f t="array" ref="F63">INDEX(covid, MATCH($A63, iso_code, 0), MATCH(F$1, columns, 0))</f>
        <v>1326539</v>
      </c>
      <c r="G63" s="2">
        <f t="array" ref="G63">INDEX(covid, MATCH($A63, iso_code, 0), MATCH(G$1, columns, 0))</f>
        <v>29481.252</v>
      </c>
      <c r="H63" s="9"/>
      <c r="I63" s="2"/>
      <c r="J63" s="2"/>
      <c r="K63" s="2"/>
      <c r="L63" s="2"/>
      <c r="M63" s="2"/>
      <c r="N63" s="2"/>
      <c r="O63" s="2"/>
      <c r="P63" s="2"/>
    </row>
    <row r="64">
      <c r="A64" s="3" t="s">
        <v>249</v>
      </c>
      <c r="B64" s="3" t="s">
        <v>145</v>
      </c>
      <c r="C64" s="3" t="s">
        <v>250</v>
      </c>
      <c r="D64" s="2" t="str">
        <f t="array" ref="D64">INDEX(covid, MATCH($A64, iso_code, 0), MATCH(D$1, columns, 0))</f>
        <v>#N/A</v>
      </c>
      <c r="E64" s="2" t="str">
        <f t="array" ref="E64">INDEX(covid, MATCH($A64, iso_code, 0), MATCH(E$1, columns, 0))</f>
        <v>#N/A</v>
      </c>
      <c r="F64" s="2" t="str">
        <f t="array" ref="F64">INDEX(covid, MATCH($A64, iso_code, 0), MATCH(F$1, columns, 0))</f>
        <v>#N/A</v>
      </c>
      <c r="G64" s="2" t="str">
        <f t="array" ref="G64">INDEX(covid, MATCH($A64, iso_code, 0), MATCH(G$1, columns, 0))</f>
        <v>#N/A</v>
      </c>
      <c r="H64" s="9"/>
      <c r="I64" s="2"/>
      <c r="J64" s="2"/>
      <c r="K64" s="2"/>
      <c r="L64" s="2"/>
      <c r="M64" s="2"/>
      <c r="N64" s="2"/>
      <c r="O64" s="2"/>
      <c r="P64" s="2"/>
    </row>
    <row r="65">
      <c r="A65" s="3" t="s">
        <v>71</v>
      </c>
      <c r="B65" s="3" t="s">
        <v>39</v>
      </c>
      <c r="C65" s="3" t="s">
        <v>72</v>
      </c>
      <c r="D65" s="2" t="str">
        <f t="array" ref="D65">INDEX(covid, MATCH($A65, iso_code, 0), MATCH(D$1, columns, 0))</f>
        <v/>
      </c>
      <c r="E65" s="2" t="str">
        <f t="array" ref="E65">INDEX(covid, MATCH($A65, iso_code, 0), MATCH(E$1, columns, 0))</f>
        <v/>
      </c>
      <c r="F65" s="2">
        <f t="array" ref="F65">INDEX(covid, MATCH($A65, iso_code, 0), MATCH(F$1, columns, 0))</f>
        <v>48865</v>
      </c>
      <c r="G65" s="2" t="str">
        <f t="array" ref="G65">INDEX(covid, MATCH($A65, iso_code, 0), MATCH(G$1, columns, 0))</f>
        <v/>
      </c>
      <c r="H65" s="9"/>
      <c r="I65" s="2"/>
      <c r="J65" s="2"/>
      <c r="K65" s="2"/>
      <c r="L65" s="2"/>
      <c r="M65" s="2"/>
      <c r="N65" s="2"/>
      <c r="O65" s="2"/>
      <c r="P65" s="2"/>
    </row>
    <row r="66">
      <c r="A66" s="3" t="s">
        <v>251</v>
      </c>
      <c r="B66" s="3" t="s">
        <v>155</v>
      </c>
      <c r="C66" s="3" t="s">
        <v>252</v>
      </c>
      <c r="D66" s="2" t="str">
        <f t="array" ref="D66">INDEX(covid, MATCH($A66, iso_code, 0), MATCH(D$1, columns, 0))</f>
        <v>#N/A</v>
      </c>
      <c r="E66" s="2" t="str">
        <f t="array" ref="E66">INDEX(covid, MATCH($A66, iso_code, 0), MATCH(E$1, columns, 0))</f>
        <v>#N/A</v>
      </c>
      <c r="F66" s="2" t="str">
        <f t="array" ref="F66">INDEX(covid, MATCH($A66, iso_code, 0), MATCH(F$1, columns, 0))</f>
        <v>#N/A</v>
      </c>
      <c r="G66" s="2" t="str">
        <f t="array" ref="G66">INDEX(covid, MATCH($A66, iso_code, 0), MATCH(G$1, columns, 0))</f>
        <v>#N/A</v>
      </c>
      <c r="H66" s="9"/>
      <c r="I66" s="2"/>
      <c r="J66" s="2"/>
      <c r="K66" s="2"/>
      <c r="L66" s="2"/>
      <c r="M66" s="2"/>
      <c r="N66" s="2"/>
      <c r="O66" s="2"/>
      <c r="P66" s="2"/>
    </row>
    <row r="67">
      <c r="A67" s="3" t="s">
        <v>253</v>
      </c>
      <c r="B67" s="3" t="s">
        <v>162</v>
      </c>
      <c r="C67" s="3" t="s">
        <v>254</v>
      </c>
      <c r="D67" s="2" t="str">
        <f t="array" ref="D67">INDEX(covid, MATCH($A67, iso_code, 0), MATCH(D$1, columns, 0))</f>
        <v>#N/A</v>
      </c>
      <c r="E67" s="2" t="str">
        <f t="array" ref="E67">INDEX(covid, MATCH($A67, iso_code, 0), MATCH(E$1, columns, 0))</f>
        <v>#N/A</v>
      </c>
      <c r="F67" s="2" t="str">
        <f t="array" ref="F67">INDEX(covid, MATCH($A67, iso_code, 0), MATCH(F$1, columns, 0))</f>
        <v>#N/A</v>
      </c>
      <c r="G67" s="2" t="str">
        <f t="array" ref="G67">INDEX(covid, MATCH($A67, iso_code, 0), MATCH(G$1, columns, 0))</f>
        <v>#N/A</v>
      </c>
      <c r="H67" s="9"/>
      <c r="I67" s="2"/>
      <c r="J67" s="2"/>
      <c r="K67" s="2"/>
      <c r="L67" s="2"/>
      <c r="M67" s="2"/>
      <c r="N67" s="2"/>
      <c r="O67" s="2"/>
      <c r="P67" s="2"/>
    </row>
    <row r="68">
      <c r="A68" s="3" t="s">
        <v>67</v>
      </c>
      <c r="B68" s="3" t="s">
        <v>39</v>
      </c>
      <c r="C68" s="3" t="s">
        <v>68</v>
      </c>
      <c r="D68" s="2">
        <f t="array" ref="D68">INDEX(covid, MATCH($A68, iso_code, 0), MATCH(D$1, columns, 0))</f>
        <v>78672</v>
      </c>
      <c r="E68" s="2">
        <f t="array" ref="E68">INDEX(covid, MATCH($A68, iso_code, 0), MATCH(E$1, columns, 0))</f>
        <v>846</v>
      </c>
      <c r="F68" s="2">
        <f t="array" ref="F68">INDEX(covid, MATCH($A68, iso_code, 0), MATCH(F$1, columns, 0))</f>
        <v>5540718</v>
      </c>
      <c r="G68" s="2">
        <f t="array" ref="G68">INDEX(covid, MATCH($A68, iso_code, 0), MATCH(G$1, columns, 0))</f>
        <v>40585.721</v>
      </c>
      <c r="H68" s="9"/>
      <c r="I68" s="2"/>
      <c r="J68" s="2"/>
      <c r="K68" s="2"/>
      <c r="L68" s="2"/>
      <c r="M68" s="2"/>
      <c r="N68" s="2"/>
      <c r="O68" s="2"/>
      <c r="P68" s="2"/>
    </row>
    <row r="69">
      <c r="A69" s="3" t="s">
        <v>69</v>
      </c>
      <c r="B69" s="3" t="s">
        <v>39</v>
      </c>
      <c r="C69" s="3" t="s">
        <v>70</v>
      </c>
      <c r="D69" s="2">
        <f t="array" ref="D69">INDEX(covid, MATCH($A69, iso_code, 0), MATCH(D$1, columns, 0))</f>
        <v>4802457</v>
      </c>
      <c r="E69" s="2">
        <f t="array" ref="E69">INDEX(covid, MATCH($A69, iso_code, 0), MATCH(E$1, columns, 0))</f>
        <v>96438</v>
      </c>
      <c r="F69" s="2">
        <f t="array" ref="F69">INDEX(covid, MATCH($A69, iso_code, 0), MATCH(F$1, columns, 0))</f>
        <v>68147687</v>
      </c>
      <c r="G69" s="2">
        <f t="array" ref="G69">INDEX(covid, MATCH($A69, iso_code, 0), MATCH(G$1, columns, 0))</f>
        <v>38605.671</v>
      </c>
      <c r="H69" s="9"/>
      <c r="I69" s="2"/>
      <c r="J69" s="2"/>
      <c r="K69" s="2"/>
      <c r="L69" s="2"/>
      <c r="M69" s="2"/>
      <c r="N69" s="2"/>
      <c r="O69" s="2"/>
      <c r="P69" s="2"/>
    </row>
    <row r="70">
      <c r="A70" s="3" t="s">
        <v>255</v>
      </c>
      <c r="B70" s="3" t="s">
        <v>162</v>
      </c>
      <c r="C70" s="3" t="s">
        <v>256</v>
      </c>
      <c r="D70" s="2" t="str">
        <f t="array" ref="D70">INDEX(covid, MATCH($A70, iso_code, 0), MATCH(D$1, columns, 0))</f>
        <v>#N/A</v>
      </c>
      <c r="E70" s="2" t="str">
        <f t="array" ref="E70">INDEX(covid, MATCH($A70, iso_code, 0), MATCH(E$1, columns, 0))</f>
        <v>#N/A</v>
      </c>
      <c r="F70" s="2" t="str">
        <f t="array" ref="F70">INDEX(covid, MATCH($A70, iso_code, 0), MATCH(F$1, columns, 0))</f>
        <v>#N/A</v>
      </c>
      <c r="G70" s="2" t="str">
        <f t="array" ref="G70">INDEX(covid, MATCH($A70, iso_code, 0), MATCH(G$1, columns, 0))</f>
        <v>#N/A</v>
      </c>
      <c r="H70" s="9"/>
      <c r="I70" s="2"/>
      <c r="J70" s="2"/>
      <c r="K70" s="2"/>
      <c r="L70" s="2"/>
      <c r="M70" s="2"/>
      <c r="N70" s="2"/>
      <c r="O70" s="2"/>
      <c r="P70" s="2"/>
    </row>
    <row r="71">
      <c r="A71" s="3" t="s">
        <v>257</v>
      </c>
      <c r="B71" s="3" t="s">
        <v>145</v>
      </c>
      <c r="C71" s="3" t="s">
        <v>258</v>
      </c>
      <c r="D71" s="2" t="str">
        <f t="array" ref="D71">INDEX(covid, MATCH($A71, iso_code, 0), MATCH(D$1, columns, 0))</f>
        <v>#N/A</v>
      </c>
      <c r="E71" s="2" t="str">
        <f t="array" ref="E71">INDEX(covid, MATCH($A71, iso_code, 0), MATCH(E$1, columns, 0))</f>
        <v>#N/A</v>
      </c>
      <c r="F71" s="2" t="str">
        <f t="array" ref="F71">INDEX(covid, MATCH($A71, iso_code, 0), MATCH(F$1, columns, 0))</f>
        <v>#N/A</v>
      </c>
      <c r="G71" s="2" t="str">
        <f t="array" ref="G71">INDEX(covid, MATCH($A71, iso_code, 0), MATCH(G$1, columns, 0))</f>
        <v>#N/A</v>
      </c>
      <c r="H71" s="9"/>
      <c r="I71" s="2"/>
      <c r="J71" s="2"/>
      <c r="K71" s="2"/>
      <c r="L71" s="2"/>
      <c r="M71" s="2"/>
      <c r="N71" s="2"/>
      <c r="O71" s="2"/>
      <c r="P71" s="2"/>
    </row>
    <row r="72">
      <c r="A72" s="3" t="s">
        <v>259</v>
      </c>
      <c r="B72" s="3" t="s">
        <v>145</v>
      </c>
      <c r="C72" s="3" t="s">
        <v>260</v>
      </c>
      <c r="D72" s="2" t="str">
        <f t="array" ref="D72">INDEX(covid, MATCH($A72, iso_code, 0), MATCH(D$1, columns, 0))</f>
        <v>#N/A</v>
      </c>
      <c r="E72" s="2" t="str">
        <f t="array" ref="E72">INDEX(covid, MATCH($A72, iso_code, 0), MATCH(E$1, columns, 0))</f>
        <v>#N/A</v>
      </c>
      <c r="F72" s="2" t="str">
        <f t="array" ref="F72">INDEX(covid, MATCH($A72, iso_code, 0), MATCH(F$1, columns, 0))</f>
        <v>#N/A</v>
      </c>
      <c r="G72" s="2" t="str">
        <f t="array" ref="G72">INDEX(covid, MATCH($A72, iso_code, 0), MATCH(G$1, columns, 0))</f>
        <v>#N/A</v>
      </c>
      <c r="H72" s="9"/>
      <c r="I72" s="2"/>
      <c r="J72" s="2"/>
      <c r="K72" s="2"/>
      <c r="L72" s="2"/>
      <c r="M72" s="2"/>
      <c r="N72" s="2"/>
      <c r="O72" s="2"/>
      <c r="P72" s="2"/>
    </row>
    <row r="73">
      <c r="A73" s="3" t="s">
        <v>261</v>
      </c>
      <c r="B73" s="3" t="s">
        <v>142</v>
      </c>
      <c r="C73" s="3" t="s">
        <v>262</v>
      </c>
      <c r="D73" s="2" t="str">
        <f t="array" ref="D73">INDEX(covid, MATCH($A73, iso_code, 0), MATCH(D$1, columns, 0))</f>
        <v>#N/A</v>
      </c>
      <c r="E73" s="2" t="str">
        <f t="array" ref="E73">INDEX(covid, MATCH($A73, iso_code, 0), MATCH(E$1, columns, 0))</f>
        <v>#N/A</v>
      </c>
      <c r="F73" s="2" t="str">
        <f t="array" ref="F73">INDEX(covid, MATCH($A73, iso_code, 0), MATCH(F$1, columns, 0))</f>
        <v>#N/A</v>
      </c>
      <c r="G73" s="2" t="str">
        <f t="array" ref="G73">INDEX(covid, MATCH($A73, iso_code, 0), MATCH(G$1, columns, 0))</f>
        <v>#N/A</v>
      </c>
      <c r="H73" s="9"/>
      <c r="I73" s="2"/>
      <c r="J73" s="2"/>
      <c r="K73" s="2"/>
      <c r="L73" s="2"/>
      <c r="M73" s="2"/>
      <c r="N73" s="2"/>
      <c r="O73" s="2"/>
      <c r="P73" s="2"/>
    </row>
    <row r="74">
      <c r="A74" s="3" t="s">
        <v>59</v>
      </c>
      <c r="B74" s="3" t="s">
        <v>39</v>
      </c>
      <c r="C74" s="3" t="s">
        <v>60</v>
      </c>
      <c r="D74" s="2">
        <f t="array" ref="D74">INDEX(covid, MATCH($A74, iso_code, 0), MATCH(D$1, columns, 0))</f>
        <v>2882356</v>
      </c>
      <c r="E74" s="2">
        <f t="array" ref="E74">INDEX(covid, MATCH($A74, iso_code, 0), MATCH(E$1, columns, 0))</f>
        <v>76940</v>
      </c>
      <c r="F74" s="2">
        <f t="array" ref="F74">INDEX(covid, MATCH($A74, iso_code, 0), MATCH(F$1, columns, 0))</f>
        <v>83783945</v>
      </c>
      <c r="G74" s="2">
        <f t="array" ref="G74">INDEX(covid, MATCH($A74, iso_code, 0), MATCH(G$1, columns, 0))</f>
        <v>45229.245</v>
      </c>
      <c r="H74" s="9"/>
      <c r="I74" s="2"/>
      <c r="J74" s="2"/>
      <c r="K74" s="2"/>
      <c r="L74" s="2"/>
      <c r="M74" s="2"/>
      <c r="N74" s="2"/>
      <c r="O74" s="2"/>
      <c r="P74" s="2"/>
    </row>
    <row r="75">
      <c r="A75" s="3" t="s">
        <v>263</v>
      </c>
      <c r="B75" s="3" t="s">
        <v>145</v>
      </c>
      <c r="C75" s="3" t="s">
        <v>264</v>
      </c>
      <c r="D75" s="2" t="str">
        <f t="array" ref="D75">INDEX(covid, MATCH($A75, iso_code, 0), MATCH(D$1, columns, 0))</f>
        <v>#N/A</v>
      </c>
      <c r="E75" s="2" t="str">
        <f t="array" ref="E75">INDEX(covid, MATCH($A75, iso_code, 0), MATCH(E$1, columns, 0))</f>
        <v>#N/A</v>
      </c>
      <c r="F75" s="2" t="str">
        <f t="array" ref="F75">INDEX(covid, MATCH($A75, iso_code, 0), MATCH(F$1, columns, 0))</f>
        <v>#N/A</v>
      </c>
      <c r="G75" s="2" t="str">
        <f t="array" ref="G75">INDEX(covid, MATCH($A75, iso_code, 0), MATCH(G$1, columns, 0))</f>
        <v>#N/A</v>
      </c>
      <c r="H75" s="9"/>
      <c r="I75" s="2"/>
      <c r="J75" s="2"/>
      <c r="K75" s="2"/>
      <c r="L75" s="2"/>
      <c r="M75" s="2"/>
      <c r="N75" s="2"/>
      <c r="O75" s="2"/>
      <c r="P75" s="2"/>
    </row>
    <row r="76">
      <c r="A76" s="3" t="s">
        <v>77</v>
      </c>
      <c r="B76" s="3" t="s">
        <v>39</v>
      </c>
      <c r="C76" s="3" t="s">
        <v>78</v>
      </c>
      <c r="D76" s="2" t="str">
        <f t="array" ref="D76">INDEX(covid, MATCH($A76, iso_code, 0), MATCH(D$1, columns, 0))</f>
        <v/>
      </c>
      <c r="E76" s="2" t="str">
        <f t="array" ref="E76">INDEX(covid, MATCH($A76, iso_code, 0), MATCH(E$1, columns, 0))</f>
        <v/>
      </c>
      <c r="F76" s="2">
        <f t="array" ref="F76">INDEX(covid, MATCH($A76, iso_code, 0), MATCH(F$1, columns, 0))</f>
        <v>33691</v>
      </c>
      <c r="G76" s="2" t="str">
        <f t="array" ref="G76">INDEX(covid, MATCH($A76, iso_code, 0), MATCH(G$1, columns, 0))</f>
        <v/>
      </c>
      <c r="H76" s="9"/>
      <c r="I76" s="2"/>
      <c r="J76" s="2"/>
      <c r="K76" s="2"/>
      <c r="L76" s="2"/>
      <c r="M76" s="2"/>
      <c r="N76" s="2"/>
      <c r="O76" s="2"/>
      <c r="P76" s="2"/>
    </row>
    <row r="77">
      <c r="A77" s="3" t="s">
        <v>79</v>
      </c>
      <c r="B77" s="3" t="s">
        <v>39</v>
      </c>
      <c r="C77" s="3" t="s">
        <v>80</v>
      </c>
      <c r="D77" s="2">
        <f t="array" ref="D77">INDEX(covid, MATCH($A77, iso_code, 0), MATCH(D$1, columns, 0))</f>
        <v>270230</v>
      </c>
      <c r="E77" s="2">
        <f t="array" ref="E77">INDEX(covid, MATCH($A77, iso_code, 0), MATCH(E$1, columns, 0))</f>
        <v>8232</v>
      </c>
      <c r="F77" s="2">
        <f t="array" ref="F77">INDEX(covid, MATCH($A77, iso_code, 0), MATCH(F$1, columns, 0))</f>
        <v>10423056</v>
      </c>
      <c r="G77" s="2">
        <f t="array" ref="G77">INDEX(covid, MATCH($A77, iso_code, 0), MATCH(G$1, columns, 0))</f>
        <v>24574.382</v>
      </c>
      <c r="H77" s="9"/>
      <c r="I77" s="2"/>
      <c r="J77" s="2"/>
      <c r="K77" s="2"/>
      <c r="L77" s="2"/>
      <c r="M77" s="2"/>
      <c r="N77" s="2"/>
      <c r="O77" s="2"/>
      <c r="P77" s="2"/>
    </row>
    <row r="78">
      <c r="A78" s="3" t="s">
        <v>265</v>
      </c>
      <c r="B78" s="3" t="s">
        <v>150</v>
      </c>
      <c r="C78" s="3" t="s">
        <v>266</v>
      </c>
      <c r="D78" s="2" t="str">
        <f t="array" ref="D78">INDEX(covid, MATCH($A78, iso_code, 0), MATCH(D$1, columns, 0))</f>
        <v>#N/A</v>
      </c>
      <c r="E78" s="2" t="str">
        <f t="array" ref="E78">INDEX(covid, MATCH($A78, iso_code, 0), MATCH(E$1, columns, 0))</f>
        <v>#N/A</v>
      </c>
      <c r="F78" s="2" t="str">
        <f t="array" ref="F78">INDEX(covid, MATCH($A78, iso_code, 0), MATCH(F$1, columns, 0))</f>
        <v>#N/A</v>
      </c>
      <c r="G78" s="2" t="str">
        <f t="array" ref="G78">INDEX(covid, MATCH($A78, iso_code, 0), MATCH(G$1, columns, 0))</f>
        <v>#N/A</v>
      </c>
      <c r="H78" s="9"/>
      <c r="I78" s="2"/>
      <c r="J78" s="2"/>
      <c r="K78" s="2"/>
      <c r="L78" s="2"/>
      <c r="M78" s="2"/>
      <c r="N78" s="2"/>
      <c r="O78" s="2"/>
      <c r="P78" s="2"/>
    </row>
    <row r="79">
      <c r="A79" s="3" t="s">
        <v>267</v>
      </c>
      <c r="B79" s="3" t="s">
        <v>150</v>
      </c>
      <c r="C79" s="3" t="s">
        <v>268</v>
      </c>
      <c r="D79" s="2" t="str">
        <f t="array" ref="D79">INDEX(covid, MATCH($A79, iso_code, 0), MATCH(D$1, columns, 0))</f>
        <v>#N/A</v>
      </c>
      <c r="E79" s="2" t="str">
        <f t="array" ref="E79">INDEX(covid, MATCH($A79, iso_code, 0), MATCH(E$1, columns, 0))</f>
        <v>#N/A</v>
      </c>
      <c r="F79" s="2" t="str">
        <f t="array" ref="F79">INDEX(covid, MATCH($A79, iso_code, 0), MATCH(F$1, columns, 0))</f>
        <v>#N/A</v>
      </c>
      <c r="G79" s="2" t="str">
        <f t="array" ref="G79">INDEX(covid, MATCH($A79, iso_code, 0), MATCH(G$1, columns, 0))</f>
        <v>#N/A</v>
      </c>
      <c r="H79" s="9"/>
      <c r="I79" s="2"/>
      <c r="J79" s="2"/>
      <c r="K79" s="2"/>
      <c r="L79" s="2"/>
      <c r="M79" s="2"/>
      <c r="N79" s="2"/>
      <c r="O79" s="2"/>
      <c r="P79" s="2"/>
    </row>
    <row r="80">
      <c r="A80" s="3" t="s">
        <v>269</v>
      </c>
      <c r="B80" s="3" t="s">
        <v>162</v>
      </c>
      <c r="C80" s="3" t="s">
        <v>270</v>
      </c>
      <c r="D80" s="2" t="str">
        <f t="array" ref="D80">INDEX(covid, MATCH($A80, iso_code, 0), MATCH(D$1, columns, 0))</f>
        <v>#N/A</v>
      </c>
      <c r="E80" s="2" t="str">
        <f t="array" ref="E80">INDEX(covid, MATCH($A80, iso_code, 0), MATCH(E$1, columns, 0))</f>
        <v>#N/A</v>
      </c>
      <c r="F80" s="2" t="str">
        <f t="array" ref="F80">INDEX(covid, MATCH($A80, iso_code, 0), MATCH(F$1, columns, 0))</f>
        <v>#N/A</v>
      </c>
      <c r="G80" s="2" t="str">
        <f t="array" ref="G80">INDEX(covid, MATCH($A80, iso_code, 0), MATCH(G$1, columns, 0))</f>
        <v>#N/A</v>
      </c>
      <c r="H80" s="9"/>
      <c r="I80" s="2"/>
      <c r="J80" s="2"/>
      <c r="K80" s="2"/>
      <c r="L80" s="2"/>
      <c r="M80" s="2"/>
      <c r="N80" s="2"/>
      <c r="O80" s="2"/>
      <c r="P80" s="2"/>
    </row>
    <row r="81">
      <c r="A81" s="3" t="s">
        <v>271</v>
      </c>
      <c r="B81" s="3" t="s">
        <v>150</v>
      </c>
      <c r="C81" s="3" t="s">
        <v>272</v>
      </c>
      <c r="D81" s="2" t="str">
        <f t="array" ref="D81">INDEX(covid, MATCH($A81, iso_code, 0), MATCH(D$1, columns, 0))</f>
        <v>#N/A</v>
      </c>
      <c r="E81" s="2" t="str">
        <f t="array" ref="E81">INDEX(covid, MATCH($A81, iso_code, 0), MATCH(E$1, columns, 0))</f>
        <v>#N/A</v>
      </c>
      <c r="F81" s="2" t="str">
        <f t="array" ref="F81">INDEX(covid, MATCH($A81, iso_code, 0), MATCH(F$1, columns, 0))</f>
        <v>#N/A</v>
      </c>
      <c r="G81" s="2" t="str">
        <f t="array" ref="G81">INDEX(covid, MATCH($A81, iso_code, 0), MATCH(G$1, columns, 0))</f>
        <v>#N/A</v>
      </c>
      <c r="H81" s="9"/>
      <c r="I81" s="2"/>
      <c r="J81" s="2"/>
      <c r="K81" s="2"/>
      <c r="L81" s="2"/>
      <c r="M81" s="2"/>
      <c r="N81" s="2"/>
      <c r="O81" s="2"/>
      <c r="P81" s="2"/>
    </row>
    <row r="82">
      <c r="A82" s="3" t="s">
        <v>75</v>
      </c>
      <c r="B82" s="3" t="s">
        <v>39</v>
      </c>
      <c r="C82" s="3" t="s">
        <v>76</v>
      </c>
      <c r="D82" s="2" t="str">
        <f t="array" ref="D82">INDEX(covid, MATCH($A82, iso_code, 0), MATCH(D$1, columns, 0))</f>
        <v/>
      </c>
      <c r="E82" s="2" t="str">
        <f t="array" ref="E82">INDEX(covid, MATCH($A82, iso_code, 0), MATCH(E$1, columns, 0))</f>
        <v/>
      </c>
      <c r="F82" s="2">
        <f t="array" ref="F82">INDEX(covid, MATCH($A82, iso_code, 0), MATCH(F$1, columns, 0))</f>
        <v>67052</v>
      </c>
      <c r="G82" s="2" t="str">
        <f t="array" ref="G82">INDEX(covid, MATCH($A82, iso_code, 0), MATCH(G$1, columns, 0))</f>
        <v/>
      </c>
      <c r="H82" s="9"/>
      <c r="I82" s="2"/>
      <c r="J82" s="2"/>
      <c r="K82" s="2"/>
      <c r="L82" s="2"/>
      <c r="M82" s="2"/>
      <c r="N82" s="2"/>
      <c r="O82" s="2"/>
      <c r="P82" s="2"/>
    </row>
    <row r="83">
      <c r="A83" s="3" t="s">
        <v>273</v>
      </c>
      <c r="B83" s="3" t="s">
        <v>145</v>
      </c>
      <c r="C83" s="3" t="s">
        <v>274</v>
      </c>
      <c r="D83" s="2" t="str">
        <f t="array" ref="D83">INDEX(covid, MATCH($A83, iso_code, 0), MATCH(D$1, columns, 0))</f>
        <v>#N/A</v>
      </c>
      <c r="E83" s="2" t="str">
        <f t="array" ref="E83">INDEX(covid, MATCH($A83, iso_code, 0), MATCH(E$1, columns, 0))</f>
        <v>#N/A</v>
      </c>
      <c r="F83" s="2" t="str">
        <f t="array" ref="F83">INDEX(covid, MATCH($A83, iso_code, 0), MATCH(F$1, columns, 0))</f>
        <v>#N/A</v>
      </c>
      <c r="G83" s="2" t="str">
        <f t="array" ref="G83">INDEX(covid, MATCH($A83, iso_code, 0), MATCH(G$1, columns, 0))</f>
        <v>#N/A</v>
      </c>
      <c r="H83" s="9"/>
      <c r="I83" s="2"/>
      <c r="J83" s="2"/>
      <c r="K83" s="2"/>
      <c r="L83" s="2"/>
      <c r="M83" s="2"/>
      <c r="N83" s="2"/>
      <c r="O83" s="2"/>
      <c r="P83" s="2"/>
    </row>
    <row r="84">
      <c r="A84" s="3" t="s">
        <v>275</v>
      </c>
      <c r="B84" s="3" t="s">
        <v>145</v>
      </c>
      <c r="C84" s="3" t="s">
        <v>276</v>
      </c>
      <c r="D84" s="2" t="str">
        <f t="array" ref="D84">INDEX(covid, MATCH($A84, iso_code, 0), MATCH(D$1, columns, 0))</f>
        <v>#N/A</v>
      </c>
      <c r="E84" s="2" t="str">
        <f t="array" ref="E84">INDEX(covid, MATCH($A84, iso_code, 0), MATCH(E$1, columns, 0))</f>
        <v>#N/A</v>
      </c>
      <c r="F84" s="2" t="str">
        <f t="array" ref="F84">INDEX(covid, MATCH($A84, iso_code, 0), MATCH(F$1, columns, 0))</f>
        <v>#N/A</v>
      </c>
      <c r="G84" s="2" t="str">
        <f t="array" ref="G84">INDEX(covid, MATCH($A84, iso_code, 0), MATCH(G$1, columns, 0))</f>
        <v>#N/A</v>
      </c>
      <c r="H84" s="9"/>
      <c r="I84" s="2"/>
      <c r="J84" s="2"/>
      <c r="K84" s="2"/>
      <c r="L84" s="2"/>
      <c r="M84" s="2"/>
      <c r="N84" s="2"/>
      <c r="O84" s="2"/>
      <c r="P84" s="2"/>
    </row>
    <row r="85">
      <c r="A85" s="3" t="s">
        <v>277</v>
      </c>
      <c r="B85" s="3" t="s">
        <v>155</v>
      </c>
      <c r="C85" s="3" t="s">
        <v>278</v>
      </c>
      <c r="D85" s="2" t="str">
        <f t="array" ref="D85">INDEX(covid, MATCH($A85, iso_code, 0), MATCH(D$1, columns, 0))</f>
        <v>#N/A</v>
      </c>
      <c r="E85" s="2" t="str">
        <f t="array" ref="E85">INDEX(covid, MATCH($A85, iso_code, 0), MATCH(E$1, columns, 0))</f>
        <v>#N/A</v>
      </c>
      <c r="F85" s="2" t="str">
        <f t="array" ref="F85">INDEX(covid, MATCH($A85, iso_code, 0), MATCH(F$1, columns, 0))</f>
        <v>#N/A</v>
      </c>
      <c r="G85" s="2" t="str">
        <f t="array" ref="G85">INDEX(covid, MATCH($A85, iso_code, 0), MATCH(G$1, columns, 0))</f>
        <v>#N/A</v>
      </c>
      <c r="H85" s="9"/>
      <c r="I85" s="2"/>
      <c r="J85" s="2"/>
      <c r="K85" s="2"/>
      <c r="L85" s="2"/>
      <c r="M85" s="2"/>
      <c r="N85" s="2"/>
      <c r="O85" s="2"/>
      <c r="P85" s="2"/>
    </row>
    <row r="86">
      <c r="A86" s="3" t="s">
        <v>279</v>
      </c>
      <c r="B86" s="3" t="s">
        <v>150</v>
      </c>
      <c r="C86" s="3" t="s">
        <v>280</v>
      </c>
      <c r="D86" s="2" t="str">
        <f t="array" ref="D86">INDEX(covid, MATCH($A86, iso_code, 0), MATCH(D$1, columns, 0))</f>
        <v>#N/A</v>
      </c>
      <c r="E86" s="2" t="str">
        <f t="array" ref="E86">INDEX(covid, MATCH($A86, iso_code, 0), MATCH(E$1, columns, 0))</f>
        <v>#N/A</v>
      </c>
      <c r="F86" s="2" t="str">
        <f t="array" ref="F86">INDEX(covid, MATCH($A86, iso_code, 0), MATCH(F$1, columns, 0))</f>
        <v>#N/A</v>
      </c>
      <c r="G86" s="2" t="str">
        <f t="array" ref="G86">INDEX(covid, MATCH($A86, iso_code, 0), MATCH(G$1, columns, 0))</f>
        <v>#N/A</v>
      </c>
      <c r="H86" s="9"/>
      <c r="I86" s="2"/>
      <c r="J86" s="2"/>
      <c r="K86" s="2"/>
      <c r="L86" s="2"/>
      <c r="M86" s="2"/>
      <c r="N86" s="2"/>
      <c r="O86" s="2"/>
      <c r="P86" s="2"/>
    </row>
    <row r="87">
      <c r="A87" s="3" t="s">
        <v>281</v>
      </c>
      <c r="B87" s="3" t="s">
        <v>150</v>
      </c>
      <c r="C87" s="3" t="s">
        <v>282</v>
      </c>
      <c r="D87" s="2" t="str">
        <f t="array" ref="D87">INDEX(covid, MATCH($A87, iso_code, 0), MATCH(D$1, columns, 0))</f>
        <v>#N/A</v>
      </c>
      <c r="E87" s="2" t="str">
        <f t="array" ref="E87">INDEX(covid, MATCH($A87, iso_code, 0), MATCH(E$1, columns, 0))</f>
        <v>#N/A</v>
      </c>
      <c r="F87" s="2" t="str">
        <f t="array" ref="F87">INDEX(covid, MATCH($A87, iso_code, 0), MATCH(F$1, columns, 0))</f>
        <v>#N/A</v>
      </c>
      <c r="G87" s="2" t="str">
        <f t="array" ref="G87">INDEX(covid, MATCH($A87, iso_code, 0), MATCH(G$1, columns, 0))</f>
        <v>#N/A</v>
      </c>
      <c r="H87" s="9"/>
      <c r="I87" s="2"/>
      <c r="J87" s="2"/>
      <c r="K87" s="2"/>
      <c r="L87" s="2"/>
      <c r="M87" s="2"/>
      <c r="N87" s="2"/>
      <c r="O87" s="2"/>
      <c r="P87" s="2"/>
    </row>
    <row r="88">
      <c r="A88" s="3" t="s">
        <v>283</v>
      </c>
      <c r="B88" s="3" t="s">
        <v>142</v>
      </c>
      <c r="C88" s="3" t="s">
        <v>284</v>
      </c>
      <c r="D88" s="2" t="str">
        <f t="array" ref="D88">INDEX(covid, MATCH($A88, iso_code, 0), MATCH(D$1, columns, 0))</f>
        <v>#N/A</v>
      </c>
      <c r="E88" s="2" t="str">
        <f t="array" ref="E88">INDEX(covid, MATCH($A88, iso_code, 0), MATCH(E$1, columns, 0))</f>
        <v>#N/A</v>
      </c>
      <c r="F88" s="2" t="str">
        <f t="array" ref="F88">INDEX(covid, MATCH($A88, iso_code, 0), MATCH(F$1, columns, 0))</f>
        <v>#N/A</v>
      </c>
      <c r="G88" s="2" t="str">
        <f t="array" ref="G88">INDEX(covid, MATCH($A88, iso_code, 0), MATCH(G$1, columns, 0))</f>
        <v>#N/A</v>
      </c>
      <c r="H88" s="9"/>
      <c r="I88" s="2"/>
      <c r="J88" s="2"/>
      <c r="K88" s="2"/>
      <c r="L88" s="2"/>
      <c r="M88" s="2"/>
      <c r="N88" s="2"/>
      <c r="O88" s="2"/>
      <c r="P88" s="2"/>
    </row>
    <row r="89">
      <c r="A89" s="3" t="s">
        <v>83</v>
      </c>
      <c r="B89" s="3" t="s">
        <v>39</v>
      </c>
      <c r="C89" s="3" t="s">
        <v>84</v>
      </c>
      <c r="D89" s="2">
        <f t="array" ref="D89">INDEX(covid, MATCH($A89, iso_code, 0), MATCH(D$1, columns, 0))</f>
        <v>670776</v>
      </c>
      <c r="E89" s="2">
        <f t="array" ref="E89">INDEX(covid, MATCH($A89, iso_code, 0), MATCH(E$1, columns, 0))</f>
        <v>21262</v>
      </c>
      <c r="F89" s="2">
        <f t="array" ref="F89">INDEX(covid, MATCH($A89, iso_code, 0), MATCH(F$1, columns, 0))</f>
        <v>9660350</v>
      </c>
      <c r="G89" s="2">
        <f t="array" ref="G89">INDEX(covid, MATCH($A89, iso_code, 0), MATCH(G$1, columns, 0))</f>
        <v>26777.561</v>
      </c>
      <c r="H89" s="9"/>
      <c r="I89" s="2"/>
      <c r="J89" s="2"/>
      <c r="K89" s="2"/>
      <c r="L89" s="2"/>
      <c r="M89" s="2"/>
      <c r="N89" s="2"/>
      <c r="O89" s="2"/>
      <c r="P89" s="2"/>
    </row>
    <row r="90">
      <c r="A90" s="3" t="s">
        <v>89</v>
      </c>
      <c r="B90" s="3" t="s">
        <v>39</v>
      </c>
      <c r="C90" s="3" t="s">
        <v>90</v>
      </c>
      <c r="D90" s="2">
        <f t="array" ref="D90">INDEX(covid, MATCH($A90, iso_code, 0), MATCH(D$1, columns, 0))</f>
        <v>6205</v>
      </c>
      <c r="E90" s="2">
        <f t="array" ref="E90">INDEX(covid, MATCH($A90, iso_code, 0), MATCH(E$1, columns, 0))</f>
        <v>29</v>
      </c>
      <c r="F90" s="2">
        <f t="array" ref="F90">INDEX(covid, MATCH($A90, iso_code, 0), MATCH(F$1, columns, 0))</f>
        <v>341250</v>
      </c>
      <c r="G90" s="2">
        <f t="array" ref="G90">INDEX(covid, MATCH($A90, iso_code, 0), MATCH(G$1, columns, 0))</f>
        <v>46482.958</v>
      </c>
      <c r="H90" s="9"/>
      <c r="I90" s="2"/>
      <c r="J90" s="2"/>
      <c r="K90" s="2"/>
      <c r="L90" s="2"/>
      <c r="M90" s="2"/>
      <c r="N90" s="2"/>
      <c r="O90" s="2"/>
      <c r="P90" s="2"/>
    </row>
    <row r="91">
      <c r="A91" s="3" t="s">
        <v>285</v>
      </c>
      <c r="B91" s="3" t="s">
        <v>142</v>
      </c>
      <c r="C91" s="3" t="s">
        <v>286</v>
      </c>
      <c r="D91" s="2" t="str">
        <f t="array" ref="D91">INDEX(covid, MATCH($A91, iso_code, 0), MATCH(D$1, columns, 0))</f>
        <v>#N/A</v>
      </c>
      <c r="E91" s="2" t="str">
        <f t="array" ref="E91">INDEX(covid, MATCH($A91, iso_code, 0), MATCH(E$1, columns, 0))</f>
        <v>#N/A</v>
      </c>
      <c r="F91" s="2" t="str">
        <f t="array" ref="F91">INDEX(covid, MATCH($A91, iso_code, 0), MATCH(F$1, columns, 0))</f>
        <v>#N/A</v>
      </c>
      <c r="G91" s="2" t="str">
        <f t="array" ref="G91">INDEX(covid, MATCH($A91, iso_code, 0), MATCH(G$1, columns, 0))</f>
        <v>#N/A</v>
      </c>
      <c r="H91" s="9"/>
      <c r="I91" s="2"/>
      <c r="J91" s="2"/>
      <c r="K91" s="2"/>
      <c r="L91" s="2"/>
      <c r="M91" s="2"/>
      <c r="N91" s="2"/>
      <c r="O91" s="2"/>
      <c r="P91" s="2"/>
    </row>
    <row r="92">
      <c r="A92" s="3" t="s">
        <v>287</v>
      </c>
      <c r="B92" s="3" t="s">
        <v>142</v>
      </c>
      <c r="C92" s="3" t="s">
        <v>288</v>
      </c>
      <c r="D92" s="2" t="str">
        <f t="array" ref="D92">INDEX(covid, MATCH($A92, iso_code, 0), MATCH(D$1, columns, 0))</f>
        <v>#N/A</v>
      </c>
      <c r="E92" s="2" t="str">
        <f t="array" ref="E92">INDEX(covid, MATCH($A92, iso_code, 0), MATCH(E$1, columns, 0))</f>
        <v>#N/A</v>
      </c>
      <c r="F92" s="2" t="str">
        <f t="array" ref="F92">INDEX(covid, MATCH($A92, iso_code, 0), MATCH(F$1, columns, 0))</f>
        <v>#N/A</v>
      </c>
      <c r="G92" s="2" t="str">
        <f t="array" ref="G92">INDEX(covid, MATCH($A92, iso_code, 0), MATCH(G$1, columns, 0))</f>
        <v>#N/A</v>
      </c>
      <c r="H92" s="9"/>
      <c r="I92" s="2"/>
      <c r="J92" s="2"/>
      <c r="K92" s="2"/>
      <c r="L92" s="2"/>
      <c r="M92" s="2"/>
      <c r="N92" s="2"/>
      <c r="O92" s="2"/>
      <c r="P92" s="2"/>
    </row>
    <row r="93">
      <c r="A93" s="3" t="s">
        <v>289</v>
      </c>
      <c r="B93" s="3" t="s">
        <v>142</v>
      </c>
      <c r="C93" s="3" t="s">
        <v>290</v>
      </c>
      <c r="D93" s="2" t="str">
        <f t="array" ref="D93">INDEX(covid, MATCH($A93, iso_code, 0), MATCH(D$1, columns, 0))</f>
        <v>#N/A</v>
      </c>
      <c r="E93" s="2" t="str">
        <f t="array" ref="E93">INDEX(covid, MATCH($A93, iso_code, 0), MATCH(E$1, columns, 0))</f>
        <v>#N/A</v>
      </c>
      <c r="F93" s="2" t="str">
        <f t="array" ref="F93">INDEX(covid, MATCH($A93, iso_code, 0), MATCH(F$1, columns, 0))</f>
        <v>#N/A</v>
      </c>
      <c r="G93" s="2" t="str">
        <f t="array" ref="G93">INDEX(covid, MATCH($A93, iso_code, 0), MATCH(G$1, columns, 0))</f>
        <v>#N/A</v>
      </c>
      <c r="H93" s="9"/>
      <c r="I93" s="2"/>
      <c r="J93" s="2"/>
      <c r="K93" s="2"/>
      <c r="L93" s="2"/>
      <c r="M93" s="2"/>
      <c r="N93" s="2"/>
      <c r="O93" s="2"/>
      <c r="P93" s="2"/>
    </row>
    <row r="94">
      <c r="A94" s="3" t="s">
        <v>291</v>
      </c>
      <c r="B94" s="3" t="s">
        <v>142</v>
      </c>
      <c r="C94" s="3" t="s">
        <v>292</v>
      </c>
      <c r="D94" s="2" t="str">
        <f t="array" ref="D94">INDEX(covid, MATCH($A94, iso_code, 0), MATCH(D$1, columns, 0))</f>
        <v>#N/A</v>
      </c>
      <c r="E94" s="2" t="str">
        <f t="array" ref="E94">INDEX(covid, MATCH($A94, iso_code, 0), MATCH(E$1, columns, 0))</f>
        <v>#N/A</v>
      </c>
      <c r="F94" s="2" t="str">
        <f t="array" ref="F94">INDEX(covid, MATCH($A94, iso_code, 0), MATCH(F$1, columns, 0))</f>
        <v>#N/A</v>
      </c>
      <c r="G94" s="2" t="str">
        <f t="array" ref="G94">INDEX(covid, MATCH($A94, iso_code, 0), MATCH(G$1, columns, 0))</f>
        <v>#N/A</v>
      </c>
      <c r="H94" s="9"/>
      <c r="I94" s="2"/>
      <c r="J94" s="2"/>
      <c r="K94" s="2"/>
      <c r="L94" s="2"/>
      <c r="M94" s="2"/>
      <c r="N94" s="2"/>
      <c r="O94" s="2"/>
      <c r="P94" s="2"/>
    </row>
    <row r="95">
      <c r="A95" s="3" t="s">
        <v>87</v>
      </c>
      <c r="B95" s="3" t="s">
        <v>39</v>
      </c>
      <c r="C95" s="3" t="s">
        <v>88</v>
      </c>
      <c r="D95" s="2">
        <f t="array" ref="D95">INDEX(covid, MATCH($A95, iso_code, 0), MATCH(D$1, columns, 0))</f>
        <v>237187</v>
      </c>
      <c r="E95" s="2">
        <f t="array" ref="E95">INDEX(covid, MATCH($A95, iso_code, 0), MATCH(E$1, columns, 0))</f>
        <v>4713</v>
      </c>
      <c r="F95" s="2">
        <f t="array" ref="F95">INDEX(covid, MATCH($A95, iso_code, 0), MATCH(F$1, columns, 0))</f>
        <v>4937796</v>
      </c>
      <c r="G95" s="2">
        <f t="array" ref="G95">INDEX(covid, MATCH($A95, iso_code, 0), MATCH(G$1, columns, 0))</f>
        <v>67335.293</v>
      </c>
      <c r="H95" s="9"/>
      <c r="I95" s="2"/>
      <c r="J95" s="2"/>
      <c r="K95" s="2"/>
      <c r="L95" s="2"/>
      <c r="M95" s="2"/>
      <c r="N95" s="2"/>
      <c r="O95" s="2"/>
      <c r="P95" s="2"/>
    </row>
    <row r="96">
      <c r="A96" s="3" t="s">
        <v>85</v>
      </c>
      <c r="B96" s="3" t="s">
        <v>39</v>
      </c>
      <c r="C96" s="3" t="s">
        <v>86</v>
      </c>
      <c r="D96" s="2" t="str">
        <f t="array" ref="D96">INDEX(covid, MATCH($A96, iso_code, 0), MATCH(D$1, columns, 0))</f>
        <v/>
      </c>
      <c r="E96" s="2" t="str">
        <f t="array" ref="E96">INDEX(covid, MATCH($A96, iso_code, 0), MATCH(E$1, columns, 0))</f>
        <v/>
      </c>
      <c r="F96" s="2">
        <f t="array" ref="F96">INDEX(covid, MATCH($A96, iso_code, 0), MATCH(F$1, columns, 0))</f>
        <v>85032</v>
      </c>
      <c r="G96" s="2" t="str">
        <f t="array" ref="G96">INDEX(covid, MATCH($A96, iso_code, 0), MATCH(G$1, columns, 0))</f>
        <v/>
      </c>
      <c r="H96" s="9"/>
      <c r="I96" s="2"/>
      <c r="J96" s="2"/>
      <c r="K96" s="2"/>
      <c r="L96" s="2"/>
      <c r="M96" s="2"/>
      <c r="N96" s="2"/>
      <c r="O96" s="2"/>
      <c r="P96" s="2"/>
    </row>
    <row r="97">
      <c r="A97" s="3" t="s">
        <v>293</v>
      </c>
      <c r="B97" s="3" t="s">
        <v>142</v>
      </c>
      <c r="C97" s="3" t="s">
        <v>294</v>
      </c>
      <c r="D97" s="2" t="str">
        <f t="array" ref="D97">INDEX(covid, MATCH($A97, iso_code, 0), MATCH(D$1, columns, 0))</f>
        <v>#N/A</v>
      </c>
      <c r="E97" s="2" t="str">
        <f t="array" ref="E97">INDEX(covid, MATCH($A97, iso_code, 0), MATCH(E$1, columns, 0))</f>
        <v>#N/A</v>
      </c>
      <c r="F97" s="2" t="str">
        <f t="array" ref="F97">INDEX(covid, MATCH($A97, iso_code, 0), MATCH(F$1, columns, 0))</f>
        <v>#N/A</v>
      </c>
      <c r="G97" s="2" t="str">
        <f t="array" ref="G97">INDEX(covid, MATCH($A97, iso_code, 0), MATCH(G$1, columns, 0))</f>
        <v>#N/A</v>
      </c>
      <c r="H97" s="9"/>
      <c r="I97" s="2"/>
      <c r="J97" s="2"/>
      <c r="K97" s="2"/>
      <c r="L97" s="2"/>
      <c r="M97" s="2"/>
      <c r="N97" s="2"/>
      <c r="O97" s="2"/>
      <c r="P97" s="2"/>
    </row>
    <row r="98">
      <c r="A98" s="3" t="s">
        <v>91</v>
      </c>
      <c r="B98" s="3" t="s">
        <v>39</v>
      </c>
      <c r="C98" s="3" t="s">
        <v>92</v>
      </c>
      <c r="D98" s="2">
        <f t="array" ref="D98">INDEX(covid, MATCH($A98, iso_code, 0), MATCH(D$1, columns, 0))</f>
        <v>3629000</v>
      </c>
      <c r="E98" s="2">
        <f t="array" ref="E98">INDEX(covid, MATCH($A98, iso_code, 0), MATCH(E$1, columns, 0))</f>
        <v>110328</v>
      </c>
      <c r="F98" s="2">
        <f t="array" ref="F98">INDEX(covid, MATCH($A98, iso_code, 0), MATCH(F$1, columns, 0))</f>
        <v>60461828</v>
      </c>
      <c r="G98" s="2">
        <f t="array" ref="G98">INDEX(covid, MATCH($A98, iso_code, 0), MATCH(G$1, columns, 0))</f>
        <v>35220.084</v>
      </c>
      <c r="H98" s="9"/>
      <c r="I98" s="2"/>
      <c r="J98" s="2"/>
      <c r="K98" s="2"/>
      <c r="L98" s="2"/>
      <c r="M98" s="2"/>
      <c r="N98" s="2"/>
      <c r="O98" s="2"/>
      <c r="P98" s="2"/>
    </row>
    <row r="99">
      <c r="A99" s="3" t="s">
        <v>295</v>
      </c>
      <c r="B99" s="3" t="s">
        <v>150</v>
      </c>
      <c r="C99" s="3" t="s">
        <v>296</v>
      </c>
      <c r="D99" s="2" t="str">
        <f t="array" ref="D99">INDEX(covid, MATCH($A99, iso_code, 0), MATCH(D$1, columns, 0))</f>
        <v>#N/A</v>
      </c>
      <c r="E99" s="2" t="str">
        <f t="array" ref="E99">INDEX(covid, MATCH($A99, iso_code, 0), MATCH(E$1, columns, 0))</f>
        <v>#N/A</v>
      </c>
      <c r="F99" s="2" t="str">
        <f t="array" ref="F99">INDEX(covid, MATCH($A99, iso_code, 0), MATCH(F$1, columns, 0))</f>
        <v>#N/A</v>
      </c>
      <c r="G99" s="2" t="str">
        <f t="array" ref="G99">INDEX(covid, MATCH($A99, iso_code, 0), MATCH(G$1, columns, 0))</f>
        <v>#N/A</v>
      </c>
      <c r="H99" s="9"/>
      <c r="I99" s="2"/>
      <c r="J99" s="2"/>
      <c r="K99" s="2"/>
      <c r="L99" s="2"/>
      <c r="M99" s="2"/>
      <c r="N99" s="2"/>
      <c r="O99" s="2"/>
      <c r="P99" s="2"/>
    </row>
    <row r="100">
      <c r="A100" s="3" t="s">
        <v>297</v>
      </c>
      <c r="B100" s="3" t="s">
        <v>142</v>
      </c>
      <c r="C100" s="3" t="s">
        <v>298</v>
      </c>
      <c r="D100" s="2" t="str">
        <f t="array" ref="D100">INDEX(covid, MATCH($A100, iso_code, 0), MATCH(D$1, columns, 0))</f>
        <v>#N/A</v>
      </c>
      <c r="E100" s="2" t="str">
        <f t="array" ref="E100">INDEX(covid, MATCH($A100, iso_code, 0), MATCH(E$1, columns, 0))</f>
        <v>#N/A</v>
      </c>
      <c r="F100" s="2" t="str">
        <f t="array" ref="F100">INDEX(covid, MATCH($A100, iso_code, 0), MATCH(F$1, columns, 0))</f>
        <v>#N/A</v>
      </c>
      <c r="G100" s="2" t="str">
        <f t="array" ref="G100">INDEX(covid, MATCH($A100, iso_code, 0), MATCH(G$1, columns, 0))</f>
        <v>#N/A</v>
      </c>
      <c r="H100" s="9"/>
      <c r="I100" s="2"/>
      <c r="J100" s="2"/>
      <c r="K100" s="2"/>
      <c r="L100" s="2"/>
      <c r="M100" s="2"/>
      <c r="N100" s="2"/>
      <c r="O100" s="2"/>
      <c r="P100" s="2"/>
    </row>
    <row r="101">
      <c r="A101" s="3" t="s">
        <v>93</v>
      </c>
      <c r="B101" s="3" t="s">
        <v>39</v>
      </c>
      <c r="C101" s="3" t="s">
        <v>94</v>
      </c>
      <c r="D101" s="2" t="str">
        <f t="array" ref="D101">INDEX(covid, MATCH($A101, iso_code, 0), MATCH(D$1, columns, 0))</f>
        <v/>
      </c>
      <c r="E101" s="2" t="str">
        <f t="array" ref="E101">INDEX(covid, MATCH($A101, iso_code, 0), MATCH(E$1, columns, 0))</f>
        <v/>
      </c>
      <c r="F101" s="2">
        <f t="array" ref="F101">INDEX(covid, MATCH($A101, iso_code, 0), MATCH(F$1, columns, 0))</f>
        <v>101073</v>
      </c>
      <c r="G101" s="2" t="str">
        <f t="array" ref="G101">INDEX(covid, MATCH($A101, iso_code, 0), MATCH(G$1, columns, 0))</f>
        <v/>
      </c>
      <c r="H101" s="9"/>
      <c r="I101" s="2"/>
      <c r="J101" s="2"/>
      <c r="K101" s="2"/>
      <c r="L101" s="2"/>
      <c r="M101" s="2"/>
      <c r="N101" s="2"/>
      <c r="O101" s="2"/>
      <c r="P101" s="2"/>
    </row>
    <row r="102">
      <c r="A102" s="3" t="s">
        <v>299</v>
      </c>
      <c r="B102" s="3" t="s">
        <v>142</v>
      </c>
      <c r="C102" s="3" t="s">
        <v>300</v>
      </c>
      <c r="D102" s="2" t="str">
        <f t="array" ref="D102">INDEX(covid, MATCH($A102, iso_code, 0), MATCH(D$1, columns, 0))</f>
        <v>#N/A</v>
      </c>
      <c r="E102" s="2" t="str">
        <f t="array" ref="E102">INDEX(covid, MATCH($A102, iso_code, 0), MATCH(E$1, columns, 0))</f>
        <v>#N/A</v>
      </c>
      <c r="F102" s="2" t="str">
        <f t="array" ref="F102">INDEX(covid, MATCH($A102, iso_code, 0), MATCH(F$1, columns, 0))</f>
        <v>#N/A</v>
      </c>
      <c r="G102" s="2" t="str">
        <f t="array" ref="G102">INDEX(covid, MATCH($A102, iso_code, 0), MATCH(G$1, columns, 0))</f>
        <v>#N/A</v>
      </c>
      <c r="H102" s="9"/>
      <c r="I102" s="2"/>
      <c r="J102" s="2"/>
      <c r="K102" s="2"/>
      <c r="L102" s="2"/>
      <c r="M102" s="2"/>
      <c r="N102" s="2"/>
      <c r="O102" s="2"/>
      <c r="P102" s="2"/>
    </row>
    <row r="103">
      <c r="A103" s="3" t="s">
        <v>301</v>
      </c>
      <c r="B103" s="3" t="s">
        <v>142</v>
      </c>
      <c r="C103" s="3" t="s">
        <v>302</v>
      </c>
      <c r="D103" s="2" t="str">
        <f t="array" ref="D103">INDEX(covid, MATCH($A103, iso_code, 0), MATCH(D$1, columns, 0))</f>
        <v>#N/A</v>
      </c>
      <c r="E103" s="2" t="str">
        <f t="array" ref="E103">INDEX(covid, MATCH($A103, iso_code, 0), MATCH(E$1, columns, 0))</f>
        <v>#N/A</v>
      </c>
      <c r="F103" s="2" t="str">
        <f t="array" ref="F103">INDEX(covid, MATCH($A103, iso_code, 0), MATCH(F$1, columns, 0))</f>
        <v>#N/A</v>
      </c>
      <c r="G103" s="2" t="str">
        <f t="array" ref="G103">INDEX(covid, MATCH($A103, iso_code, 0), MATCH(G$1, columns, 0))</f>
        <v>#N/A</v>
      </c>
      <c r="H103" s="9"/>
      <c r="I103" s="2"/>
      <c r="J103" s="2"/>
      <c r="K103" s="2"/>
      <c r="L103" s="2"/>
      <c r="M103" s="2"/>
      <c r="N103" s="2"/>
      <c r="O103" s="2"/>
      <c r="P103" s="2"/>
    </row>
    <row r="104">
      <c r="A104" s="3" t="s">
        <v>303</v>
      </c>
      <c r="B104" s="3" t="s">
        <v>145</v>
      </c>
      <c r="C104" s="3" t="s">
        <v>304</v>
      </c>
      <c r="D104" s="2" t="str">
        <f t="array" ref="D104">INDEX(covid, MATCH($A104, iso_code, 0), MATCH(D$1, columns, 0))</f>
        <v>#N/A</v>
      </c>
      <c r="E104" s="2" t="str">
        <f t="array" ref="E104">INDEX(covid, MATCH($A104, iso_code, 0), MATCH(E$1, columns, 0))</f>
        <v>#N/A</v>
      </c>
      <c r="F104" s="2" t="str">
        <f t="array" ref="F104">INDEX(covid, MATCH($A104, iso_code, 0), MATCH(F$1, columns, 0))</f>
        <v>#N/A</v>
      </c>
      <c r="G104" s="2" t="str">
        <f t="array" ref="G104">INDEX(covid, MATCH($A104, iso_code, 0), MATCH(G$1, columns, 0))</f>
        <v>#N/A</v>
      </c>
      <c r="H104" s="9"/>
      <c r="I104" s="2"/>
      <c r="J104" s="2"/>
      <c r="K104" s="2"/>
      <c r="L104" s="2"/>
      <c r="M104" s="2"/>
      <c r="N104" s="2"/>
      <c r="O104" s="2"/>
      <c r="P104" s="2"/>
    </row>
    <row r="105">
      <c r="A105" s="3" t="s">
        <v>117</v>
      </c>
      <c r="B105" s="3" t="s">
        <v>39</v>
      </c>
      <c r="C105" s="3" t="s">
        <v>118</v>
      </c>
      <c r="D105" s="2">
        <f t="array" ref="D105">INDEX(covid, MATCH($A105, iso_code, 0), MATCH(D$1, columns, 0))</f>
        <v>91079</v>
      </c>
      <c r="E105" s="2">
        <f t="array" ref="E105">INDEX(covid, MATCH($A105, iso_code, 0), MATCH(E$1, columns, 0))</f>
        <v>1892</v>
      </c>
      <c r="F105" s="2">
        <f t="array" ref="F105">INDEX(covid, MATCH($A105, iso_code, 0), MATCH(F$1, columns, 0))</f>
        <v>1932774</v>
      </c>
      <c r="G105" s="2">
        <f t="array" ref="G105">INDEX(covid, MATCH($A105, iso_code, 0), MATCH(G$1, columns, 0))</f>
        <v>9795.834</v>
      </c>
      <c r="H105" s="9"/>
      <c r="I105" s="2"/>
      <c r="J105" s="2"/>
      <c r="K105" s="2"/>
      <c r="L105" s="2"/>
      <c r="M105" s="2"/>
      <c r="N105" s="2"/>
      <c r="O105" s="2"/>
      <c r="P105" s="2"/>
    </row>
    <row r="106">
      <c r="A106" s="3" t="s">
        <v>305</v>
      </c>
      <c r="B106" s="3" t="s">
        <v>142</v>
      </c>
      <c r="C106" s="3" t="s">
        <v>306</v>
      </c>
      <c r="D106" s="2" t="str">
        <f t="array" ref="D106">INDEX(covid, MATCH($A106, iso_code, 0), MATCH(D$1, columns, 0))</f>
        <v>#N/A</v>
      </c>
      <c r="E106" s="2" t="str">
        <f t="array" ref="E106">INDEX(covid, MATCH($A106, iso_code, 0), MATCH(E$1, columns, 0))</f>
        <v>#N/A</v>
      </c>
      <c r="F106" s="2" t="str">
        <f t="array" ref="F106">INDEX(covid, MATCH($A106, iso_code, 0), MATCH(F$1, columns, 0))</f>
        <v>#N/A</v>
      </c>
      <c r="G106" s="2" t="str">
        <f t="array" ref="G106">INDEX(covid, MATCH($A106, iso_code, 0), MATCH(G$1, columns, 0))</f>
        <v>#N/A</v>
      </c>
      <c r="H106" s="9"/>
      <c r="I106" s="2"/>
      <c r="J106" s="2"/>
      <c r="K106" s="2"/>
      <c r="L106" s="2"/>
      <c r="M106" s="2"/>
      <c r="N106" s="2"/>
      <c r="O106" s="2"/>
      <c r="P106" s="2"/>
    </row>
    <row r="107">
      <c r="A107" s="3" t="s">
        <v>307</v>
      </c>
      <c r="B107" s="3" t="s">
        <v>142</v>
      </c>
      <c r="C107" s="3" t="s">
        <v>308</v>
      </c>
      <c r="D107" s="2" t="str">
        <f t="array" ref="D107">INDEX(covid, MATCH($A107, iso_code, 0), MATCH(D$1, columns, 0))</f>
        <v>#N/A</v>
      </c>
      <c r="E107" s="2" t="str">
        <f t="array" ref="E107">INDEX(covid, MATCH($A107, iso_code, 0), MATCH(E$1, columns, 0))</f>
        <v>#N/A</v>
      </c>
      <c r="F107" s="2" t="str">
        <f t="array" ref="F107">INDEX(covid, MATCH($A107, iso_code, 0), MATCH(F$1, columns, 0))</f>
        <v>#N/A</v>
      </c>
      <c r="G107" s="2" t="str">
        <f t="array" ref="G107">INDEX(covid, MATCH($A107, iso_code, 0), MATCH(G$1, columns, 0))</f>
        <v>#N/A</v>
      </c>
      <c r="H107" s="9"/>
      <c r="I107" s="2"/>
      <c r="J107" s="2"/>
      <c r="K107" s="2"/>
      <c r="L107" s="2"/>
      <c r="M107" s="2"/>
      <c r="N107" s="2"/>
      <c r="O107" s="2"/>
      <c r="P107" s="2"/>
    </row>
    <row r="108">
      <c r="A108" s="3" t="s">
        <v>309</v>
      </c>
      <c r="B108" s="3" t="s">
        <v>142</v>
      </c>
      <c r="C108" s="3" t="s">
        <v>310</v>
      </c>
      <c r="D108" s="2" t="str">
        <f t="array" ref="D108">INDEX(covid, MATCH($A108, iso_code, 0), MATCH(D$1, columns, 0))</f>
        <v>#N/A</v>
      </c>
      <c r="E108" s="2" t="str">
        <f t="array" ref="E108">INDEX(covid, MATCH($A108, iso_code, 0), MATCH(E$1, columns, 0))</f>
        <v>#N/A</v>
      </c>
      <c r="F108" s="2" t="str">
        <f t="array" ref="F108">INDEX(covid, MATCH($A108, iso_code, 0), MATCH(F$1, columns, 0))</f>
        <v>#N/A</v>
      </c>
      <c r="G108" s="2" t="str">
        <f t="array" ref="G108">INDEX(covid, MATCH($A108, iso_code, 0), MATCH(G$1, columns, 0))</f>
        <v>#N/A</v>
      </c>
      <c r="H108" s="9"/>
      <c r="I108" s="2"/>
      <c r="J108" s="2"/>
      <c r="K108" s="2"/>
      <c r="L108" s="2"/>
      <c r="M108" s="2"/>
      <c r="N108" s="2"/>
      <c r="O108" s="2"/>
      <c r="P108" s="2"/>
    </row>
    <row r="109">
      <c r="A109" s="3" t="s">
        <v>101</v>
      </c>
      <c r="B109" s="3" t="s">
        <v>39</v>
      </c>
      <c r="C109" s="3" t="s">
        <v>102</v>
      </c>
      <c r="D109" s="2">
        <f t="array" ref="D109">INDEX(covid, MATCH($A109, iso_code, 0), MATCH(D$1, columns, 0))</f>
        <v>103588</v>
      </c>
      <c r="E109" s="2">
        <f t="array" ref="E109">INDEX(covid, MATCH($A109, iso_code, 0), MATCH(E$1, columns, 0))</f>
        <v>1922</v>
      </c>
      <c r="F109" s="2">
        <f t="array" ref="F109">INDEX(covid, MATCH($A109, iso_code, 0), MATCH(F$1, columns, 0))</f>
        <v>1886202</v>
      </c>
      <c r="G109" s="2">
        <f t="array" ref="G109">INDEX(covid, MATCH($A109, iso_code, 0), MATCH(G$1, columns, 0))</f>
        <v>25063.846</v>
      </c>
      <c r="H109" s="9"/>
      <c r="I109" s="2"/>
      <c r="J109" s="2"/>
      <c r="K109" s="2"/>
      <c r="L109" s="2"/>
      <c r="M109" s="2"/>
      <c r="N109" s="2"/>
      <c r="O109" s="2"/>
      <c r="P109" s="2"/>
    </row>
    <row r="110">
      <c r="A110" s="3" t="s">
        <v>311</v>
      </c>
      <c r="B110" s="3" t="s">
        <v>142</v>
      </c>
      <c r="C110" s="3" t="s">
        <v>312</v>
      </c>
      <c r="D110" s="2" t="str">
        <f t="array" ref="D110">INDEX(covid, MATCH($A110, iso_code, 0), MATCH(D$1, columns, 0))</f>
        <v>#N/A</v>
      </c>
      <c r="E110" s="2" t="str">
        <f t="array" ref="E110">INDEX(covid, MATCH($A110, iso_code, 0), MATCH(E$1, columns, 0))</f>
        <v>#N/A</v>
      </c>
      <c r="F110" s="2" t="str">
        <f t="array" ref="F110">INDEX(covid, MATCH($A110, iso_code, 0), MATCH(F$1, columns, 0))</f>
        <v>#N/A</v>
      </c>
      <c r="G110" s="2" t="str">
        <f t="array" ref="G110">INDEX(covid, MATCH($A110, iso_code, 0), MATCH(G$1, columns, 0))</f>
        <v>#N/A</v>
      </c>
      <c r="H110" s="9"/>
      <c r="I110" s="2"/>
      <c r="J110" s="2"/>
      <c r="K110" s="2"/>
      <c r="L110" s="2"/>
      <c r="M110" s="2"/>
      <c r="N110" s="2"/>
      <c r="O110" s="2"/>
      <c r="P110" s="2"/>
    </row>
    <row r="111">
      <c r="A111" s="3" t="s">
        <v>313</v>
      </c>
      <c r="B111" s="3" t="s">
        <v>145</v>
      </c>
      <c r="C111" s="3" t="s">
        <v>314</v>
      </c>
      <c r="D111" s="2" t="str">
        <f t="array" ref="D111">INDEX(covid, MATCH($A111, iso_code, 0), MATCH(D$1, columns, 0))</f>
        <v>#N/A</v>
      </c>
      <c r="E111" s="2" t="str">
        <f t="array" ref="E111">INDEX(covid, MATCH($A111, iso_code, 0), MATCH(E$1, columns, 0))</f>
        <v>#N/A</v>
      </c>
      <c r="F111" s="2" t="str">
        <f t="array" ref="F111">INDEX(covid, MATCH($A111, iso_code, 0), MATCH(F$1, columns, 0))</f>
        <v>#N/A</v>
      </c>
      <c r="G111" s="2" t="str">
        <f t="array" ref="G111">INDEX(covid, MATCH($A111, iso_code, 0), MATCH(G$1, columns, 0))</f>
        <v>#N/A</v>
      </c>
      <c r="H111" s="9"/>
      <c r="I111" s="2"/>
      <c r="J111" s="2"/>
      <c r="K111" s="2"/>
      <c r="L111" s="2"/>
      <c r="M111" s="2"/>
      <c r="N111" s="2"/>
      <c r="O111" s="2"/>
      <c r="P111" s="2"/>
    </row>
    <row r="112">
      <c r="A112" s="3" t="s">
        <v>315</v>
      </c>
      <c r="B112" s="3" t="s">
        <v>145</v>
      </c>
      <c r="C112" s="3" t="s">
        <v>316</v>
      </c>
      <c r="D112" s="2" t="str">
        <f t="array" ref="D112">INDEX(covid, MATCH($A112, iso_code, 0), MATCH(D$1, columns, 0))</f>
        <v>#N/A</v>
      </c>
      <c r="E112" s="2" t="str">
        <f t="array" ref="E112">INDEX(covid, MATCH($A112, iso_code, 0), MATCH(E$1, columns, 0))</f>
        <v>#N/A</v>
      </c>
      <c r="F112" s="2" t="str">
        <f t="array" ref="F112">INDEX(covid, MATCH($A112, iso_code, 0), MATCH(F$1, columns, 0))</f>
        <v>#N/A</v>
      </c>
      <c r="G112" s="2" t="str">
        <f t="array" ref="G112">INDEX(covid, MATCH($A112, iso_code, 0), MATCH(G$1, columns, 0))</f>
        <v>#N/A</v>
      </c>
      <c r="H112" s="9"/>
      <c r="I112" s="2"/>
      <c r="J112" s="2"/>
      <c r="K112" s="2"/>
      <c r="L112" s="2"/>
      <c r="M112" s="2"/>
      <c r="N112" s="2"/>
      <c r="O112" s="2"/>
      <c r="P112" s="2"/>
    </row>
    <row r="113">
      <c r="A113" s="3" t="s">
        <v>317</v>
      </c>
      <c r="B113" s="3" t="s">
        <v>145</v>
      </c>
      <c r="C113" s="3" t="s">
        <v>318</v>
      </c>
      <c r="D113" s="2" t="str">
        <f t="array" ref="D113">INDEX(covid, MATCH($A113, iso_code, 0), MATCH(D$1, columns, 0))</f>
        <v>#N/A</v>
      </c>
      <c r="E113" s="2" t="str">
        <f t="array" ref="E113">INDEX(covid, MATCH($A113, iso_code, 0), MATCH(E$1, columns, 0))</f>
        <v>#N/A</v>
      </c>
      <c r="F113" s="2" t="str">
        <f t="array" ref="F113">INDEX(covid, MATCH($A113, iso_code, 0), MATCH(F$1, columns, 0))</f>
        <v>#N/A</v>
      </c>
      <c r="G113" s="2" t="str">
        <f t="array" ref="G113">INDEX(covid, MATCH($A113, iso_code, 0), MATCH(G$1, columns, 0))</f>
        <v>#N/A</v>
      </c>
      <c r="H113" s="9"/>
      <c r="I113" s="2"/>
      <c r="J113" s="2"/>
      <c r="K113" s="2"/>
      <c r="L113" s="2"/>
      <c r="M113" s="2"/>
      <c r="N113" s="2"/>
      <c r="O113" s="2"/>
      <c r="P113" s="2"/>
    </row>
    <row r="114">
      <c r="A114" s="3" t="s">
        <v>95</v>
      </c>
      <c r="B114" s="3" t="s">
        <v>39</v>
      </c>
      <c r="C114" s="3" t="s">
        <v>96</v>
      </c>
      <c r="D114" s="2">
        <f t="array" ref="D114">INDEX(covid, MATCH($A114, iso_code, 0), MATCH(D$1, columns, 0))</f>
        <v>2678</v>
      </c>
      <c r="E114" s="2">
        <f t="array" ref="E114">INDEX(covid, MATCH($A114, iso_code, 0), MATCH(E$1, columns, 0))</f>
        <v>56</v>
      </c>
      <c r="F114" s="2">
        <f t="array" ref="F114">INDEX(covid, MATCH($A114, iso_code, 0), MATCH(F$1, columns, 0))</f>
        <v>38137</v>
      </c>
      <c r="G114" s="2" t="str">
        <f t="array" ref="G114">INDEX(covid, MATCH($A114, iso_code, 0), MATCH(G$1, columns, 0))</f>
        <v/>
      </c>
      <c r="H114" s="9"/>
      <c r="I114" s="2"/>
      <c r="J114" s="2"/>
      <c r="K114" s="2"/>
      <c r="L114" s="2"/>
      <c r="M114" s="2"/>
      <c r="N114" s="2"/>
      <c r="O114" s="2"/>
      <c r="P114" s="2"/>
    </row>
    <row r="115">
      <c r="A115" s="3" t="s">
        <v>97</v>
      </c>
      <c r="B115" s="3" t="s">
        <v>39</v>
      </c>
      <c r="C115" s="3" t="s">
        <v>98</v>
      </c>
      <c r="D115" s="2">
        <f t="array" ref="D115">INDEX(covid, MATCH($A115, iso_code, 0), MATCH(D$1, columns, 0))</f>
        <v>217865</v>
      </c>
      <c r="E115" s="2">
        <f t="array" ref="E115">INDEX(covid, MATCH($A115, iso_code, 0), MATCH(E$1, columns, 0))</f>
        <v>3594</v>
      </c>
      <c r="F115" s="2">
        <f t="array" ref="F115">INDEX(covid, MATCH($A115, iso_code, 0), MATCH(F$1, columns, 0))</f>
        <v>2722291</v>
      </c>
      <c r="G115" s="2">
        <f t="array" ref="G115">INDEX(covid, MATCH($A115, iso_code, 0), MATCH(G$1, columns, 0))</f>
        <v>29524.265</v>
      </c>
      <c r="H115" s="9"/>
      <c r="I115" s="2"/>
      <c r="J115" s="2"/>
      <c r="K115" s="2"/>
      <c r="L115" s="2"/>
      <c r="M115" s="2"/>
      <c r="N115" s="2"/>
      <c r="O115" s="2"/>
      <c r="P115" s="2"/>
    </row>
    <row r="116">
      <c r="A116" s="3" t="s">
        <v>99</v>
      </c>
      <c r="B116" s="3" t="s">
        <v>39</v>
      </c>
      <c r="C116" s="3" t="s">
        <v>100</v>
      </c>
      <c r="D116" s="2">
        <f t="array" ref="D116">INDEX(covid, MATCH($A116, iso_code, 0), MATCH(D$1, columns, 0))</f>
        <v>62105</v>
      </c>
      <c r="E116" s="2">
        <f t="array" ref="E116">INDEX(covid, MATCH($A116, iso_code, 0), MATCH(E$1, columns, 0))</f>
        <v>750</v>
      </c>
      <c r="F116" s="2">
        <f t="array" ref="F116">INDEX(covid, MATCH($A116, iso_code, 0), MATCH(F$1, columns, 0))</f>
        <v>625976</v>
      </c>
      <c r="G116" s="2">
        <f t="array" ref="G116">INDEX(covid, MATCH($A116, iso_code, 0), MATCH(G$1, columns, 0))</f>
        <v>94277.965</v>
      </c>
      <c r="H116" s="9"/>
      <c r="I116" s="2"/>
      <c r="J116" s="2"/>
      <c r="K116" s="2"/>
      <c r="L116" s="2"/>
      <c r="M116" s="2"/>
      <c r="N116" s="2"/>
      <c r="O116" s="2"/>
      <c r="P116" s="2"/>
    </row>
    <row r="117">
      <c r="A117" s="3" t="s">
        <v>107</v>
      </c>
      <c r="B117" s="3" t="s">
        <v>39</v>
      </c>
      <c r="C117" s="3" t="s">
        <v>319</v>
      </c>
      <c r="D117" s="2">
        <f t="array" ref="D117">INDEX(covid, MATCH($A117, iso_code, 0), MATCH(D$1, columns, 0))</f>
        <v>132740</v>
      </c>
      <c r="E117" s="2">
        <f t="array" ref="E117">INDEX(covid, MATCH($A117, iso_code, 0), MATCH(E$1, columns, 0))</f>
        <v>3860</v>
      </c>
      <c r="F117" s="2">
        <f t="array" ref="F117">INDEX(covid, MATCH($A117, iso_code, 0), MATCH(F$1, columns, 0))</f>
        <v>2083380</v>
      </c>
      <c r="G117" s="2">
        <f t="array" ref="G117">INDEX(covid, MATCH($A117, iso_code, 0), MATCH(G$1, columns, 0))</f>
        <v>13111.214</v>
      </c>
      <c r="H117" s="9"/>
      <c r="I117" s="2"/>
      <c r="J117" s="2"/>
      <c r="K117" s="2"/>
      <c r="L117" s="2"/>
      <c r="M117" s="2"/>
      <c r="N117" s="2"/>
      <c r="O117" s="2"/>
      <c r="P117" s="2"/>
    </row>
    <row r="118">
      <c r="A118" s="3" t="s">
        <v>320</v>
      </c>
      <c r="B118" s="3" t="s">
        <v>145</v>
      </c>
      <c r="C118" s="3" t="s">
        <v>321</v>
      </c>
      <c r="D118" s="2" t="str">
        <f t="array" ref="D118">INDEX(covid, MATCH($A118, iso_code, 0), MATCH(D$1, columns, 0))</f>
        <v>#N/A</v>
      </c>
      <c r="E118" s="2" t="str">
        <f t="array" ref="E118">INDEX(covid, MATCH($A118, iso_code, 0), MATCH(E$1, columns, 0))</f>
        <v>#N/A</v>
      </c>
      <c r="F118" s="2" t="str">
        <f t="array" ref="F118">INDEX(covid, MATCH($A118, iso_code, 0), MATCH(F$1, columns, 0))</f>
        <v>#N/A</v>
      </c>
      <c r="G118" s="2" t="str">
        <f t="array" ref="G118">INDEX(covid, MATCH($A118, iso_code, 0), MATCH(G$1, columns, 0))</f>
        <v>#N/A</v>
      </c>
      <c r="H118" s="9"/>
      <c r="I118" s="2"/>
      <c r="J118" s="2"/>
      <c r="K118" s="2"/>
      <c r="L118" s="2"/>
      <c r="M118" s="2"/>
      <c r="N118" s="2"/>
      <c r="O118" s="2"/>
      <c r="P118" s="2"/>
    </row>
    <row r="119">
      <c r="A119" s="3" t="s">
        <v>322</v>
      </c>
      <c r="B119" s="3" t="s">
        <v>145</v>
      </c>
      <c r="C119" s="3" t="s">
        <v>323</v>
      </c>
      <c r="D119" s="2" t="str">
        <f t="array" ref="D119">INDEX(covid, MATCH($A119, iso_code, 0), MATCH(D$1, columns, 0))</f>
        <v>#N/A</v>
      </c>
      <c r="E119" s="2" t="str">
        <f t="array" ref="E119">INDEX(covid, MATCH($A119, iso_code, 0), MATCH(E$1, columns, 0))</f>
        <v>#N/A</v>
      </c>
      <c r="F119" s="2" t="str">
        <f t="array" ref="F119">INDEX(covid, MATCH($A119, iso_code, 0), MATCH(F$1, columns, 0))</f>
        <v>#N/A</v>
      </c>
      <c r="G119" s="2" t="str">
        <f t="array" ref="G119">INDEX(covid, MATCH($A119, iso_code, 0), MATCH(G$1, columns, 0))</f>
        <v>#N/A</v>
      </c>
      <c r="H119" s="9"/>
      <c r="I119" s="2"/>
      <c r="J119" s="2"/>
      <c r="K119" s="2"/>
      <c r="L119" s="2"/>
      <c r="M119" s="2"/>
      <c r="N119" s="2"/>
      <c r="O119" s="2"/>
      <c r="P119" s="2"/>
    </row>
    <row r="120">
      <c r="A120" s="3" t="s">
        <v>324</v>
      </c>
      <c r="B120" s="3" t="s">
        <v>142</v>
      </c>
      <c r="C120" s="3" t="s">
        <v>325</v>
      </c>
      <c r="D120" s="2" t="str">
        <f t="array" ref="D120">INDEX(covid, MATCH($A120, iso_code, 0), MATCH(D$1, columns, 0))</f>
        <v>#N/A</v>
      </c>
      <c r="E120" s="2" t="str">
        <f t="array" ref="E120">INDEX(covid, MATCH($A120, iso_code, 0), MATCH(E$1, columns, 0))</f>
        <v>#N/A</v>
      </c>
      <c r="F120" s="2" t="str">
        <f t="array" ref="F120">INDEX(covid, MATCH($A120, iso_code, 0), MATCH(F$1, columns, 0))</f>
        <v>#N/A</v>
      </c>
      <c r="G120" s="2" t="str">
        <f t="array" ref="G120">INDEX(covid, MATCH($A120, iso_code, 0), MATCH(G$1, columns, 0))</f>
        <v>#N/A</v>
      </c>
      <c r="H120" s="9"/>
      <c r="I120" s="2"/>
      <c r="J120" s="2"/>
      <c r="K120" s="2"/>
      <c r="L120" s="2"/>
      <c r="M120" s="2"/>
      <c r="N120" s="2"/>
      <c r="O120" s="2"/>
      <c r="P120" s="2"/>
    </row>
    <row r="121">
      <c r="A121" s="3" t="s">
        <v>326</v>
      </c>
      <c r="B121" s="3" t="s">
        <v>142</v>
      </c>
      <c r="C121" s="3" t="s">
        <v>327</v>
      </c>
      <c r="D121" s="2" t="str">
        <f t="array" ref="D121">INDEX(covid, MATCH($A121, iso_code, 0), MATCH(D$1, columns, 0))</f>
        <v>#N/A</v>
      </c>
      <c r="E121" s="2" t="str">
        <f t="array" ref="E121">INDEX(covid, MATCH($A121, iso_code, 0), MATCH(E$1, columns, 0))</f>
        <v>#N/A</v>
      </c>
      <c r="F121" s="2" t="str">
        <f t="array" ref="F121">INDEX(covid, MATCH($A121, iso_code, 0), MATCH(F$1, columns, 0))</f>
        <v>#N/A</v>
      </c>
      <c r="G121" s="2" t="str">
        <f t="array" ref="G121">INDEX(covid, MATCH($A121, iso_code, 0), MATCH(G$1, columns, 0))</f>
        <v>#N/A</v>
      </c>
      <c r="H121" s="9"/>
      <c r="I121" s="2"/>
      <c r="J121" s="2"/>
      <c r="K121" s="2"/>
      <c r="L121" s="2"/>
      <c r="M121" s="2"/>
      <c r="N121" s="2"/>
      <c r="O121" s="2"/>
      <c r="P121" s="2"/>
    </row>
    <row r="122">
      <c r="A122" s="3" t="s">
        <v>328</v>
      </c>
      <c r="B122" s="3" t="s">
        <v>145</v>
      </c>
      <c r="C122" s="3" t="s">
        <v>329</v>
      </c>
      <c r="D122" s="2" t="str">
        <f t="array" ref="D122">INDEX(covid, MATCH($A122, iso_code, 0), MATCH(D$1, columns, 0))</f>
        <v>#N/A</v>
      </c>
      <c r="E122" s="2" t="str">
        <f t="array" ref="E122">INDEX(covid, MATCH($A122, iso_code, 0), MATCH(E$1, columns, 0))</f>
        <v>#N/A</v>
      </c>
      <c r="F122" s="2" t="str">
        <f t="array" ref="F122">INDEX(covid, MATCH($A122, iso_code, 0), MATCH(F$1, columns, 0))</f>
        <v>#N/A</v>
      </c>
      <c r="G122" s="2" t="str">
        <f t="array" ref="G122">INDEX(covid, MATCH($A122, iso_code, 0), MATCH(G$1, columns, 0))</f>
        <v>#N/A</v>
      </c>
      <c r="H122" s="9"/>
      <c r="I122" s="2"/>
      <c r="J122" s="2"/>
      <c r="K122" s="2"/>
      <c r="L122" s="2"/>
      <c r="M122" s="2"/>
      <c r="N122" s="2"/>
      <c r="O122" s="2"/>
      <c r="P122" s="2"/>
    </row>
    <row r="123">
      <c r="A123" s="3" t="s">
        <v>109</v>
      </c>
      <c r="B123" s="3" t="s">
        <v>39</v>
      </c>
      <c r="C123" s="3" t="s">
        <v>110</v>
      </c>
      <c r="D123" s="2">
        <f t="array" ref="D123">INDEX(covid, MATCH($A123, iso_code, 0), MATCH(D$1, columns, 0))</f>
        <v>29127</v>
      </c>
      <c r="E123" s="2">
        <f t="array" ref="E123">INDEX(covid, MATCH($A123, iso_code, 0), MATCH(E$1, columns, 0))</f>
        <v>395</v>
      </c>
      <c r="F123" s="2">
        <f t="array" ref="F123">INDEX(covid, MATCH($A123, iso_code, 0), MATCH(F$1, columns, 0))</f>
        <v>441539</v>
      </c>
      <c r="G123" s="2">
        <f t="array" ref="G123">INDEX(covid, MATCH($A123, iso_code, 0), MATCH(G$1, columns, 0))</f>
        <v>36513.323</v>
      </c>
      <c r="H123" s="9"/>
      <c r="I123" s="2"/>
      <c r="J123" s="2"/>
      <c r="K123" s="2"/>
      <c r="L123" s="2"/>
      <c r="M123" s="2"/>
      <c r="N123" s="2"/>
      <c r="O123" s="2"/>
      <c r="P123" s="2"/>
    </row>
    <row r="124">
      <c r="A124" s="3" t="s">
        <v>330</v>
      </c>
      <c r="B124" s="3" t="s">
        <v>145</v>
      </c>
      <c r="C124" s="3" t="s">
        <v>331</v>
      </c>
      <c r="D124" s="2" t="str">
        <f t="array" ref="D124">INDEX(covid, MATCH($A124, iso_code, 0), MATCH(D$1, columns, 0))</f>
        <v>#N/A</v>
      </c>
      <c r="E124" s="2" t="str">
        <f t="array" ref="E124">INDEX(covid, MATCH($A124, iso_code, 0), MATCH(E$1, columns, 0))</f>
        <v>#N/A</v>
      </c>
      <c r="F124" s="2" t="str">
        <f t="array" ref="F124">INDEX(covid, MATCH($A124, iso_code, 0), MATCH(F$1, columns, 0))</f>
        <v>#N/A</v>
      </c>
      <c r="G124" s="2" t="str">
        <f t="array" ref="G124">INDEX(covid, MATCH($A124, iso_code, 0), MATCH(G$1, columns, 0))</f>
        <v>#N/A</v>
      </c>
      <c r="H124" s="9"/>
      <c r="I124" s="2"/>
      <c r="J124" s="2"/>
      <c r="K124" s="2"/>
      <c r="L124" s="2"/>
      <c r="M124" s="2"/>
      <c r="N124" s="2"/>
      <c r="O124" s="2"/>
      <c r="P124" s="2"/>
    </row>
    <row r="125">
      <c r="A125" s="3" t="s">
        <v>332</v>
      </c>
      <c r="B125" s="3" t="s">
        <v>145</v>
      </c>
      <c r="C125" s="3" t="s">
        <v>333</v>
      </c>
      <c r="D125" s="2" t="str">
        <f t="array" ref="D125">INDEX(covid, MATCH($A125, iso_code, 0), MATCH(D$1, columns, 0))</f>
        <v>#N/A</v>
      </c>
      <c r="E125" s="2" t="str">
        <f t="array" ref="E125">INDEX(covid, MATCH($A125, iso_code, 0), MATCH(E$1, columns, 0))</f>
        <v>#N/A</v>
      </c>
      <c r="F125" s="2" t="str">
        <f t="array" ref="F125">INDEX(covid, MATCH($A125, iso_code, 0), MATCH(F$1, columns, 0))</f>
        <v>#N/A</v>
      </c>
      <c r="G125" s="2" t="str">
        <f t="array" ref="G125">INDEX(covid, MATCH($A125, iso_code, 0), MATCH(G$1, columns, 0))</f>
        <v>#N/A</v>
      </c>
      <c r="H125" s="9"/>
      <c r="I125" s="2"/>
      <c r="J125" s="2"/>
      <c r="K125" s="2"/>
      <c r="L125" s="2"/>
      <c r="M125" s="2"/>
      <c r="N125" s="2"/>
      <c r="O125" s="2"/>
      <c r="P125" s="2"/>
    </row>
    <row r="126">
      <c r="A126" s="3" t="s">
        <v>334</v>
      </c>
      <c r="B126" s="3" t="s">
        <v>150</v>
      </c>
      <c r="C126" s="3" t="s">
        <v>335</v>
      </c>
      <c r="D126" s="2" t="str">
        <f t="array" ref="D126">INDEX(covid, MATCH($A126, iso_code, 0), MATCH(D$1, columns, 0))</f>
        <v>#N/A</v>
      </c>
      <c r="E126" s="2" t="str">
        <f t="array" ref="E126">INDEX(covid, MATCH($A126, iso_code, 0), MATCH(E$1, columns, 0))</f>
        <v>#N/A</v>
      </c>
      <c r="F126" s="2" t="str">
        <f t="array" ref="F126">INDEX(covid, MATCH($A126, iso_code, 0), MATCH(F$1, columns, 0))</f>
        <v>#N/A</v>
      </c>
      <c r="G126" s="2" t="str">
        <f t="array" ref="G126">INDEX(covid, MATCH($A126, iso_code, 0), MATCH(G$1, columns, 0))</f>
        <v>#N/A</v>
      </c>
      <c r="H126" s="9"/>
      <c r="I126" s="2"/>
      <c r="J126" s="2"/>
      <c r="K126" s="2"/>
      <c r="L126" s="2"/>
      <c r="M126" s="2"/>
      <c r="N126" s="2"/>
      <c r="O126" s="2"/>
      <c r="P126" s="2"/>
    </row>
    <row r="127">
      <c r="A127" s="3" t="s">
        <v>105</v>
      </c>
      <c r="B127" s="3" t="s">
        <v>39</v>
      </c>
      <c r="C127" s="3" t="s">
        <v>106</v>
      </c>
      <c r="D127" s="2">
        <f t="array" ref="D127">INDEX(covid, MATCH($A127, iso_code, 0), MATCH(D$1, columns, 0))</f>
        <v>233136</v>
      </c>
      <c r="E127" s="2">
        <f t="array" ref="E127">INDEX(covid, MATCH($A127, iso_code, 0), MATCH(E$1, columns, 0))</f>
        <v>5048</v>
      </c>
      <c r="F127" s="2">
        <f t="array" ref="F127">INDEX(covid, MATCH($A127, iso_code, 0), MATCH(F$1, columns, 0))</f>
        <v>4033963</v>
      </c>
      <c r="G127" s="2">
        <f t="array" ref="G127">INDEX(covid, MATCH($A127, iso_code, 0), MATCH(G$1, columns, 0))</f>
        <v>5189.972</v>
      </c>
      <c r="H127" s="9"/>
      <c r="I127" s="2"/>
      <c r="J127" s="2"/>
      <c r="K127" s="2"/>
      <c r="L127" s="2"/>
      <c r="M127" s="2"/>
      <c r="N127" s="2"/>
      <c r="O127" s="2"/>
      <c r="P127" s="2"/>
    </row>
    <row r="128">
      <c r="A128" s="3" t="s">
        <v>103</v>
      </c>
      <c r="B128" s="3" t="s">
        <v>39</v>
      </c>
      <c r="C128" s="3" t="s">
        <v>104</v>
      </c>
      <c r="D128" s="2">
        <f t="array" ref="D128">INDEX(covid, MATCH($A128, iso_code, 0), MATCH(D$1, columns, 0))</f>
        <v>2320</v>
      </c>
      <c r="E128" s="2">
        <f t="array" ref="E128">INDEX(covid, MATCH($A128, iso_code, 0), MATCH(E$1, columns, 0))</f>
        <v>28</v>
      </c>
      <c r="F128" s="2">
        <f t="array" ref="F128">INDEX(covid, MATCH($A128, iso_code, 0), MATCH(F$1, columns, 0))</f>
        <v>39244</v>
      </c>
      <c r="G128" s="2" t="str">
        <f t="array" ref="G128">INDEX(covid, MATCH($A128, iso_code, 0), MATCH(G$1, columns, 0))</f>
        <v/>
      </c>
      <c r="H128" s="9"/>
      <c r="I128" s="2"/>
      <c r="J128" s="2"/>
      <c r="K128" s="2"/>
      <c r="L128" s="2"/>
      <c r="M128" s="2"/>
      <c r="N128" s="2"/>
      <c r="O128" s="2"/>
      <c r="P128" s="2"/>
    </row>
    <row r="129">
      <c r="A129" s="3" t="s">
        <v>336</v>
      </c>
      <c r="B129" s="3" t="s">
        <v>142</v>
      </c>
      <c r="C129" s="3" t="s">
        <v>337</v>
      </c>
      <c r="D129" s="2" t="str">
        <f t="array" ref="D129">INDEX(covid, MATCH($A129, iso_code, 0), MATCH(D$1, columns, 0))</f>
        <v>#N/A</v>
      </c>
      <c r="E129" s="2" t="str">
        <f t="array" ref="E129">INDEX(covid, MATCH($A129, iso_code, 0), MATCH(E$1, columns, 0))</f>
        <v>#N/A</v>
      </c>
      <c r="F129" s="2" t="str">
        <f t="array" ref="F129">INDEX(covid, MATCH($A129, iso_code, 0), MATCH(F$1, columns, 0))</f>
        <v>#N/A</v>
      </c>
      <c r="G129" s="2" t="str">
        <f t="array" ref="G129">INDEX(covid, MATCH($A129, iso_code, 0), MATCH(G$1, columns, 0))</f>
        <v>#N/A</v>
      </c>
      <c r="H129" s="9"/>
      <c r="I129" s="2"/>
      <c r="J129" s="2"/>
      <c r="K129" s="2"/>
      <c r="L129" s="2"/>
      <c r="M129" s="2"/>
      <c r="N129" s="2"/>
      <c r="O129" s="2"/>
      <c r="P129" s="2"/>
    </row>
    <row r="130">
      <c r="A130" s="3" t="s">
        <v>111</v>
      </c>
      <c r="B130" s="3" t="s">
        <v>39</v>
      </c>
      <c r="C130" s="3" t="s">
        <v>112</v>
      </c>
      <c r="D130" s="2">
        <f t="array" ref="D130">INDEX(covid, MATCH($A130, iso_code, 0), MATCH(D$1, columns, 0))</f>
        <v>91906</v>
      </c>
      <c r="E130" s="2">
        <f t="array" ref="E130">INDEX(covid, MATCH($A130, iso_code, 0), MATCH(E$1, columns, 0))</f>
        <v>1296</v>
      </c>
      <c r="F130" s="2">
        <f t="array" ref="F130">INDEX(covid, MATCH($A130, iso_code, 0), MATCH(F$1, columns, 0))</f>
        <v>628062</v>
      </c>
      <c r="G130" s="2">
        <f t="array" ref="G130">INDEX(covid, MATCH($A130, iso_code, 0), MATCH(G$1, columns, 0))</f>
        <v>16409.288</v>
      </c>
      <c r="H130" s="9"/>
      <c r="I130" s="2"/>
      <c r="J130" s="2"/>
      <c r="K130" s="2"/>
      <c r="L130" s="2"/>
      <c r="M130" s="2"/>
      <c r="N130" s="2"/>
      <c r="O130" s="2"/>
      <c r="P130" s="2"/>
    </row>
    <row r="131">
      <c r="A131" s="3" t="s">
        <v>338</v>
      </c>
      <c r="B131" s="3" t="s">
        <v>150</v>
      </c>
      <c r="C131" s="3" t="s">
        <v>339</v>
      </c>
      <c r="D131" s="2" t="str">
        <f t="array" ref="D131">INDEX(covid, MATCH($A131, iso_code, 0), MATCH(D$1, columns, 0))</f>
        <v>#N/A</v>
      </c>
      <c r="E131" s="2" t="str">
        <f t="array" ref="E131">INDEX(covid, MATCH($A131, iso_code, 0), MATCH(E$1, columns, 0))</f>
        <v>#N/A</v>
      </c>
      <c r="F131" s="2" t="str">
        <f t="array" ref="F131">INDEX(covid, MATCH($A131, iso_code, 0), MATCH(F$1, columns, 0))</f>
        <v>#N/A</v>
      </c>
      <c r="G131" s="2" t="str">
        <f t="array" ref="G131">INDEX(covid, MATCH($A131, iso_code, 0), MATCH(G$1, columns, 0))</f>
        <v>#N/A</v>
      </c>
      <c r="H131" s="9"/>
      <c r="I131" s="2"/>
      <c r="J131" s="2"/>
      <c r="K131" s="2"/>
      <c r="L131" s="2"/>
      <c r="M131" s="2"/>
      <c r="N131" s="2"/>
      <c r="O131" s="2"/>
      <c r="P131" s="2"/>
    </row>
    <row r="132">
      <c r="A132" s="3" t="s">
        <v>340</v>
      </c>
      <c r="B132" s="3" t="s">
        <v>145</v>
      </c>
      <c r="C132" s="3" t="s">
        <v>341</v>
      </c>
      <c r="D132" s="2" t="str">
        <f t="array" ref="D132">INDEX(covid, MATCH($A132, iso_code, 0), MATCH(D$1, columns, 0))</f>
        <v>#N/A</v>
      </c>
      <c r="E132" s="2" t="str">
        <f t="array" ref="E132">INDEX(covid, MATCH($A132, iso_code, 0), MATCH(E$1, columns, 0))</f>
        <v>#N/A</v>
      </c>
      <c r="F132" s="2" t="str">
        <f t="array" ref="F132">INDEX(covid, MATCH($A132, iso_code, 0), MATCH(F$1, columns, 0))</f>
        <v>#N/A</v>
      </c>
      <c r="G132" s="2" t="str">
        <f t="array" ref="G132">INDEX(covid, MATCH($A132, iso_code, 0), MATCH(G$1, columns, 0))</f>
        <v>#N/A</v>
      </c>
      <c r="H132" s="9"/>
      <c r="I132" s="2"/>
      <c r="J132" s="2"/>
      <c r="K132" s="2"/>
      <c r="L132" s="2"/>
      <c r="M132" s="2"/>
      <c r="N132" s="2"/>
      <c r="O132" s="2"/>
      <c r="P132" s="2"/>
    </row>
    <row r="133">
      <c r="A133" s="3" t="s">
        <v>342</v>
      </c>
      <c r="B133" s="3" t="s">
        <v>145</v>
      </c>
      <c r="C133" s="3" t="s">
        <v>343</v>
      </c>
      <c r="D133" s="2" t="str">
        <f t="array" ref="D133">INDEX(covid, MATCH($A133, iso_code, 0), MATCH(D$1, columns, 0))</f>
        <v>#N/A</v>
      </c>
      <c r="E133" s="2" t="str">
        <f t="array" ref="E133">INDEX(covid, MATCH($A133, iso_code, 0), MATCH(E$1, columns, 0))</f>
        <v>#N/A</v>
      </c>
      <c r="F133" s="2" t="str">
        <f t="array" ref="F133">INDEX(covid, MATCH($A133, iso_code, 0), MATCH(F$1, columns, 0))</f>
        <v>#N/A</v>
      </c>
      <c r="G133" s="2" t="str">
        <f t="array" ref="G133">INDEX(covid, MATCH($A133, iso_code, 0), MATCH(G$1, columns, 0))</f>
        <v>#N/A</v>
      </c>
      <c r="H133" s="9"/>
      <c r="I133" s="2"/>
      <c r="J133" s="2"/>
      <c r="K133" s="2"/>
      <c r="L133" s="2"/>
      <c r="M133" s="2"/>
      <c r="N133" s="2"/>
      <c r="O133" s="2"/>
      <c r="P133" s="2"/>
    </row>
    <row r="134">
      <c r="A134" s="3" t="s">
        <v>344</v>
      </c>
      <c r="B134" s="3" t="s">
        <v>142</v>
      </c>
      <c r="C134" s="3" t="s">
        <v>345</v>
      </c>
      <c r="D134" s="2" t="str">
        <f t="array" ref="D134">INDEX(covid, MATCH($A134, iso_code, 0), MATCH(D$1, columns, 0))</f>
        <v>#N/A</v>
      </c>
      <c r="E134" s="2" t="str">
        <f t="array" ref="E134">INDEX(covid, MATCH($A134, iso_code, 0), MATCH(E$1, columns, 0))</f>
        <v>#N/A</v>
      </c>
      <c r="F134" s="2" t="str">
        <f t="array" ref="F134">INDEX(covid, MATCH($A134, iso_code, 0), MATCH(F$1, columns, 0))</f>
        <v>#N/A</v>
      </c>
      <c r="G134" s="2" t="str">
        <f t="array" ref="G134">INDEX(covid, MATCH($A134, iso_code, 0), MATCH(G$1, columns, 0))</f>
        <v>#N/A</v>
      </c>
      <c r="H134" s="9"/>
      <c r="I134" s="2"/>
      <c r="J134" s="2"/>
      <c r="K134" s="2"/>
      <c r="L134" s="2"/>
      <c r="M134" s="2"/>
      <c r="N134" s="2"/>
      <c r="O134" s="2"/>
      <c r="P134" s="2"/>
    </row>
    <row r="135">
      <c r="A135" s="3" t="s">
        <v>346</v>
      </c>
      <c r="B135" s="3" t="s">
        <v>145</v>
      </c>
      <c r="C135" s="3" t="s">
        <v>347</v>
      </c>
      <c r="D135" s="2" t="str">
        <f t="array" ref="D135">INDEX(covid, MATCH($A135, iso_code, 0), MATCH(D$1, columns, 0))</f>
        <v>#N/A</v>
      </c>
      <c r="E135" s="2" t="str">
        <f t="array" ref="E135">INDEX(covid, MATCH($A135, iso_code, 0), MATCH(E$1, columns, 0))</f>
        <v>#N/A</v>
      </c>
      <c r="F135" s="2" t="str">
        <f t="array" ref="F135">INDEX(covid, MATCH($A135, iso_code, 0), MATCH(F$1, columns, 0))</f>
        <v>#N/A</v>
      </c>
      <c r="G135" s="2" t="str">
        <f t="array" ref="G135">INDEX(covid, MATCH($A135, iso_code, 0), MATCH(G$1, columns, 0))</f>
        <v>#N/A</v>
      </c>
      <c r="H135" s="9"/>
      <c r="I135" s="2"/>
      <c r="J135" s="2"/>
      <c r="K135" s="2"/>
      <c r="L135" s="2"/>
      <c r="M135" s="2"/>
      <c r="N135" s="2"/>
      <c r="O135" s="2"/>
      <c r="P135" s="2"/>
    </row>
    <row r="136">
      <c r="A136" s="3" t="s">
        <v>348</v>
      </c>
      <c r="B136" s="3" t="s">
        <v>142</v>
      </c>
      <c r="C136" s="3" t="s">
        <v>349</v>
      </c>
      <c r="D136" s="2" t="str">
        <f t="array" ref="D136">INDEX(covid, MATCH($A136, iso_code, 0), MATCH(D$1, columns, 0))</f>
        <v>#N/A</v>
      </c>
      <c r="E136" s="2" t="str">
        <f t="array" ref="E136">INDEX(covid, MATCH($A136, iso_code, 0), MATCH(E$1, columns, 0))</f>
        <v>#N/A</v>
      </c>
      <c r="F136" s="2" t="str">
        <f t="array" ref="F136">INDEX(covid, MATCH($A136, iso_code, 0), MATCH(F$1, columns, 0))</f>
        <v>#N/A</v>
      </c>
      <c r="G136" s="2" t="str">
        <f t="array" ref="G136">INDEX(covid, MATCH($A136, iso_code, 0), MATCH(G$1, columns, 0))</f>
        <v>#N/A</v>
      </c>
      <c r="H136" s="9"/>
      <c r="I136" s="2"/>
      <c r="J136" s="2"/>
      <c r="K136" s="2"/>
      <c r="L136" s="2"/>
      <c r="M136" s="2"/>
      <c r="N136" s="2"/>
      <c r="O136" s="2"/>
      <c r="P136" s="2"/>
    </row>
    <row r="137">
      <c r="A137" s="3" t="s">
        <v>113</v>
      </c>
      <c r="B137" s="3" t="s">
        <v>39</v>
      </c>
      <c r="C137" s="3" t="s">
        <v>114</v>
      </c>
      <c r="D137" s="2">
        <f t="array" ref="D137">INDEX(covid, MATCH($A137, iso_code, 0), MATCH(D$1, columns, 0))</f>
        <v>1308774</v>
      </c>
      <c r="E137" s="2">
        <f t="array" ref="E137">INDEX(covid, MATCH($A137, iso_code, 0), MATCH(E$1, columns, 0))</f>
        <v>16733</v>
      </c>
      <c r="F137" s="2">
        <f t="array" ref="F137">INDEX(covid, MATCH($A137, iso_code, 0), MATCH(F$1, columns, 0))</f>
        <v>17134873</v>
      </c>
      <c r="G137" s="2">
        <f t="array" ref="G137">INDEX(covid, MATCH($A137, iso_code, 0), MATCH(G$1, columns, 0))</f>
        <v>48472.545</v>
      </c>
      <c r="H137" s="9"/>
      <c r="I137" s="2"/>
      <c r="J137" s="2"/>
      <c r="K137" s="2"/>
      <c r="L137" s="2"/>
      <c r="M137" s="2"/>
      <c r="N137" s="2"/>
      <c r="O137" s="2"/>
      <c r="P137" s="2"/>
    </row>
    <row r="138">
      <c r="A138" s="3" t="s">
        <v>350</v>
      </c>
      <c r="B138" s="3" t="s">
        <v>162</v>
      </c>
      <c r="C138" s="3" t="s">
        <v>351</v>
      </c>
      <c r="D138" s="2" t="str">
        <f t="array" ref="D138">INDEX(covid, MATCH($A138, iso_code, 0), MATCH(D$1, columns, 0))</f>
        <v>#N/A</v>
      </c>
      <c r="E138" s="2" t="str">
        <f t="array" ref="E138">INDEX(covid, MATCH($A138, iso_code, 0), MATCH(E$1, columns, 0))</f>
        <v>#N/A</v>
      </c>
      <c r="F138" s="2" t="str">
        <f t="array" ref="F138">INDEX(covid, MATCH($A138, iso_code, 0), MATCH(F$1, columns, 0))</f>
        <v>#N/A</v>
      </c>
      <c r="G138" s="2" t="str">
        <f t="array" ref="G138">INDEX(covid, MATCH($A138, iso_code, 0), MATCH(G$1, columns, 0))</f>
        <v>#N/A</v>
      </c>
      <c r="H138" s="9"/>
      <c r="I138" s="2"/>
      <c r="J138" s="2"/>
      <c r="K138" s="2"/>
      <c r="L138" s="2"/>
      <c r="M138" s="2"/>
      <c r="N138" s="2"/>
      <c r="O138" s="2"/>
      <c r="P138" s="2"/>
    </row>
    <row r="139">
      <c r="A139" s="3" t="s">
        <v>352</v>
      </c>
      <c r="B139" s="3" t="s">
        <v>162</v>
      </c>
      <c r="C139" s="3" t="s">
        <v>353</v>
      </c>
      <c r="D139" s="2" t="str">
        <f t="array" ref="D139">INDEX(covid, MATCH($A139, iso_code, 0), MATCH(D$1, columns, 0))</f>
        <v>#N/A</v>
      </c>
      <c r="E139" s="2" t="str">
        <f t="array" ref="E139">INDEX(covid, MATCH($A139, iso_code, 0), MATCH(E$1, columns, 0))</f>
        <v>#N/A</v>
      </c>
      <c r="F139" s="2" t="str">
        <f t="array" ref="F139">INDEX(covid, MATCH($A139, iso_code, 0), MATCH(F$1, columns, 0))</f>
        <v>#N/A</v>
      </c>
      <c r="G139" s="2" t="str">
        <f t="array" ref="G139">INDEX(covid, MATCH($A139, iso_code, 0), MATCH(G$1, columns, 0))</f>
        <v>#N/A</v>
      </c>
      <c r="H139" s="9"/>
      <c r="I139" s="2"/>
      <c r="J139" s="2"/>
      <c r="K139" s="2"/>
      <c r="L139" s="2"/>
      <c r="M139" s="2"/>
      <c r="N139" s="2"/>
      <c r="O139" s="2"/>
      <c r="P139" s="2"/>
    </row>
    <row r="140">
      <c r="A140" s="3" t="s">
        <v>354</v>
      </c>
      <c r="B140" s="3" t="s">
        <v>150</v>
      </c>
      <c r="C140" s="3" t="s">
        <v>355</v>
      </c>
      <c r="D140" s="2" t="str">
        <f t="array" ref="D140">INDEX(covid, MATCH($A140, iso_code, 0), MATCH(D$1, columns, 0))</f>
        <v>#N/A</v>
      </c>
      <c r="E140" s="2" t="str">
        <f t="array" ref="E140">INDEX(covid, MATCH($A140, iso_code, 0), MATCH(E$1, columns, 0))</f>
        <v>#N/A</v>
      </c>
      <c r="F140" s="2" t="str">
        <f t="array" ref="F140">INDEX(covid, MATCH($A140, iso_code, 0), MATCH(F$1, columns, 0))</f>
        <v>#N/A</v>
      </c>
      <c r="G140" s="2" t="str">
        <f t="array" ref="G140">INDEX(covid, MATCH($A140, iso_code, 0), MATCH(G$1, columns, 0))</f>
        <v>#N/A</v>
      </c>
      <c r="H140" s="9"/>
      <c r="I140" s="2"/>
      <c r="J140" s="2"/>
      <c r="K140" s="2"/>
      <c r="L140" s="2"/>
      <c r="M140" s="2"/>
      <c r="N140" s="2"/>
      <c r="O140" s="2"/>
      <c r="P140" s="2"/>
    </row>
    <row r="141">
      <c r="A141" s="3" t="s">
        <v>356</v>
      </c>
      <c r="B141" s="3" t="s">
        <v>145</v>
      </c>
      <c r="C141" s="3" t="s">
        <v>357</v>
      </c>
      <c r="D141" s="2" t="str">
        <f t="array" ref="D141">INDEX(covid, MATCH($A141, iso_code, 0), MATCH(D$1, columns, 0))</f>
        <v>#N/A</v>
      </c>
      <c r="E141" s="2" t="str">
        <f t="array" ref="E141">INDEX(covid, MATCH($A141, iso_code, 0), MATCH(E$1, columns, 0))</f>
        <v>#N/A</v>
      </c>
      <c r="F141" s="2" t="str">
        <f t="array" ref="F141">INDEX(covid, MATCH($A141, iso_code, 0), MATCH(F$1, columns, 0))</f>
        <v>#N/A</v>
      </c>
      <c r="G141" s="2" t="str">
        <f t="array" ref="G141">INDEX(covid, MATCH($A141, iso_code, 0), MATCH(G$1, columns, 0))</f>
        <v>#N/A</v>
      </c>
      <c r="H141" s="9"/>
      <c r="I141" s="2"/>
      <c r="J141" s="2"/>
      <c r="K141" s="2"/>
      <c r="L141" s="2"/>
      <c r="M141" s="2"/>
      <c r="N141" s="2"/>
      <c r="O141" s="2"/>
      <c r="P141" s="2"/>
    </row>
    <row r="142">
      <c r="A142" s="3" t="s">
        <v>358</v>
      </c>
      <c r="B142" s="3" t="s">
        <v>145</v>
      </c>
      <c r="C142" s="3" t="s">
        <v>359</v>
      </c>
      <c r="D142" s="2" t="str">
        <f t="array" ref="D142">INDEX(covid, MATCH($A142, iso_code, 0), MATCH(D$1, columns, 0))</f>
        <v>#N/A</v>
      </c>
      <c r="E142" s="2" t="str">
        <f t="array" ref="E142">INDEX(covid, MATCH($A142, iso_code, 0), MATCH(E$1, columns, 0))</f>
        <v>#N/A</v>
      </c>
      <c r="F142" s="2" t="str">
        <f t="array" ref="F142">INDEX(covid, MATCH($A142, iso_code, 0), MATCH(F$1, columns, 0))</f>
        <v>#N/A</v>
      </c>
      <c r="G142" s="2" t="str">
        <f t="array" ref="G142">INDEX(covid, MATCH($A142, iso_code, 0), MATCH(G$1, columns, 0))</f>
        <v>#N/A</v>
      </c>
      <c r="H142" s="9"/>
      <c r="I142" s="2"/>
      <c r="J142" s="2"/>
      <c r="K142" s="2"/>
      <c r="L142" s="2"/>
      <c r="M142" s="2"/>
      <c r="N142" s="2"/>
      <c r="O142" s="2"/>
      <c r="P142" s="2"/>
    </row>
    <row r="143">
      <c r="A143" s="3" t="s">
        <v>360</v>
      </c>
      <c r="B143" s="3" t="s">
        <v>162</v>
      </c>
      <c r="C143" s="3" t="s">
        <v>361</v>
      </c>
      <c r="D143" s="2" t="str">
        <f t="array" ref="D143">INDEX(covid, MATCH($A143, iso_code, 0), MATCH(D$1, columns, 0))</f>
        <v>#N/A</v>
      </c>
      <c r="E143" s="2" t="str">
        <f t="array" ref="E143">INDEX(covid, MATCH($A143, iso_code, 0), MATCH(E$1, columns, 0))</f>
        <v>#N/A</v>
      </c>
      <c r="F143" s="2" t="str">
        <f t="array" ref="F143">INDEX(covid, MATCH($A143, iso_code, 0), MATCH(F$1, columns, 0))</f>
        <v>#N/A</v>
      </c>
      <c r="G143" s="2" t="str">
        <f t="array" ref="G143">INDEX(covid, MATCH($A143, iso_code, 0), MATCH(G$1, columns, 0))</f>
        <v>#N/A</v>
      </c>
      <c r="H143" s="9"/>
      <c r="I143" s="2"/>
      <c r="J143" s="2"/>
      <c r="K143" s="2"/>
      <c r="L143" s="2"/>
      <c r="M143" s="2"/>
      <c r="N143" s="2"/>
      <c r="O143" s="2"/>
      <c r="P143" s="2"/>
    </row>
    <row r="144">
      <c r="A144" s="3" t="s">
        <v>115</v>
      </c>
      <c r="B144" s="3" t="s">
        <v>39</v>
      </c>
      <c r="C144" s="3" t="s">
        <v>116</v>
      </c>
      <c r="D144" s="2">
        <f t="array" ref="D144">INDEX(covid, MATCH($A144, iso_code, 0), MATCH(D$1, columns, 0))</f>
        <v>97410</v>
      </c>
      <c r="E144" s="2">
        <f t="array" ref="E144">INDEX(covid, MATCH($A144, iso_code, 0), MATCH(E$1, columns, 0))</f>
        <v>673</v>
      </c>
      <c r="F144" s="2">
        <f t="array" ref="F144">INDEX(covid, MATCH($A144, iso_code, 0), MATCH(F$1, columns, 0))</f>
        <v>5421242</v>
      </c>
      <c r="G144" s="2">
        <f t="array" ref="G144">INDEX(covid, MATCH($A144, iso_code, 0), MATCH(G$1, columns, 0))</f>
        <v>64800.057</v>
      </c>
      <c r="H144" s="9"/>
      <c r="I144" s="2"/>
      <c r="J144" s="2"/>
      <c r="K144" s="2"/>
      <c r="L144" s="2"/>
      <c r="M144" s="2"/>
      <c r="N144" s="2"/>
      <c r="O144" s="2"/>
      <c r="P144" s="2"/>
    </row>
    <row r="145">
      <c r="A145" s="3" t="s">
        <v>362</v>
      </c>
      <c r="B145" s="3" t="s">
        <v>142</v>
      </c>
      <c r="C145" s="3" t="s">
        <v>363</v>
      </c>
      <c r="D145" s="2" t="str">
        <f t="array" ref="D145">INDEX(covid, MATCH($A145, iso_code, 0), MATCH(D$1, columns, 0))</f>
        <v>#N/A</v>
      </c>
      <c r="E145" s="2" t="str">
        <f t="array" ref="E145">INDEX(covid, MATCH($A145, iso_code, 0), MATCH(E$1, columns, 0))</f>
        <v>#N/A</v>
      </c>
      <c r="F145" s="2" t="str">
        <f t="array" ref="F145">INDEX(covid, MATCH($A145, iso_code, 0), MATCH(F$1, columns, 0))</f>
        <v>#N/A</v>
      </c>
      <c r="G145" s="2" t="str">
        <f t="array" ref="G145">INDEX(covid, MATCH($A145, iso_code, 0), MATCH(G$1, columns, 0))</f>
        <v>#N/A</v>
      </c>
      <c r="H145" s="9"/>
      <c r="I145" s="2"/>
      <c r="J145" s="2"/>
      <c r="K145" s="2"/>
      <c r="L145" s="2"/>
      <c r="M145" s="2"/>
      <c r="N145" s="2"/>
      <c r="O145" s="2"/>
      <c r="P145" s="2"/>
    </row>
    <row r="146">
      <c r="A146" s="3" t="s">
        <v>364</v>
      </c>
      <c r="B146" s="3" t="s">
        <v>142</v>
      </c>
      <c r="C146" s="3" t="s">
        <v>365</v>
      </c>
      <c r="D146" s="2" t="str">
        <f t="array" ref="D146">INDEX(covid, MATCH($A146, iso_code, 0), MATCH(D$1, columns, 0))</f>
        <v>#N/A</v>
      </c>
      <c r="E146" s="2" t="str">
        <f t="array" ref="E146">INDEX(covid, MATCH($A146, iso_code, 0), MATCH(E$1, columns, 0))</f>
        <v>#N/A</v>
      </c>
      <c r="F146" s="2" t="str">
        <f t="array" ref="F146">INDEX(covid, MATCH($A146, iso_code, 0), MATCH(F$1, columns, 0))</f>
        <v>#N/A</v>
      </c>
      <c r="G146" s="2" t="str">
        <f t="array" ref="G146">INDEX(covid, MATCH($A146, iso_code, 0), MATCH(G$1, columns, 0))</f>
        <v>#N/A</v>
      </c>
      <c r="H146" s="9"/>
      <c r="I146" s="2"/>
      <c r="J146" s="2"/>
      <c r="K146" s="2"/>
      <c r="L146" s="2"/>
      <c r="M146" s="2"/>
      <c r="N146" s="2"/>
      <c r="O146" s="2"/>
      <c r="P146" s="2"/>
    </row>
    <row r="147">
      <c r="A147" s="3" t="s">
        <v>366</v>
      </c>
      <c r="B147" s="3" t="s">
        <v>142</v>
      </c>
      <c r="C147" s="3" t="s">
        <v>367</v>
      </c>
      <c r="D147" s="2" t="str">
        <f t="array" ref="D147">INDEX(covid, MATCH($A147, iso_code, 0), MATCH(D$1, columns, 0))</f>
        <v>#N/A</v>
      </c>
      <c r="E147" s="2" t="str">
        <f t="array" ref="E147">INDEX(covid, MATCH($A147, iso_code, 0), MATCH(E$1, columns, 0))</f>
        <v>#N/A</v>
      </c>
      <c r="F147" s="2" t="str">
        <f t="array" ref="F147">INDEX(covid, MATCH($A147, iso_code, 0), MATCH(F$1, columns, 0))</f>
        <v>#N/A</v>
      </c>
      <c r="G147" s="2" t="str">
        <f t="array" ref="G147">INDEX(covid, MATCH($A147, iso_code, 0), MATCH(G$1, columns, 0))</f>
        <v>#N/A</v>
      </c>
      <c r="H147" s="9"/>
      <c r="I147" s="2"/>
      <c r="J147" s="2"/>
      <c r="K147" s="2"/>
      <c r="L147" s="2"/>
      <c r="M147" s="2"/>
      <c r="N147" s="2"/>
      <c r="O147" s="2"/>
      <c r="P147" s="2"/>
    </row>
    <row r="148">
      <c r="A148" s="3" t="s">
        <v>368</v>
      </c>
      <c r="B148" s="3" t="s">
        <v>150</v>
      </c>
      <c r="C148" s="3" t="s">
        <v>369</v>
      </c>
      <c r="D148" s="2" t="str">
        <f t="array" ref="D148">INDEX(covid, MATCH($A148, iso_code, 0), MATCH(D$1, columns, 0))</f>
        <v>#N/A</v>
      </c>
      <c r="E148" s="2" t="str">
        <f t="array" ref="E148">INDEX(covid, MATCH($A148, iso_code, 0), MATCH(E$1, columns, 0))</f>
        <v>#N/A</v>
      </c>
      <c r="F148" s="2" t="str">
        <f t="array" ref="F148">INDEX(covid, MATCH($A148, iso_code, 0), MATCH(F$1, columns, 0))</f>
        <v>#N/A</v>
      </c>
      <c r="G148" s="2" t="str">
        <f t="array" ref="G148">INDEX(covid, MATCH($A148, iso_code, 0), MATCH(G$1, columns, 0))</f>
        <v>#N/A</v>
      </c>
      <c r="H148" s="9"/>
      <c r="I148" s="2"/>
      <c r="J148" s="2"/>
      <c r="K148" s="2"/>
      <c r="L148" s="2"/>
      <c r="M148" s="2"/>
      <c r="N148" s="2"/>
      <c r="O148" s="2"/>
      <c r="P148" s="2"/>
    </row>
    <row r="149">
      <c r="A149" s="3" t="s">
        <v>370</v>
      </c>
      <c r="B149" s="3" t="s">
        <v>162</v>
      </c>
      <c r="C149" s="3" t="s">
        <v>371</v>
      </c>
      <c r="D149" s="2" t="str">
        <f t="array" ref="D149">INDEX(covid, MATCH($A149, iso_code, 0), MATCH(D$1, columns, 0))</f>
        <v>#N/A</v>
      </c>
      <c r="E149" s="2" t="str">
        <f t="array" ref="E149">INDEX(covid, MATCH($A149, iso_code, 0), MATCH(E$1, columns, 0))</f>
        <v>#N/A</v>
      </c>
      <c r="F149" s="2" t="str">
        <f t="array" ref="F149">INDEX(covid, MATCH($A149, iso_code, 0), MATCH(F$1, columns, 0))</f>
        <v>#N/A</v>
      </c>
      <c r="G149" s="2" t="str">
        <f t="array" ref="G149">INDEX(covid, MATCH($A149, iso_code, 0), MATCH(G$1, columns, 0))</f>
        <v>#N/A</v>
      </c>
      <c r="H149" s="9"/>
      <c r="I149" s="2"/>
      <c r="J149" s="2"/>
      <c r="K149" s="2"/>
      <c r="L149" s="2"/>
      <c r="M149" s="2"/>
      <c r="N149" s="2"/>
      <c r="O149" s="2"/>
      <c r="P149" s="2"/>
    </row>
    <row r="150">
      <c r="A150" s="3" t="s">
        <v>372</v>
      </c>
      <c r="B150" s="3" t="s">
        <v>155</v>
      </c>
      <c r="C150" s="3" t="s">
        <v>373</v>
      </c>
      <c r="D150" s="2" t="str">
        <f t="array" ref="D150">INDEX(covid, MATCH($A150, iso_code, 0), MATCH(D$1, columns, 0))</f>
        <v>#N/A</v>
      </c>
      <c r="E150" s="2" t="str">
        <f t="array" ref="E150">INDEX(covid, MATCH($A150, iso_code, 0), MATCH(E$1, columns, 0))</f>
        <v>#N/A</v>
      </c>
      <c r="F150" s="2" t="str">
        <f t="array" ref="F150">INDEX(covid, MATCH($A150, iso_code, 0), MATCH(F$1, columns, 0))</f>
        <v>#N/A</v>
      </c>
      <c r="G150" s="2" t="str">
        <f t="array" ref="G150">INDEX(covid, MATCH($A150, iso_code, 0), MATCH(G$1, columns, 0))</f>
        <v>#N/A</v>
      </c>
      <c r="H150" s="9"/>
      <c r="I150" s="2"/>
      <c r="J150" s="2"/>
      <c r="K150" s="2"/>
      <c r="L150" s="2"/>
      <c r="M150" s="2"/>
      <c r="N150" s="2"/>
      <c r="O150" s="2"/>
      <c r="P150" s="2"/>
    </row>
    <row r="151">
      <c r="A151" s="3" t="s">
        <v>374</v>
      </c>
      <c r="B151" s="3" t="s">
        <v>155</v>
      </c>
      <c r="C151" s="3" t="s">
        <v>375</v>
      </c>
      <c r="D151" s="2" t="str">
        <f t="array" ref="D151">INDEX(covid, MATCH($A151, iso_code, 0), MATCH(D$1, columns, 0))</f>
        <v>#N/A</v>
      </c>
      <c r="E151" s="2" t="str">
        <f t="array" ref="E151">INDEX(covid, MATCH($A151, iso_code, 0), MATCH(E$1, columns, 0))</f>
        <v>#N/A</v>
      </c>
      <c r="F151" s="2" t="str">
        <f t="array" ref="F151">INDEX(covid, MATCH($A151, iso_code, 0), MATCH(F$1, columns, 0))</f>
        <v>#N/A</v>
      </c>
      <c r="G151" s="2" t="str">
        <f t="array" ref="G151">INDEX(covid, MATCH($A151, iso_code, 0), MATCH(G$1, columns, 0))</f>
        <v>#N/A</v>
      </c>
      <c r="H151" s="9"/>
      <c r="I151" s="2"/>
      <c r="J151" s="2"/>
      <c r="K151" s="2"/>
      <c r="L151" s="2"/>
      <c r="M151" s="2"/>
      <c r="N151" s="2"/>
      <c r="O151" s="2"/>
      <c r="P151" s="2"/>
    </row>
    <row r="152">
      <c r="A152" s="3" t="s">
        <v>376</v>
      </c>
      <c r="B152" s="3" t="s">
        <v>142</v>
      </c>
      <c r="C152" s="3" t="s">
        <v>377</v>
      </c>
      <c r="D152" s="2" t="str">
        <f t="array" ref="D152">INDEX(covid, MATCH($A152, iso_code, 0), MATCH(D$1, columns, 0))</f>
        <v>#N/A</v>
      </c>
      <c r="E152" s="2" t="str">
        <f t="array" ref="E152">INDEX(covid, MATCH($A152, iso_code, 0), MATCH(E$1, columns, 0))</f>
        <v>#N/A</v>
      </c>
      <c r="F152" s="2" t="str">
        <f t="array" ref="F152">INDEX(covid, MATCH($A152, iso_code, 0), MATCH(F$1, columns, 0))</f>
        <v>#N/A</v>
      </c>
      <c r="G152" s="2" t="str">
        <f t="array" ref="G152">INDEX(covid, MATCH($A152, iso_code, 0), MATCH(G$1, columns, 0))</f>
        <v>#N/A</v>
      </c>
      <c r="H152" s="9"/>
      <c r="I152" s="2"/>
      <c r="J152" s="2"/>
      <c r="K152" s="2"/>
      <c r="L152" s="2"/>
      <c r="M152" s="2"/>
      <c r="N152" s="2"/>
      <c r="O152" s="2"/>
      <c r="P152" s="2"/>
    </row>
    <row r="153">
      <c r="A153" s="3" t="s">
        <v>119</v>
      </c>
      <c r="B153" s="3" t="s">
        <v>39</v>
      </c>
      <c r="C153" s="3" t="s">
        <v>120</v>
      </c>
      <c r="D153" s="2">
        <f t="array" ref="D153">INDEX(covid, MATCH($A153, iso_code, 0), MATCH(D$1, columns, 0))</f>
        <v>2387511</v>
      </c>
      <c r="E153" s="2">
        <f t="array" ref="E153">INDEX(covid, MATCH($A153, iso_code, 0), MATCH(E$1, columns, 0))</f>
        <v>54165</v>
      </c>
      <c r="F153" s="2">
        <f t="array" ref="F153">INDEX(covid, MATCH($A153, iso_code, 0), MATCH(F$1, columns, 0))</f>
        <v>37846605</v>
      </c>
      <c r="G153" s="2">
        <f t="array" ref="G153">INDEX(covid, MATCH($A153, iso_code, 0), MATCH(G$1, columns, 0))</f>
        <v>27216.445</v>
      </c>
      <c r="H153" s="9"/>
      <c r="I153" s="2"/>
      <c r="J153" s="2"/>
      <c r="K153" s="2"/>
      <c r="L153" s="2"/>
      <c r="M153" s="2"/>
      <c r="N153" s="2"/>
      <c r="O153" s="2"/>
      <c r="P153" s="2"/>
    </row>
    <row r="154">
      <c r="A154" s="3" t="s">
        <v>121</v>
      </c>
      <c r="B154" s="3" t="s">
        <v>39</v>
      </c>
      <c r="C154" s="3" t="s">
        <v>122</v>
      </c>
      <c r="D154" s="2">
        <f t="array" ref="D154">INDEX(covid, MATCH($A154, iso_code, 0), MATCH(D$1, columns, 0))</f>
        <v>822862</v>
      </c>
      <c r="E154" s="2">
        <f t="array" ref="E154">INDEX(covid, MATCH($A154, iso_code, 0), MATCH(E$1, columns, 0))</f>
        <v>16868</v>
      </c>
      <c r="F154" s="2">
        <f t="array" ref="F154">INDEX(covid, MATCH($A154, iso_code, 0), MATCH(F$1, columns, 0))</f>
        <v>10196707</v>
      </c>
      <c r="G154" s="2">
        <f t="array" ref="G154">INDEX(covid, MATCH($A154, iso_code, 0), MATCH(G$1, columns, 0))</f>
        <v>27936.896</v>
      </c>
      <c r="H154" s="9"/>
      <c r="I154" s="2"/>
      <c r="J154" s="2"/>
      <c r="K154" s="2"/>
      <c r="L154" s="2"/>
      <c r="M154" s="2"/>
      <c r="N154" s="2"/>
      <c r="O154" s="2"/>
      <c r="P154" s="2"/>
    </row>
    <row r="155">
      <c r="A155" s="3" t="s">
        <v>378</v>
      </c>
      <c r="B155" s="3" t="s">
        <v>150</v>
      </c>
      <c r="C155" s="3" t="s">
        <v>379</v>
      </c>
      <c r="D155" s="2" t="str">
        <f t="array" ref="D155">INDEX(covid, MATCH($A155, iso_code, 0), MATCH(D$1, columns, 0))</f>
        <v>#N/A</v>
      </c>
      <c r="E155" s="2" t="str">
        <f t="array" ref="E155">INDEX(covid, MATCH($A155, iso_code, 0), MATCH(E$1, columns, 0))</f>
        <v>#N/A</v>
      </c>
      <c r="F155" s="2" t="str">
        <f t="array" ref="F155">INDEX(covid, MATCH($A155, iso_code, 0), MATCH(F$1, columns, 0))</f>
        <v>#N/A</v>
      </c>
      <c r="G155" s="2" t="str">
        <f t="array" ref="G155">INDEX(covid, MATCH($A155, iso_code, 0), MATCH(G$1, columns, 0))</f>
        <v>#N/A</v>
      </c>
      <c r="H155" s="9"/>
      <c r="I155" s="2"/>
      <c r="J155" s="2"/>
      <c r="K155" s="2"/>
      <c r="L155" s="2"/>
      <c r="M155" s="2"/>
      <c r="N155" s="2"/>
      <c r="O155" s="2"/>
      <c r="P155" s="2"/>
    </row>
    <row r="156">
      <c r="A156" s="3" t="s">
        <v>380</v>
      </c>
      <c r="B156" s="3" t="s">
        <v>142</v>
      </c>
      <c r="C156" s="3" t="s">
        <v>381</v>
      </c>
      <c r="D156" s="2" t="str">
        <f t="array" ref="D156">INDEX(covid, MATCH($A156, iso_code, 0), MATCH(D$1, columns, 0))</f>
        <v>#N/A</v>
      </c>
      <c r="E156" s="2" t="str">
        <f t="array" ref="E156">INDEX(covid, MATCH($A156, iso_code, 0), MATCH(E$1, columns, 0))</f>
        <v>#N/A</v>
      </c>
      <c r="F156" s="2" t="str">
        <f t="array" ref="F156">INDEX(covid, MATCH($A156, iso_code, 0), MATCH(F$1, columns, 0))</f>
        <v>#N/A</v>
      </c>
      <c r="G156" s="2" t="str">
        <f t="array" ref="G156">INDEX(covid, MATCH($A156, iso_code, 0), MATCH(G$1, columns, 0))</f>
        <v>#N/A</v>
      </c>
      <c r="H156" s="9"/>
      <c r="I156" s="2"/>
      <c r="J156" s="2"/>
      <c r="K156" s="2"/>
      <c r="L156" s="2"/>
      <c r="M156" s="2"/>
      <c r="N156" s="2"/>
      <c r="O156" s="2"/>
      <c r="P156" s="2"/>
    </row>
    <row r="157">
      <c r="A157" s="3" t="s">
        <v>123</v>
      </c>
      <c r="B157" s="3" t="s">
        <v>39</v>
      </c>
      <c r="C157" s="3" t="s">
        <v>124</v>
      </c>
      <c r="D157" s="2">
        <f t="array" ref="D157">INDEX(covid, MATCH($A157, iso_code, 0), MATCH(D$1, columns, 0))</f>
        <v>964726</v>
      </c>
      <c r="E157" s="2">
        <f t="array" ref="E157">INDEX(covid, MATCH($A157, iso_code, 0), MATCH(E$1, columns, 0))</f>
        <v>23819</v>
      </c>
      <c r="F157" s="2">
        <f t="array" ref="F157">INDEX(covid, MATCH($A157, iso_code, 0), MATCH(F$1, columns, 0))</f>
        <v>19237682</v>
      </c>
      <c r="G157" s="2">
        <f t="array" ref="G157">INDEX(covid, MATCH($A157, iso_code, 0), MATCH(G$1, columns, 0))</f>
        <v>23313.199</v>
      </c>
      <c r="H157" s="9"/>
      <c r="I157" s="2"/>
      <c r="J157" s="2"/>
      <c r="K157" s="2"/>
      <c r="L157" s="2"/>
      <c r="M157" s="2"/>
      <c r="N157" s="2"/>
      <c r="O157" s="2"/>
      <c r="P157" s="2"/>
    </row>
    <row r="158">
      <c r="A158" s="3" t="s">
        <v>125</v>
      </c>
      <c r="B158" s="3" t="s">
        <v>39</v>
      </c>
      <c r="C158" s="3" t="s">
        <v>126</v>
      </c>
      <c r="D158" s="2">
        <f t="array" ref="D158">INDEX(covid, MATCH($A158, iso_code, 0), MATCH(D$1, columns, 0))</f>
        <v>4511973</v>
      </c>
      <c r="E158" s="2">
        <f t="array" ref="E158">INDEX(covid, MATCH($A158, iso_code, 0), MATCH(E$1, columns, 0))</f>
        <v>97986</v>
      </c>
      <c r="F158" s="2">
        <f t="array" ref="F158">INDEX(covid, MATCH($A158, iso_code, 0), MATCH(F$1, columns, 0))</f>
        <v>145934460</v>
      </c>
      <c r="G158" s="2">
        <f t="array" ref="G158">INDEX(covid, MATCH($A158, iso_code, 0), MATCH(G$1, columns, 0))</f>
        <v>24765.954</v>
      </c>
      <c r="H158" s="9"/>
      <c r="I158" s="2"/>
      <c r="J158" s="2"/>
      <c r="K158" s="2"/>
      <c r="L158" s="2"/>
      <c r="M158" s="2"/>
      <c r="N158" s="2"/>
      <c r="O158" s="2"/>
      <c r="P158" s="2"/>
    </row>
    <row r="159">
      <c r="A159" s="3" t="s">
        <v>382</v>
      </c>
      <c r="B159" s="3" t="s">
        <v>145</v>
      </c>
      <c r="C159" s="3" t="s">
        <v>383</v>
      </c>
      <c r="D159" s="2" t="str">
        <f t="array" ref="D159">INDEX(covid, MATCH($A159, iso_code, 0), MATCH(D$1, columns, 0))</f>
        <v>#N/A</v>
      </c>
      <c r="E159" s="2" t="str">
        <f t="array" ref="E159">INDEX(covid, MATCH($A159, iso_code, 0), MATCH(E$1, columns, 0))</f>
        <v>#N/A</v>
      </c>
      <c r="F159" s="2" t="str">
        <f t="array" ref="F159">INDEX(covid, MATCH($A159, iso_code, 0), MATCH(F$1, columns, 0))</f>
        <v>#N/A</v>
      </c>
      <c r="G159" s="2" t="str">
        <f t="array" ref="G159">INDEX(covid, MATCH($A159, iso_code, 0), MATCH(G$1, columns, 0))</f>
        <v>#N/A</v>
      </c>
      <c r="H159" s="9"/>
      <c r="I159" s="2"/>
      <c r="J159" s="2"/>
      <c r="K159" s="2"/>
      <c r="L159" s="2"/>
      <c r="M159" s="2"/>
      <c r="N159" s="2"/>
      <c r="O159" s="2"/>
      <c r="P159" s="2"/>
    </row>
    <row r="160">
      <c r="A160" s="3" t="s">
        <v>384</v>
      </c>
      <c r="B160" s="3" t="s">
        <v>150</v>
      </c>
      <c r="C160" s="3" t="s">
        <v>385</v>
      </c>
      <c r="D160" s="2" t="str">
        <f t="array" ref="D160">INDEX(covid, MATCH($A160, iso_code, 0), MATCH(D$1, columns, 0))</f>
        <v>#N/A</v>
      </c>
      <c r="E160" s="2" t="str">
        <f t="array" ref="E160">INDEX(covid, MATCH($A160, iso_code, 0), MATCH(E$1, columns, 0))</f>
        <v>#N/A</v>
      </c>
      <c r="F160" s="2" t="str">
        <f t="array" ref="F160">INDEX(covid, MATCH($A160, iso_code, 0), MATCH(F$1, columns, 0))</f>
        <v>#N/A</v>
      </c>
      <c r="G160" s="2" t="str">
        <f t="array" ref="G160">INDEX(covid, MATCH($A160, iso_code, 0), MATCH(G$1, columns, 0))</f>
        <v>#N/A</v>
      </c>
      <c r="H160" s="9"/>
      <c r="I160" s="2"/>
      <c r="J160" s="2"/>
      <c r="K160" s="2"/>
      <c r="L160" s="2"/>
      <c r="M160" s="2"/>
      <c r="N160" s="2"/>
      <c r="O160" s="2"/>
      <c r="P160" s="2"/>
    </row>
    <row r="161">
      <c r="A161" s="3" t="s">
        <v>386</v>
      </c>
      <c r="B161" s="3" t="s">
        <v>150</v>
      </c>
      <c r="C161" s="3" t="s">
        <v>387</v>
      </c>
      <c r="D161" s="2" t="str">
        <f t="array" ref="D161">INDEX(covid, MATCH($A161, iso_code, 0), MATCH(D$1, columns, 0))</f>
        <v>#N/A</v>
      </c>
      <c r="E161" s="2" t="str">
        <f t="array" ref="E161">INDEX(covid, MATCH($A161, iso_code, 0), MATCH(E$1, columns, 0))</f>
        <v>#N/A</v>
      </c>
      <c r="F161" s="2" t="str">
        <f t="array" ref="F161">INDEX(covid, MATCH($A161, iso_code, 0), MATCH(F$1, columns, 0))</f>
        <v>#N/A</v>
      </c>
      <c r="G161" s="2" t="str">
        <f t="array" ref="G161">INDEX(covid, MATCH($A161, iso_code, 0), MATCH(G$1, columns, 0))</f>
        <v>#N/A</v>
      </c>
      <c r="H161" s="9"/>
      <c r="I161" s="2"/>
      <c r="J161" s="2"/>
      <c r="K161" s="2"/>
      <c r="L161" s="2"/>
      <c r="M161" s="2"/>
      <c r="N161" s="2"/>
      <c r="O161" s="2"/>
      <c r="P161" s="2"/>
    </row>
    <row r="162">
      <c r="A162" s="3" t="s">
        <v>388</v>
      </c>
      <c r="B162" s="3" t="s">
        <v>150</v>
      </c>
      <c r="C162" s="3" t="s">
        <v>389</v>
      </c>
      <c r="D162" s="2" t="str">
        <f t="array" ref="D162">INDEX(covid, MATCH($A162, iso_code, 0), MATCH(D$1, columns, 0))</f>
        <v>#N/A</v>
      </c>
      <c r="E162" s="2" t="str">
        <f t="array" ref="E162">INDEX(covid, MATCH($A162, iso_code, 0), MATCH(E$1, columns, 0))</f>
        <v>#N/A</v>
      </c>
      <c r="F162" s="2" t="str">
        <f t="array" ref="F162">INDEX(covid, MATCH($A162, iso_code, 0), MATCH(F$1, columns, 0))</f>
        <v>#N/A</v>
      </c>
      <c r="G162" s="2" t="str">
        <f t="array" ref="G162">INDEX(covid, MATCH($A162, iso_code, 0), MATCH(G$1, columns, 0))</f>
        <v>#N/A</v>
      </c>
      <c r="H162" s="9"/>
      <c r="I162" s="2"/>
      <c r="J162" s="2"/>
      <c r="K162" s="2"/>
      <c r="L162" s="2"/>
      <c r="M162" s="2"/>
      <c r="N162" s="2"/>
      <c r="O162" s="2"/>
      <c r="P162" s="2"/>
    </row>
    <row r="163">
      <c r="A163" s="3" t="s">
        <v>127</v>
      </c>
      <c r="B163" s="3" t="s">
        <v>39</v>
      </c>
      <c r="C163" s="3" t="s">
        <v>128</v>
      </c>
      <c r="D163" s="2">
        <f t="array" ref="D163">INDEX(covid, MATCH($A163, iso_code, 0), MATCH(D$1, columns, 0))</f>
        <v>4775</v>
      </c>
      <c r="E163" s="2">
        <f t="array" ref="E163">INDEX(covid, MATCH($A163, iso_code, 0), MATCH(E$1, columns, 0))</f>
        <v>84</v>
      </c>
      <c r="F163" s="2">
        <f t="array" ref="F163">INDEX(covid, MATCH($A163, iso_code, 0), MATCH(F$1, columns, 0))</f>
        <v>33938</v>
      </c>
      <c r="G163" s="2">
        <f t="array" ref="G163">INDEX(covid, MATCH($A163, iso_code, 0), MATCH(G$1, columns, 0))</f>
        <v>56861.47</v>
      </c>
      <c r="H163" s="9"/>
      <c r="I163" s="2"/>
      <c r="J163" s="2"/>
      <c r="K163" s="2"/>
      <c r="L163" s="2"/>
      <c r="M163" s="2"/>
      <c r="N163" s="2"/>
      <c r="O163" s="2"/>
      <c r="P163" s="2"/>
    </row>
    <row r="164">
      <c r="A164" s="3" t="s">
        <v>390</v>
      </c>
      <c r="B164" s="3" t="s">
        <v>145</v>
      </c>
      <c r="C164" s="3" t="s">
        <v>391</v>
      </c>
      <c r="D164" s="2" t="str">
        <f t="array" ref="D164">INDEX(covid, MATCH($A164, iso_code, 0), MATCH(D$1, columns, 0))</f>
        <v>#N/A</v>
      </c>
      <c r="E164" s="2" t="str">
        <f t="array" ref="E164">INDEX(covid, MATCH($A164, iso_code, 0), MATCH(E$1, columns, 0))</f>
        <v>#N/A</v>
      </c>
      <c r="F164" s="2" t="str">
        <f t="array" ref="F164">INDEX(covid, MATCH($A164, iso_code, 0), MATCH(F$1, columns, 0))</f>
        <v>#N/A</v>
      </c>
      <c r="G164" s="2" t="str">
        <f t="array" ref="G164">INDEX(covid, MATCH($A164, iso_code, 0), MATCH(G$1, columns, 0))</f>
        <v>#N/A</v>
      </c>
      <c r="H164" s="9"/>
      <c r="I164" s="2"/>
      <c r="J164" s="2"/>
      <c r="K164" s="2"/>
      <c r="L164" s="2"/>
      <c r="M164" s="2"/>
      <c r="N164" s="2"/>
      <c r="O164" s="2"/>
      <c r="P164" s="2"/>
    </row>
    <row r="165">
      <c r="A165" s="3" t="s">
        <v>392</v>
      </c>
      <c r="B165" s="3" t="s">
        <v>142</v>
      </c>
      <c r="C165" s="3" t="s">
        <v>393</v>
      </c>
      <c r="D165" s="2" t="str">
        <f t="array" ref="D165">INDEX(covid, MATCH($A165, iso_code, 0), MATCH(D$1, columns, 0))</f>
        <v>#N/A</v>
      </c>
      <c r="E165" s="2" t="str">
        <f t="array" ref="E165">INDEX(covid, MATCH($A165, iso_code, 0), MATCH(E$1, columns, 0))</f>
        <v>#N/A</v>
      </c>
      <c r="F165" s="2" t="str">
        <f t="array" ref="F165">INDEX(covid, MATCH($A165, iso_code, 0), MATCH(F$1, columns, 0))</f>
        <v>#N/A</v>
      </c>
      <c r="G165" s="2" t="str">
        <f t="array" ref="G165">INDEX(covid, MATCH($A165, iso_code, 0), MATCH(G$1, columns, 0))</f>
        <v>#N/A</v>
      </c>
      <c r="H165" s="9"/>
      <c r="I165" s="2"/>
      <c r="J165" s="2"/>
      <c r="K165" s="2"/>
      <c r="L165" s="2"/>
      <c r="M165" s="2"/>
      <c r="N165" s="2"/>
      <c r="O165" s="2"/>
      <c r="P165" s="2"/>
    </row>
    <row r="166">
      <c r="A166" s="3" t="s">
        <v>394</v>
      </c>
      <c r="B166" s="3" t="s">
        <v>145</v>
      </c>
      <c r="C166" s="3" t="s">
        <v>395</v>
      </c>
      <c r="D166" s="2" t="str">
        <f t="array" ref="D166">INDEX(covid, MATCH($A166, iso_code, 0), MATCH(D$1, columns, 0))</f>
        <v>#N/A</v>
      </c>
      <c r="E166" s="2" t="str">
        <f t="array" ref="E166">INDEX(covid, MATCH($A166, iso_code, 0), MATCH(E$1, columns, 0))</f>
        <v>#N/A</v>
      </c>
      <c r="F166" s="2" t="str">
        <f t="array" ref="F166">INDEX(covid, MATCH($A166, iso_code, 0), MATCH(F$1, columns, 0))</f>
        <v>#N/A</v>
      </c>
      <c r="G166" s="2" t="str">
        <f t="array" ref="G166">INDEX(covid, MATCH($A166, iso_code, 0), MATCH(G$1, columns, 0))</f>
        <v>#N/A</v>
      </c>
      <c r="H166" s="9"/>
      <c r="I166" s="2"/>
      <c r="J166" s="2"/>
      <c r="K166" s="2"/>
      <c r="L166" s="2"/>
      <c r="M166" s="2"/>
      <c r="N166" s="2"/>
      <c r="O166" s="2"/>
      <c r="P166" s="2"/>
    </row>
    <row r="167">
      <c r="A167" s="3" t="s">
        <v>129</v>
      </c>
      <c r="B167" s="3" t="s">
        <v>39</v>
      </c>
      <c r="C167" s="3" t="s">
        <v>130</v>
      </c>
      <c r="D167" s="2">
        <f t="array" ref="D167">INDEX(covid, MATCH($A167, iso_code, 0), MATCH(D$1, columns, 0))</f>
        <v>610232</v>
      </c>
      <c r="E167" s="2">
        <f t="array" ref="E167">INDEX(covid, MATCH($A167, iso_code, 0), MATCH(E$1, columns, 0))</f>
        <v>5384</v>
      </c>
      <c r="F167" s="2">
        <f t="array" ref="F167">INDEX(covid, MATCH($A167, iso_code, 0), MATCH(F$1, columns, 0))</f>
        <v>6804596</v>
      </c>
      <c r="G167" s="2">
        <f t="array" ref="G167">INDEX(covid, MATCH($A167, iso_code, 0), MATCH(G$1, columns, 0))</f>
        <v>14048.881</v>
      </c>
      <c r="H167" s="9"/>
      <c r="I167" s="2"/>
      <c r="J167" s="2"/>
      <c r="K167" s="2"/>
      <c r="L167" s="2"/>
      <c r="M167" s="2"/>
      <c r="N167" s="2"/>
      <c r="O167" s="2"/>
      <c r="P167" s="2"/>
    </row>
    <row r="168">
      <c r="A168" s="3" t="s">
        <v>396</v>
      </c>
      <c r="B168" s="3" t="s">
        <v>145</v>
      </c>
      <c r="C168" s="3" t="s">
        <v>397</v>
      </c>
      <c r="D168" s="2" t="str">
        <f t="array" ref="D168">INDEX(covid, MATCH($A168, iso_code, 0), MATCH(D$1, columns, 0))</f>
        <v>#N/A</v>
      </c>
      <c r="E168" s="2" t="str">
        <f t="array" ref="E168">INDEX(covid, MATCH($A168, iso_code, 0), MATCH(E$1, columns, 0))</f>
        <v>#N/A</v>
      </c>
      <c r="F168" s="2" t="str">
        <f t="array" ref="F168">INDEX(covid, MATCH($A168, iso_code, 0), MATCH(F$1, columns, 0))</f>
        <v>#N/A</v>
      </c>
      <c r="G168" s="2" t="str">
        <f t="array" ref="G168">INDEX(covid, MATCH($A168, iso_code, 0), MATCH(G$1, columns, 0))</f>
        <v>#N/A</v>
      </c>
      <c r="H168" s="9"/>
      <c r="I168" s="2"/>
      <c r="J168" s="2"/>
      <c r="K168" s="2"/>
      <c r="L168" s="2"/>
      <c r="M168" s="2"/>
      <c r="N168" s="2"/>
      <c r="O168" s="2"/>
      <c r="P168" s="2"/>
    </row>
    <row r="169">
      <c r="A169" s="3" t="s">
        <v>398</v>
      </c>
      <c r="B169" s="3" t="s">
        <v>145</v>
      </c>
      <c r="C169" s="3" t="s">
        <v>399</v>
      </c>
      <c r="D169" s="2" t="str">
        <f t="array" ref="D169">INDEX(covid, MATCH($A169, iso_code, 0), MATCH(D$1, columns, 0))</f>
        <v>#N/A</v>
      </c>
      <c r="E169" s="2" t="str">
        <f t="array" ref="E169">INDEX(covid, MATCH($A169, iso_code, 0), MATCH(E$1, columns, 0))</f>
        <v>#N/A</v>
      </c>
      <c r="F169" s="2" t="str">
        <f t="array" ref="F169">INDEX(covid, MATCH($A169, iso_code, 0), MATCH(F$1, columns, 0))</f>
        <v>#N/A</v>
      </c>
      <c r="G169" s="2" t="str">
        <f t="array" ref="G169">INDEX(covid, MATCH($A169, iso_code, 0), MATCH(G$1, columns, 0))</f>
        <v>#N/A</v>
      </c>
      <c r="H169" s="9"/>
      <c r="I169" s="2"/>
      <c r="J169" s="2"/>
      <c r="K169" s="2"/>
      <c r="L169" s="2"/>
      <c r="M169" s="2"/>
      <c r="N169" s="2"/>
      <c r="O169" s="2"/>
      <c r="P169" s="2"/>
    </row>
    <row r="170">
      <c r="A170" s="3" t="s">
        <v>400</v>
      </c>
      <c r="B170" s="3" t="s">
        <v>142</v>
      </c>
      <c r="C170" s="3" t="s">
        <v>401</v>
      </c>
      <c r="D170" s="2" t="str">
        <f t="array" ref="D170">INDEX(covid, MATCH($A170, iso_code, 0), MATCH(D$1, columns, 0))</f>
        <v>#N/A</v>
      </c>
      <c r="E170" s="2" t="str">
        <f t="array" ref="E170">INDEX(covid, MATCH($A170, iso_code, 0), MATCH(E$1, columns, 0))</f>
        <v>#N/A</v>
      </c>
      <c r="F170" s="2" t="str">
        <f t="array" ref="F170">INDEX(covid, MATCH($A170, iso_code, 0), MATCH(F$1, columns, 0))</f>
        <v>#N/A</v>
      </c>
      <c r="G170" s="2" t="str">
        <f t="array" ref="G170">INDEX(covid, MATCH($A170, iso_code, 0), MATCH(G$1, columns, 0))</f>
        <v>#N/A</v>
      </c>
      <c r="H170" s="9"/>
      <c r="I170" s="2"/>
      <c r="J170" s="2"/>
      <c r="K170" s="2"/>
      <c r="L170" s="2"/>
      <c r="M170" s="2"/>
      <c r="N170" s="2"/>
      <c r="O170" s="2"/>
      <c r="P170" s="2"/>
    </row>
    <row r="171">
      <c r="A171" s="3" t="s">
        <v>402</v>
      </c>
      <c r="B171" s="3" t="s">
        <v>150</v>
      </c>
      <c r="C171" s="3" t="s">
        <v>403</v>
      </c>
      <c r="D171" s="2" t="str">
        <f t="array" ref="D171">INDEX(covid, MATCH($A171, iso_code, 0), MATCH(D$1, columns, 0))</f>
        <v>#N/A</v>
      </c>
      <c r="E171" s="2" t="str">
        <f t="array" ref="E171">INDEX(covid, MATCH($A171, iso_code, 0), MATCH(E$1, columns, 0))</f>
        <v>#N/A</v>
      </c>
      <c r="F171" s="2" t="str">
        <f t="array" ref="F171">INDEX(covid, MATCH($A171, iso_code, 0), MATCH(F$1, columns, 0))</f>
        <v>#N/A</v>
      </c>
      <c r="G171" s="2" t="str">
        <f t="array" ref="G171">INDEX(covid, MATCH($A171, iso_code, 0), MATCH(G$1, columns, 0))</f>
        <v>#N/A</v>
      </c>
      <c r="H171" s="9"/>
      <c r="I171" s="2"/>
      <c r="J171" s="2"/>
      <c r="K171" s="2"/>
      <c r="L171" s="2"/>
      <c r="M171" s="2"/>
      <c r="N171" s="2"/>
      <c r="O171" s="2"/>
      <c r="P171" s="2"/>
    </row>
    <row r="172">
      <c r="A172" s="3" t="s">
        <v>131</v>
      </c>
      <c r="B172" s="3" t="s">
        <v>39</v>
      </c>
      <c r="C172" s="3" t="s">
        <v>132</v>
      </c>
      <c r="D172" s="2">
        <f t="array" ref="D172">INDEX(covid, MATCH($A172, iso_code, 0), MATCH(D$1, columns, 0))</f>
        <v>363874</v>
      </c>
      <c r="E172" s="2">
        <f t="array" ref="E172">INDEX(covid, MATCH($A172, iso_code, 0), MATCH(E$1, columns, 0))</f>
        <v>9877</v>
      </c>
      <c r="F172" s="2">
        <f t="array" ref="F172">INDEX(covid, MATCH($A172, iso_code, 0), MATCH(F$1, columns, 0))</f>
        <v>5459643</v>
      </c>
      <c r="G172" s="2">
        <f t="array" ref="G172">INDEX(covid, MATCH($A172, iso_code, 0), MATCH(G$1, columns, 0))</f>
        <v>30155.152</v>
      </c>
      <c r="H172" s="9"/>
      <c r="I172" s="2"/>
      <c r="J172" s="2"/>
      <c r="K172" s="2"/>
      <c r="L172" s="2"/>
      <c r="M172" s="2"/>
      <c r="N172" s="2"/>
      <c r="O172" s="2"/>
      <c r="P172" s="2"/>
    </row>
    <row r="173">
      <c r="A173" s="3" t="s">
        <v>133</v>
      </c>
      <c r="B173" s="3" t="s">
        <v>39</v>
      </c>
      <c r="C173" s="3" t="s">
        <v>134</v>
      </c>
      <c r="D173" s="2">
        <f t="array" ref="D173">INDEX(covid, MATCH($A173, iso_code, 0), MATCH(D$1, columns, 0))</f>
        <v>218114</v>
      </c>
      <c r="E173" s="2">
        <f t="array" ref="E173">INDEX(covid, MATCH($A173, iso_code, 0), MATCH(E$1, columns, 0))</f>
        <v>4063</v>
      </c>
      <c r="F173" s="2">
        <f t="array" ref="F173">INDEX(covid, MATCH($A173, iso_code, 0), MATCH(F$1, columns, 0))</f>
        <v>2078932</v>
      </c>
      <c r="G173" s="2">
        <f t="array" ref="G173">INDEX(covid, MATCH($A173, iso_code, 0), MATCH(G$1, columns, 0))</f>
        <v>31400.84</v>
      </c>
      <c r="H173" s="9"/>
      <c r="I173" s="2"/>
      <c r="J173" s="2"/>
      <c r="K173" s="2"/>
      <c r="L173" s="2"/>
      <c r="M173" s="2"/>
      <c r="N173" s="2"/>
      <c r="O173" s="2"/>
      <c r="P173" s="2"/>
    </row>
    <row r="174">
      <c r="A174" s="3" t="s">
        <v>404</v>
      </c>
      <c r="B174" s="3" t="s">
        <v>145</v>
      </c>
      <c r="C174" s="3" t="s">
        <v>405</v>
      </c>
      <c r="D174" s="2" t="str">
        <f t="array" ref="D174">INDEX(covid, MATCH($A174, iso_code, 0), MATCH(D$1, columns, 0))</f>
        <v>#N/A</v>
      </c>
      <c r="E174" s="2" t="str">
        <f t="array" ref="E174">INDEX(covid, MATCH($A174, iso_code, 0), MATCH(E$1, columns, 0))</f>
        <v>#N/A</v>
      </c>
      <c r="F174" s="2" t="str">
        <f t="array" ref="F174">INDEX(covid, MATCH($A174, iso_code, 0), MATCH(F$1, columns, 0))</f>
        <v>#N/A</v>
      </c>
      <c r="G174" s="2" t="str">
        <f t="array" ref="G174">INDEX(covid, MATCH($A174, iso_code, 0), MATCH(G$1, columns, 0))</f>
        <v>#N/A</v>
      </c>
      <c r="H174" s="9"/>
      <c r="I174" s="2"/>
      <c r="J174" s="2"/>
      <c r="K174" s="2"/>
      <c r="L174" s="2"/>
      <c r="M174" s="2"/>
      <c r="N174" s="2"/>
      <c r="O174" s="2"/>
      <c r="P174" s="2"/>
    </row>
    <row r="175">
      <c r="A175" s="3" t="s">
        <v>406</v>
      </c>
      <c r="B175" s="3" t="s">
        <v>145</v>
      </c>
      <c r="C175" s="3" t="s">
        <v>407</v>
      </c>
      <c r="D175" s="2" t="str">
        <f t="array" ref="D175">INDEX(covid, MATCH($A175, iso_code, 0), MATCH(D$1, columns, 0))</f>
        <v>#N/A</v>
      </c>
      <c r="E175" s="2" t="str">
        <f t="array" ref="E175">INDEX(covid, MATCH($A175, iso_code, 0), MATCH(E$1, columns, 0))</f>
        <v>#N/A</v>
      </c>
      <c r="F175" s="2" t="str">
        <f t="array" ref="F175">INDEX(covid, MATCH($A175, iso_code, 0), MATCH(F$1, columns, 0))</f>
        <v>#N/A</v>
      </c>
      <c r="G175" s="2" t="str">
        <f t="array" ref="G175">INDEX(covid, MATCH($A175, iso_code, 0), MATCH(G$1, columns, 0))</f>
        <v>#N/A</v>
      </c>
      <c r="H175" s="9"/>
      <c r="I175" s="2"/>
      <c r="J175" s="2"/>
      <c r="K175" s="2"/>
      <c r="L175" s="2"/>
      <c r="M175" s="2"/>
      <c r="N175" s="2"/>
      <c r="O175" s="2"/>
      <c r="P175" s="2"/>
    </row>
    <row r="176">
      <c r="A176" s="3" t="s">
        <v>408</v>
      </c>
      <c r="B176" s="3" t="s">
        <v>142</v>
      </c>
      <c r="C176" s="3" t="s">
        <v>409</v>
      </c>
      <c r="D176" s="2" t="str">
        <f t="array" ref="D176">INDEX(covid, MATCH($A176, iso_code, 0), MATCH(D$1, columns, 0))</f>
        <v>#N/A</v>
      </c>
      <c r="E176" s="2" t="str">
        <f t="array" ref="E176">INDEX(covid, MATCH($A176, iso_code, 0), MATCH(E$1, columns, 0))</f>
        <v>#N/A</v>
      </c>
      <c r="F176" s="2" t="str">
        <f t="array" ref="F176">INDEX(covid, MATCH($A176, iso_code, 0), MATCH(F$1, columns, 0))</f>
        <v>#N/A</v>
      </c>
      <c r="G176" s="2" t="str">
        <f t="array" ref="G176">INDEX(covid, MATCH($A176, iso_code, 0), MATCH(G$1, columns, 0))</f>
        <v>#N/A</v>
      </c>
      <c r="H176" s="9"/>
      <c r="I176" s="2"/>
      <c r="J176" s="2"/>
      <c r="K176" s="2"/>
      <c r="L176" s="2"/>
      <c r="M176" s="2"/>
      <c r="N176" s="2"/>
      <c r="O176" s="2"/>
      <c r="P176" s="2"/>
    </row>
    <row r="177">
      <c r="A177" s="3" t="s">
        <v>410</v>
      </c>
      <c r="B177" s="3" t="s">
        <v>145</v>
      </c>
      <c r="C177" s="3" t="s">
        <v>411</v>
      </c>
      <c r="D177" s="2" t="str">
        <f t="array" ref="D177">INDEX(covid, MATCH($A177, iso_code, 0), MATCH(D$1, columns, 0))</f>
        <v>#N/A</v>
      </c>
      <c r="E177" s="2" t="str">
        <f t="array" ref="E177">INDEX(covid, MATCH($A177, iso_code, 0), MATCH(E$1, columns, 0))</f>
        <v>#N/A</v>
      </c>
      <c r="F177" s="2" t="str">
        <f t="array" ref="F177">INDEX(covid, MATCH($A177, iso_code, 0), MATCH(F$1, columns, 0))</f>
        <v>#N/A</v>
      </c>
      <c r="G177" s="2" t="str">
        <f t="array" ref="G177">INDEX(covid, MATCH($A177, iso_code, 0), MATCH(G$1, columns, 0))</f>
        <v>#N/A</v>
      </c>
      <c r="H177" s="9"/>
      <c r="I177" s="2"/>
      <c r="J177" s="2"/>
      <c r="K177" s="2"/>
      <c r="L177" s="2"/>
      <c r="M177" s="2"/>
      <c r="N177" s="2"/>
      <c r="O177" s="2"/>
      <c r="P177" s="2"/>
    </row>
    <row r="178">
      <c r="A178" s="3" t="s">
        <v>63</v>
      </c>
      <c r="B178" s="3" t="s">
        <v>39</v>
      </c>
      <c r="C178" s="3" t="s">
        <v>64</v>
      </c>
      <c r="D178" s="2">
        <f t="array" ref="D178">INDEX(covid, MATCH($A178, iso_code, 0), MATCH(D$1, columns, 0))</f>
        <v>3291394</v>
      </c>
      <c r="E178" s="2">
        <f t="array" ref="E178">INDEX(covid, MATCH($A178, iso_code, 0), MATCH(E$1, columns, 0))</f>
        <v>75541</v>
      </c>
      <c r="F178" s="2">
        <f t="array" ref="F178">INDEX(covid, MATCH($A178, iso_code, 0), MATCH(F$1, columns, 0))</f>
        <v>46754783</v>
      </c>
      <c r="G178" s="2">
        <f t="array" ref="G178">INDEX(covid, MATCH($A178, iso_code, 0), MATCH(G$1, columns, 0))</f>
        <v>34272.36</v>
      </c>
      <c r="H178" s="9"/>
      <c r="I178" s="2"/>
      <c r="J178" s="2"/>
      <c r="K178" s="2"/>
      <c r="L178" s="2"/>
      <c r="M178" s="2"/>
      <c r="N178" s="2"/>
      <c r="O178" s="2"/>
      <c r="P178" s="2"/>
    </row>
    <row r="179">
      <c r="A179" s="3" t="s">
        <v>412</v>
      </c>
      <c r="B179" s="3" t="s">
        <v>142</v>
      </c>
      <c r="C179" s="3" t="s">
        <v>413</v>
      </c>
      <c r="D179" s="2" t="str">
        <f t="array" ref="D179">INDEX(covid, MATCH($A179, iso_code, 0), MATCH(D$1, columns, 0))</f>
        <v>#N/A</v>
      </c>
      <c r="E179" s="2" t="str">
        <f t="array" ref="E179">INDEX(covid, MATCH($A179, iso_code, 0), MATCH(E$1, columns, 0))</f>
        <v>#N/A</v>
      </c>
      <c r="F179" s="2" t="str">
        <f t="array" ref="F179">INDEX(covid, MATCH($A179, iso_code, 0), MATCH(F$1, columns, 0))</f>
        <v>#N/A</v>
      </c>
      <c r="G179" s="2" t="str">
        <f t="array" ref="G179">INDEX(covid, MATCH($A179, iso_code, 0), MATCH(G$1, columns, 0))</f>
        <v>#N/A</v>
      </c>
      <c r="H179" s="9"/>
      <c r="I179" s="2"/>
      <c r="J179" s="2"/>
      <c r="K179" s="2"/>
      <c r="L179" s="2"/>
      <c r="M179" s="2"/>
      <c r="N179" s="2"/>
      <c r="O179" s="2"/>
      <c r="P179" s="2"/>
    </row>
    <row r="180">
      <c r="A180" s="3" t="s">
        <v>414</v>
      </c>
      <c r="B180" s="3" t="s">
        <v>145</v>
      </c>
      <c r="C180" s="3" t="s">
        <v>415</v>
      </c>
      <c r="D180" s="2" t="str">
        <f t="array" ref="D180">INDEX(covid, MATCH($A180, iso_code, 0), MATCH(D$1, columns, 0))</f>
        <v>#N/A</v>
      </c>
      <c r="E180" s="2" t="str">
        <f t="array" ref="E180">INDEX(covid, MATCH($A180, iso_code, 0), MATCH(E$1, columns, 0))</f>
        <v>#N/A</v>
      </c>
      <c r="F180" s="2" t="str">
        <f t="array" ref="F180">INDEX(covid, MATCH($A180, iso_code, 0), MATCH(F$1, columns, 0))</f>
        <v>#N/A</v>
      </c>
      <c r="G180" s="2" t="str">
        <f t="array" ref="G180">INDEX(covid, MATCH($A180, iso_code, 0), MATCH(G$1, columns, 0))</f>
        <v>#N/A</v>
      </c>
      <c r="H180" s="9"/>
      <c r="I180" s="2"/>
      <c r="J180" s="2"/>
      <c r="K180" s="2"/>
      <c r="L180" s="2"/>
      <c r="M180" s="2"/>
      <c r="N180" s="2"/>
      <c r="O180" s="2"/>
      <c r="P180" s="2"/>
    </row>
    <row r="181">
      <c r="A181" s="3" t="s">
        <v>416</v>
      </c>
      <c r="B181" s="3" t="s">
        <v>155</v>
      </c>
      <c r="C181" s="3" t="s">
        <v>417</v>
      </c>
      <c r="D181" s="2" t="str">
        <f t="array" ref="D181">INDEX(covid, MATCH($A181, iso_code, 0), MATCH(D$1, columns, 0))</f>
        <v>#N/A</v>
      </c>
      <c r="E181" s="2" t="str">
        <f t="array" ref="E181">INDEX(covid, MATCH($A181, iso_code, 0), MATCH(E$1, columns, 0))</f>
        <v>#N/A</v>
      </c>
      <c r="F181" s="2" t="str">
        <f t="array" ref="F181">INDEX(covid, MATCH($A181, iso_code, 0), MATCH(F$1, columns, 0))</f>
        <v>#N/A</v>
      </c>
      <c r="G181" s="2" t="str">
        <f t="array" ref="G181">INDEX(covid, MATCH($A181, iso_code, 0), MATCH(G$1, columns, 0))</f>
        <v>#N/A</v>
      </c>
      <c r="H181" s="9"/>
      <c r="I181" s="2"/>
      <c r="J181" s="2"/>
      <c r="K181" s="2"/>
      <c r="L181" s="2"/>
      <c r="M181" s="2"/>
      <c r="N181" s="2"/>
      <c r="O181" s="2"/>
      <c r="P181" s="2"/>
    </row>
    <row r="182">
      <c r="A182" s="3" t="s">
        <v>418</v>
      </c>
      <c r="B182" s="3" t="s">
        <v>145</v>
      </c>
      <c r="C182" s="3" t="s">
        <v>419</v>
      </c>
      <c r="D182" s="2" t="str">
        <f t="array" ref="D182">INDEX(covid, MATCH($A182, iso_code, 0), MATCH(D$1, columns, 0))</f>
        <v>#N/A</v>
      </c>
      <c r="E182" s="2" t="str">
        <f t="array" ref="E182">INDEX(covid, MATCH($A182, iso_code, 0), MATCH(E$1, columns, 0))</f>
        <v>#N/A</v>
      </c>
      <c r="F182" s="2" t="str">
        <f t="array" ref="F182">INDEX(covid, MATCH($A182, iso_code, 0), MATCH(F$1, columns, 0))</f>
        <v>#N/A</v>
      </c>
      <c r="G182" s="2" t="str">
        <f t="array" ref="G182">INDEX(covid, MATCH($A182, iso_code, 0), MATCH(G$1, columns, 0))</f>
        <v>#N/A</v>
      </c>
      <c r="H182" s="9"/>
      <c r="I182" s="2"/>
      <c r="J182" s="2"/>
      <c r="K182" s="2"/>
      <c r="L182" s="2"/>
      <c r="M182" s="2"/>
      <c r="N182" s="2"/>
      <c r="O182" s="2"/>
      <c r="P182" s="2"/>
    </row>
    <row r="183">
      <c r="A183" s="3" t="s">
        <v>135</v>
      </c>
      <c r="B183" s="3" t="s">
        <v>39</v>
      </c>
      <c r="C183" s="3" t="s">
        <v>136</v>
      </c>
      <c r="D183" s="2">
        <f t="array" ref="D183">INDEX(covid, MATCH($A183, iso_code, 0), MATCH(D$1, columns, 0))</f>
        <v>813191</v>
      </c>
      <c r="E183" s="2">
        <f t="array" ref="E183">INDEX(covid, MATCH($A183, iso_code, 0), MATCH(E$1, columns, 0))</f>
        <v>13498</v>
      </c>
      <c r="F183" s="2">
        <f t="array" ref="F183">INDEX(covid, MATCH($A183, iso_code, 0), MATCH(F$1, columns, 0))</f>
        <v>10099270</v>
      </c>
      <c r="G183" s="2">
        <f t="array" ref="G183">INDEX(covid, MATCH($A183, iso_code, 0), MATCH(G$1, columns, 0))</f>
        <v>46949.283</v>
      </c>
      <c r="H183" s="9"/>
      <c r="I183" s="2"/>
      <c r="J183" s="2"/>
      <c r="K183" s="2"/>
      <c r="L183" s="2"/>
      <c r="M183" s="2"/>
      <c r="N183" s="2"/>
      <c r="O183" s="2"/>
      <c r="P183" s="2"/>
    </row>
    <row r="184">
      <c r="A184" s="3" t="s">
        <v>53</v>
      </c>
      <c r="B184" s="3" t="s">
        <v>39</v>
      </c>
      <c r="C184" s="3" t="s">
        <v>54</v>
      </c>
      <c r="D184" s="2">
        <f t="array" ref="D184">INDEX(covid, MATCH($A184, iso_code, 0), MATCH(D$1, columns, 0))</f>
        <v>605342</v>
      </c>
      <c r="E184" s="2">
        <f t="array" ref="E184">INDEX(covid, MATCH($A184, iso_code, 0), MATCH(E$1, columns, 0))</f>
        <v>10351</v>
      </c>
      <c r="F184" s="2">
        <f t="array" ref="F184">INDEX(covid, MATCH($A184, iso_code, 0), MATCH(F$1, columns, 0))</f>
        <v>8654618</v>
      </c>
      <c r="G184" s="2">
        <f t="array" ref="G184">INDEX(covid, MATCH($A184, iso_code, 0), MATCH(G$1, columns, 0))</f>
        <v>57410.166</v>
      </c>
      <c r="H184" s="9"/>
      <c r="I184" s="2"/>
      <c r="J184" s="2"/>
      <c r="K184" s="2"/>
      <c r="L184" s="2"/>
      <c r="M184" s="2"/>
      <c r="N184" s="2"/>
      <c r="O184" s="2"/>
      <c r="P184" s="2"/>
    </row>
    <row r="185">
      <c r="A185" s="3" t="s">
        <v>420</v>
      </c>
      <c r="B185" s="3" t="s">
        <v>142</v>
      </c>
      <c r="C185" s="3" t="s">
        <v>421</v>
      </c>
      <c r="D185" s="2" t="str">
        <f t="array" ref="D185">INDEX(covid, MATCH($A185, iso_code, 0), MATCH(D$1, columns, 0))</f>
        <v>#N/A</v>
      </c>
      <c r="E185" s="2" t="str">
        <f t="array" ref="E185">INDEX(covid, MATCH($A185, iso_code, 0), MATCH(E$1, columns, 0))</f>
        <v>#N/A</v>
      </c>
      <c r="F185" s="2" t="str">
        <f t="array" ref="F185">INDEX(covid, MATCH($A185, iso_code, 0), MATCH(F$1, columns, 0))</f>
        <v>#N/A</v>
      </c>
      <c r="G185" s="2" t="str">
        <f t="array" ref="G185">INDEX(covid, MATCH($A185, iso_code, 0), MATCH(G$1, columns, 0))</f>
        <v>#N/A</v>
      </c>
      <c r="H185" s="9"/>
      <c r="I185" s="2"/>
      <c r="J185" s="2"/>
      <c r="K185" s="2"/>
      <c r="L185" s="2"/>
      <c r="M185" s="2"/>
      <c r="N185" s="2"/>
      <c r="O185" s="2"/>
      <c r="P185" s="2"/>
    </row>
    <row r="186">
      <c r="A186" s="3" t="s">
        <v>422</v>
      </c>
      <c r="B186" s="3" t="s">
        <v>142</v>
      </c>
      <c r="C186" s="3" t="s">
        <v>423</v>
      </c>
      <c r="D186" s="2" t="str">
        <f t="array" ref="D186">INDEX(covid, MATCH($A186, iso_code, 0), MATCH(D$1, columns, 0))</f>
        <v>#N/A</v>
      </c>
      <c r="E186" s="2" t="str">
        <f t="array" ref="E186">INDEX(covid, MATCH($A186, iso_code, 0), MATCH(E$1, columns, 0))</f>
        <v>#N/A</v>
      </c>
      <c r="F186" s="2" t="str">
        <f t="array" ref="F186">INDEX(covid, MATCH($A186, iso_code, 0), MATCH(F$1, columns, 0))</f>
        <v>#N/A</v>
      </c>
      <c r="G186" s="2" t="str">
        <f t="array" ref="G186">INDEX(covid, MATCH($A186, iso_code, 0), MATCH(G$1, columns, 0))</f>
        <v>#N/A</v>
      </c>
      <c r="H186" s="9"/>
      <c r="I186" s="2"/>
      <c r="J186" s="2"/>
      <c r="K186" s="2"/>
      <c r="L186" s="2"/>
      <c r="M186" s="2"/>
      <c r="N186" s="2"/>
      <c r="O186" s="2"/>
      <c r="P186" s="2"/>
    </row>
    <row r="187">
      <c r="A187" s="3" t="s">
        <v>424</v>
      </c>
      <c r="B187" s="3" t="s">
        <v>142</v>
      </c>
      <c r="C187" s="3" t="s">
        <v>425</v>
      </c>
      <c r="D187" s="2" t="str">
        <f t="array" ref="D187">INDEX(covid, MATCH($A187, iso_code, 0), MATCH(D$1, columns, 0))</f>
        <v>#N/A</v>
      </c>
      <c r="E187" s="2" t="str">
        <f t="array" ref="E187">INDEX(covid, MATCH($A187, iso_code, 0), MATCH(E$1, columns, 0))</f>
        <v>#N/A</v>
      </c>
      <c r="F187" s="2" t="str">
        <f t="array" ref="F187">INDEX(covid, MATCH($A187, iso_code, 0), MATCH(F$1, columns, 0))</f>
        <v>#N/A</v>
      </c>
      <c r="G187" s="2" t="str">
        <f t="array" ref="G187">INDEX(covid, MATCH($A187, iso_code, 0), MATCH(G$1, columns, 0))</f>
        <v>#N/A</v>
      </c>
      <c r="H187" s="9"/>
      <c r="I187" s="2"/>
      <c r="J187" s="2"/>
      <c r="K187" s="2"/>
      <c r="L187" s="2"/>
      <c r="M187" s="2"/>
      <c r="N187" s="2"/>
      <c r="O187" s="2"/>
      <c r="P187" s="2"/>
    </row>
    <row r="188">
      <c r="A188" s="3" t="s">
        <v>426</v>
      </c>
      <c r="B188" s="3" t="s">
        <v>145</v>
      </c>
      <c r="C188" s="3" t="s">
        <v>427</v>
      </c>
      <c r="D188" s="2" t="str">
        <f t="array" ref="D188">INDEX(covid, MATCH($A188, iso_code, 0), MATCH(D$1, columns, 0))</f>
        <v>#N/A</v>
      </c>
      <c r="E188" s="2" t="str">
        <f t="array" ref="E188">INDEX(covid, MATCH($A188, iso_code, 0), MATCH(E$1, columns, 0))</f>
        <v>#N/A</v>
      </c>
      <c r="F188" s="2" t="str">
        <f t="array" ref="F188">INDEX(covid, MATCH($A188, iso_code, 0), MATCH(F$1, columns, 0))</f>
        <v>#N/A</v>
      </c>
      <c r="G188" s="2" t="str">
        <f t="array" ref="G188">INDEX(covid, MATCH($A188, iso_code, 0), MATCH(G$1, columns, 0))</f>
        <v>#N/A</v>
      </c>
      <c r="H188" s="9"/>
      <c r="I188" s="2"/>
      <c r="J188" s="2"/>
      <c r="K188" s="2"/>
      <c r="L188" s="2"/>
      <c r="M188" s="2"/>
      <c r="N188" s="2"/>
      <c r="O188" s="2"/>
      <c r="P188" s="2"/>
    </row>
    <row r="189">
      <c r="A189" s="3" t="s">
        <v>428</v>
      </c>
      <c r="B189" s="3" t="s">
        <v>142</v>
      </c>
      <c r="C189" s="3" t="s">
        <v>429</v>
      </c>
      <c r="D189" s="2" t="str">
        <f t="array" ref="D189">INDEX(covid, MATCH($A189, iso_code, 0), MATCH(D$1, columns, 0))</f>
        <v>#N/A</v>
      </c>
      <c r="E189" s="2" t="str">
        <f t="array" ref="E189">INDEX(covid, MATCH($A189, iso_code, 0), MATCH(E$1, columns, 0))</f>
        <v>#N/A</v>
      </c>
      <c r="F189" s="2" t="str">
        <f t="array" ref="F189">INDEX(covid, MATCH($A189, iso_code, 0), MATCH(F$1, columns, 0))</f>
        <v>#N/A</v>
      </c>
      <c r="G189" s="2" t="str">
        <f t="array" ref="G189">INDEX(covid, MATCH($A189, iso_code, 0), MATCH(G$1, columns, 0))</f>
        <v>#N/A</v>
      </c>
      <c r="H189" s="9"/>
      <c r="I189" s="2"/>
      <c r="J189" s="2"/>
      <c r="K189" s="2"/>
      <c r="L189" s="2"/>
      <c r="M189" s="2"/>
      <c r="N189" s="2"/>
      <c r="O189" s="2"/>
      <c r="P189" s="2"/>
    </row>
    <row r="190">
      <c r="A190" s="3" t="s">
        <v>430</v>
      </c>
      <c r="B190" s="3" t="s">
        <v>142</v>
      </c>
      <c r="C190" s="3" t="s">
        <v>431</v>
      </c>
      <c r="D190" s="2" t="str">
        <f t="array" ref="D190">INDEX(covid, MATCH($A190, iso_code, 0), MATCH(D$1, columns, 0))</f>
        <v>#N/A</v>
      </c>
      <c r="E190" s="2" t="str">
        <f t="array" ref="E190">INDEX(covid, MATCH($A190, iso_code, 0), MATCH(E$1, columns, 0))</f>
        <v>#N/A</v>
      </c>
      <c r="F190" s="2" t="str">
        <f t="array" ref="F190">INDEX(covid, MATCH($A190, iso_code, 0), MATCH(F$1, columns, 0))</f>
        <v>#N/A</v>
      </c>
      <c r="G190" s="2" t="str">
        <f t="array" ref="G190">INDEX(covid, MATCH($A190, iso_code, 0), MATCH(G$1, columns, 0))</f>
        <v>#N/A</v>
      </c>
      <c r="H190" s="9"/>
      <c r="I190" s="2"/>
      <c r="J190" s="2"/>
      <c r="K190" s="2"/>
      <c r="L190" s="2"/>
      <c r="M190" s="2"/>
      <c r="N190" s="2"/>
      <c r="O190" s="2"/>
      <c r="P190" s="2"/>
    </row>
    <row r="191">
      <c r="A191" s="3" t="s">
        <v>432</v>
      </c>
      <c r="B191" s="3" t="s">
        <v>145</v>
      </c>
      <c r="C191" s="3" t="s">
        <v>433</v>
      </c>
      <c r="D191" s="2" t="str">
        <f t="array" ref="D191">INDEX(covid, MATCH($A191, iso_code, 0), MATCH(D$1, columns, 0))</f>
        <v>#N/A</v>
      </c>
      <c r="E191" s="2" t="str">
        <f t="array" ref="E191">INDEX(covid, MATCH($A191, iso_code, 0), MATCH(E$1, columns, 0))</f>
        <v>#N/A</v>
      </c>
      <c r="F191" s="2" t="str">
        <f t="array" ref="F191">INDEX(covid, MATCH($A191, iso_code, 0), MATCH(F$1, columns, 0))</f>
        <v>#N/A</v>
      </c>
      <c r="G191" s="2" t="str">
        <f t="array" ref="G191">INDEX(covid, MATCH($A191, iso_code, 0), MATCH(G$1, columns, 0))</f>
        <v>#N/A</v>
      </c>
      <c r="H191" s="9"/>
      <c r="I191" s="2"/>
      <c r="J191" s="2"/>
      <c r="K191" s="2"/>
      <c r="L191" s="2"/>
      <c r="M191" s="2"/>
      <c r="N191" s="2"/>
      <c r="O191" s="2"/>
      <c r="P191" s="2"/>
    </row>
    <row r="192">
      <c r="A192" s="3" t="s">
        <v>434</v>
      </c>
      <c r="B192" s="3" t="s">
        <v>150</v>
      </c>
      <c r="C192" s="3" t="s">
        <v>435</v>
      </c>
      <c r="D192" s="2" t="str">
        <f t="array" ref="D192">INDEX(covid, MATCH($A192, iso_code, 0), MATCH(D$1, columns, 0))</f>
        <v>#N/A</v>
      </c>
      <c r="E192" s="2" t="str">
        <f t="array" ref="E192">INDEX(covid, MATCH($A192, iso_code, 0), MATCH(E$1, columns, 0))</f>
        <v>#N/A</v>
      </c>
      <c r="F192" s="2" t="str">
        <f t="array" ref="F192">INDEX(covid, MATCH($A192, iso_code, 0), MATCH(F$1, columns, 0))</f>
        <v>#N/A</v>
      </c>
      <c r="G192" s="2" t="str">
        <f t="array" ref="G192">INDEX(covid, MATCH($A192, iso_code, 0), MATCH(G$1, columns, 0))</f>
        <v>#N/A</v>
      </c>
      <c r="H192" s="9"/>
      <c r="I192" s="2"/>
      <c r="J192" s="2"/>
      <c r="K192" s="2"/>
      <c r="L192" s="2"/>
      <c r="M192" s="2"/>
      <c r="N192" s="2"/>
      <c r="O192" s="2"/>
      <c r="P192" s="2"/>
    </row>
    <row r="193">
      <c r="A193" s="3" t="s">
        <v>436</v>
      </c>
      <c r="B193" s="3" t="s">
        <v>145</v>
      </c>
      <c r="C193" s="3" t="s">
        <v>437</v>
      </c>
      <c r="D193" s="2" t="str">
        <f t="array" ref="D193">INDEX(covid, MATCH($A193, iso_code, 0), MATCH(D$1, columns, 0))</f>
        <v>#N/A</v>
      </c>
      <c r="E193" s="2" t="str">
        <f t="array" ref="E193">INDEX(covid, MATCH($A193, iso_code, 0), MATCH(E$1, columns, 0))</f>
        <v>#N/A</v>
      </c>
      <c r="F193" s="2" t="str">
        <f t="array" ref="F193">INDEX(covid, MATCH($A193, iso_code, 0), MATCH(F$1, columns, 0))</f>
        <v>#N/A</v>
      </c>
      <c r="G193" s="2" t="str">
        <f t="array" ref="G193">INDEX(covid, MATCH($A193, iso_code, 0), MATCH(G$1, columns, 0))</f>
        <v>#N/A</v>
      </c>
      <c r="H193" s="9"/>
      <c r="I193" s="2"/>
      <c r="J193" s="2"/>
      <c r="K193" s="2"/>
      <c r="L193" s="2"/>
      <c r="M193" s="2"/>
      <c r="N193" s="2"/>
      <c r="O193" s="2"/>
      <c r="P193" s="2"/>
    </row>
    <row r="194">
      <c r="A194" s="3" t="s">
        <v>438</v>
      </c>
      <c r="B194" s="3" t="s">
        <v>142</v>
      </c>
      <c r="C194" s="3" t="s">
        <v>439</v>
      </c>
      <c r="D194" s="2" t="str">
        <f t="array" ref="D194">INDEX(covid, MATCH($A194, iso_code, 0), MATCH(D$1, columns, 0))</f>
        <v>#N/A</v>
      </c>
      <c r="E194" s="2" t="str">
        <f t="array" ref="E194">INDEX(covid, MATCH($A194, iso_code, 0), MATCH(E$1, columns, 0))</f>
        <v>#N/A</v>
      </c>
      <c r="F194" s="2" t="str">
        <f t="array" ref="F194">INDEX(covid, MATCH($A194, iso_code, 0), MATCH(F$1, columns, 0))</f>
        <v>#N/A</v>
      </c>
      <c r="G194" s="2" t="str">
        <f t="array" ref="G194">INDEX(covid, MATCH($A194, iso_code, 0), MATCH(G$1, columns, 0))</f>
        <v>#N/A</v>
      </c>
      <c r="H194" s="9"/>
      <c r="I194" s="2"/>
      <c r="J194" s="2"/>
      <c r="K194" s="2"/>
      <c r="L194" s="2"/>
      <c r="M194" s="2"/>
      <c r="N194" s="2"/>
      <c r="O194" s="2"/>
      <c r="P194" s="2"/>
    </row>
    <row r="195">
      <c r="A195" s="3" t="s">
        <v>440</v>
      </c>
      <c r="B195" s="3" t="s">
        <v>150</v>
      </c>
      <c r="C195" s="3" t="s">
        <v>441</v>
      </c>
      <c r="D195" s="2" t="str">
        <f t="array" ref="D195">INDEX(covid, MATCH($A195, iso_code, 0), MATCH(D$1, columns, 0))</f>
        <v>#N/A</v>
      </c>
      <c r="E195" s="2" t="str">
        <f t="array" ref="E195">INDEX(covid, MATCH($A195, iso_code, 0), MATCH(E$1, columns, 0))</f>
        <v>#N/A</v>
      </c>
      <c r="F195" s="2" t="str">
        <f t="array" ref="F195">INDEX(covid, MATCH($A195, iso_code, 0), MATCH(F$1, columns, 0))</f>
        <v>#N/A</v>
      </c>
      <c r="G195" s="2" t="str">
        <f t="array" ref="G195">INDEX(covid, MATCH($A195, iso_code, 0), MATCH(G$1, columns, 0))</f>
        <v>#N/A</v>
      </c>
      <c r="H195" s="9"/>
      <c r="I195" s="2"/>
      <c r="J195" s="2"/>
      <c r="K195" s="2"/>
      <c r="L195" s="2"/>
      <c r="M195" s="2"/>
      <c r="N195" s="2"/>
      <c r="O195" s="2"/>
      <c r="P195" s="2"/>
    </row>
    <row r="196">
      <c r="A196" s="3" t="s">
        <v>442</v>
      </c>
      <c r="B196" s="3" t="s">
        <v>145</v>
      </c>
      <c r="C196" s="3" t="s">
        <v>443</v>
      </c>
      <c r="D196" s="2" t="str">
        <f t="array" ref="D196">INDEX(covid, MATCH($A196, iso_code, 0), MATCH(D$1, columns, 0))</f>
        <v>#N/A</v>
      </c>
      <c r="E196" s="2" t="str">
        <f t="array" ref="E196">INDEX(covid, MATCH($A196, iso_code, 0), MATCH(E$1, columns, 0))</f>
        <v>#N/A</v>
      </c>
      <c r="F196" s="2" t="str">
        <f t="array" ref="F196">INDEX(covid, MATCH($A196, iso_code, 0), MATCH(F$1, columns, 0))</f>
        <v>#N/A</v>
      </c>
      <c r="G196" s="2" t="str">
        <f t="array" ref="G196">INDEX(covid, MATCH($A196, iso_code, 0), MATCH(G$1, columns, 0))</f>
        <v>#N/A</v>
      </c>
      <c r="H196" s="9"/>
      <c r="I196" s="2"/>
      <c r="J196" s="2"/>
      <c r="K196" s="2"/>
      <c r="L196" s="2"/>
      <c r="M196" s="2"/>
      <c r="N196" s="2"/>
      <c r="O196" s="2"/>
      <c r="P196" s="2"/>
    </row>
    <row r="197">
      <c r="A197" s="3" t="s">
        <v>137</v>
      </c>
      <c r="B197" s="3" t="s">
        <v>39</v>
      </c>
      <c r="C197" s="3" t="s">
        <v>138</v>
      </c>
      <c r="D197" s="2">
        <f t="array" ref="D197">INDEX(covid, MATCH($A197, iso_code, 0), MATCH(D$1, columns, 0))</f>
        <v>1762713</v>
      </c>
      <c r="E197" s="2">
        <f t="array" ref="E197">INDEX(covid, MATCH($A197, iso_code, 0), MATCH(E$1, columns, 0))</f>
        <v>35326</v>
      </c>
      <c r="F197" s="2">
        <f t="array" ref="F197">INDEX(covid, MATCH($A197, iso_code, 0), MATCH(F$1, columns, 0))</f>
        <v>43733759</v>
      </c>
      <c r="G197" s="2">
        <f t="array" ref="G197">INDEX(covid, MATCH($A197, iso_code, 0), MATCH(G$1, columns, 0))</f>
        <v>7894.393</v>
      </c>
      <c r="H197" s="9"/>
      <c r="I197" s="2"/>
      <c r="J197" s="2"/>
      <c r="K197" s="2"/>
      <c r="L197" s="2"/>
      <c r="M197" s="2"/>
      <c r="N197" s="2"/>
      <c r="O197" s="2"/>
      <c r="P197" s="2"/>
    </row>
    <row r="198">
      <c r="A198" s="3" t="s">
        <v>444</v>
      </c>
      <c r="B198" s="3" t="s">
        <v>142</v>
      </c>
      <c r="C198" s="3" t="s">
        <v>445</v>
      </c>
      <c r="D198" s="2" t="str">
        <f t="array" ref="D198">INDEX(covid, MATCH($A198, iso_code, 0), MATCH(D$1, columns, 0))</f>
        <v>#N/A</v>
      </c>
      <c r="E198" s="2" t="str">
        <f t="array" ref="E198">INDEX(covid, MATCH($A198, iso_code, 0), MATCH(E$1, columns, 0))</f>
        <v>#N/A</v>
      </c>
      <c r="F198" s="2" t="str">
        <f t="array" ref="F198">INDEX(covid, MATCH($A198, iso_code, 0), MATCH(F$1, columns, 0))</f>
        <v>#N/A</v>
      </c>
      <c r="G198" s="2" t="str">
        <f t="array" ref="G198">INDEX(covid, MATCH($A198, iso_code, 0), MATCH(G$1, columns, 0))</f>
        <v>#N/A</v>
      </c>
      <c r="H198" s="9"/>
      <c r="I198" s="2"/>
      <c r="J198" s="2"/>
      <c r="K198" s="2"/>
      <c r="L198" s="2"/>
      <c r="M198" s="2"/>
      <c r="N198" s="2"/>
      <c r="O198" s="2"/>
      <c r="P198" s="2"/>
    </row>
    <row r="199">
      <c r="A199" s="3" t="s">
        <v>73</v>
      </c>
      <c r="B199" s="3" t="s">
        <v>39</v>
      </c>
      <c r="C199" s="3" t="s">
        <v>74</v>
      </c>
      <c r="D199" s="2">
        <f t="array" ref="D199">INDEX(covid, MATCH($A199, iso_code, 0), MATCH(D$1, columns, 0))</f>
        <v>4367969</v>
      </c>
      <c r="E199" s="2">
        <f t="array" ref="E199">INDEX(covid, MATCH($A199, iso_code, 0), MATCH(E$1, columns, 0))</f>
        <v>127058</v>
      </c>
      <c r="F199" s="2">
        <f t="array" ref="F199">INDEX(covid, MATCH($A199, iso_code, 0), MATCH(F$1, columns, 0))</f>
        <v>67886004</v>
      </c>
      <c r="G199" s="2">
        <f t="array" ref="G199">INDEX(covid, MATCH($A199, iso_code, 0), MATCH(G$1, columns, 0))</f>
        <v>39753.244</v>
      </c>
      <c r="H199" s="9"/>
      <c r="I199" s="2"/>
      <c r="J199" s="2"/>
      <c r="K199" s="2"/>
      <c r="L199" s="2"/>
      <c r="M199" s="2"/>
      <c r="N199" s="2"/>
      <c r="O199" s="2"/>
      <c r="P199" s="2"/>
    </row>
    <row r="200">
      <c r="A200" s="3" t="s">
        <v>446</v>
      </c>
      <c r="B200" s="3" t="s">
        <v>150</v>
      </c>
      <c r="C200" s="3" t="s">
        <v>447</v>
      </c>
      <c r="D200" s="2" t="str">
        <f t="array" ref="D200">INDEX(covid, MATCH($A200, iso_code, 0), MATCH(D$1, columns, 0))</f>
        <v>#N/A</v>
      </c>
      <c r="E200" s="2" t="str">
        <f t="array" ref="E200">INDEX(covid, MATCH($A200, iso_code, 0), MATCH(E$1, columns, 0))</f>
        <v>#N/A</v>
      </c>
      <c r="F200" s="2" t="str">
        <f t="array" ref="F200">INDEX(covid, MATCH($A200, iso_code, 0), MATCH(F$1, columns, 0))</f>
        <v>#N/A</v>
      </c>
      <c r="G200" s="2" t="str">
        <f t="array" ref="G200">INDEX(covid, MATCH($A200, iso_code, 0), MATCH(G$1, columns, 0))</f>
        <v>#N/A</v>
      </c>
      <c r="H200" s="9"/>
      <c r="I200" s="2"/>
      <c r="J200" s="2"/>
      <c r="K200" s="2"/>
      <c r="L200" s="2"/>
      <c r="M200" s="2"/>
      <c r="N200" s="2"/>
      <c r="O200" s="2"/>
      <c r="P200" s="2"/>
    </row>
    <row r="201">
      <c r="A201" s="3" t="s">
        <v>448</v>
      </c>
      <c r="B201" s="3" t="s">
        <v>150</v>
      </c>
      <c r="C201" s="3" t="s">
        <v>449</v>
      </c>
      <c r="D201" s="2" t="str">
        <f t="array" ref="D201">INDEX(covid, MATCH($A201, iso_code, 0), MATCH(D$1, columns, 0))</f>
        <v>#N/A</v>
      </c>
      <c r="E201" s="2" t="str">
        <f t="array" ref="E201">INDEX(covid, MATCH($A201, iso_code, 0), MATCH(E$1, columns, 0))</f>
        <v>#N/A</v>
      </c>
      <c r="F201" s="2" t="str">
        <f t="array" ref="F201">INDEX(covid, MATCH($A201, iso_code, 0), MATCH(F$1, columns, 0))</f>
        <v>#N/A</v>
      </c>
      <c r="G201" s="2" t="str">
        <f t="array" ref="G201">INDEX(covid, MATCH($A201, iso_code, 0), MATCH(G$1, columns, 0))</f>
        <v>#N/A</v>
      </c>
      <c r="H201" s="9"/>
      <c r="I201" s="2"/>
      <c r="J201" s="2"/>
      <c r="K201" s="2"/>
      <c r="L201" s="2"/>
      <c r="M201" s="2"/>
      <c r="N201" s="2"/>
      <c r="O201" s="2"/>
      <c r="P201" s="2"/>
    </row>
    <row r="202">
      <c r="A202" s="3" t="s">
        <v>450</v>
      </c>
      <c r="B202" s="3" t="s">
        <v>155</v>
      </c>
      <c r="C202" s="3" t="s">
        <v>451</v>
      </c>
      <c r="D202" s="2" t="str">
        <f t="array" ref="D202">INDEX(covid, MATCH($A202, iso_code, 0), MATCH(D$1, columns, 0))</f>
        <v>#N/A</v>
      </c>
      <c r="E202" s="2" t="str">
        <f t="array" ref="E202">INDEX(covid, MATCH($A202, iso_code, 0), MATCH(E$1, columns, 0))</f>
        <v>#N/A</v>
      </c>
      <c r="F202" s="2" t="str">
        <f t="array" ref="F202">INDEX(covid, MATCH($A202, iso_code, 0), MATCH(F$1, columns, 0))</f>
        <v>#N/A</v>
      </c>
      <c r="G202" s="2" t="str">
        <f t="array" ref="G202">INDEX(covid, MATCH($A202, iso_code, 0), MATCH(G$1, columns, 0))</f>
        <v>#N/A</v>
      </c>
      <c r="H202" s="9"/>
      <c r="I202" s="2"/>
      <c r="J202" s="2"/>
      <c r="K202" s="2"/>
      <c r="L202" s="2"/>
      <c r="M202" s="2"/>
      <c r="N202" s="2"/>
      <c r="O202" s="2"/>
      <c r="P202" s="2"/>
    </row>
    <row r="203">
      <c r="A203" s="3" t="s">
        <v>452</v>
      </c>
      <c r="B203" s="3" t="s">
        <v>142</v>
      </c>
      <c r="C203" s="3" t="s">
        <v>453</v>
      </c>
      <c r="D203" s="2" t="str">
        <f t="array" ref="D203">INDEX(covid, MATCH($A203, iso_code, 0), MATCH(D$1, columns, 0))</f>
        <v>#N/A</v>
      </c>
      <c r="E203" s="2" t="str">
        <f t="array" ref="E203">INDEX(covid, MATCH($A203, iso_code, 0), MATCH(E$1, columns, 0))</f>
        <v>#N/A</v>
      </c>
      <c r="F203" s="2" t="str">
        <f t="array" ref="F203">INDEX(covid, MATCH($A203, iso_code, 0), MATCH(F$1, columns, 0))</f>
        <v>#N/A</v>
      </c>
      <c r="G203" s="2" t="str">
        <f t="array" ref="G203">INDEX(covid, MATCH($A203, iso_code, 0), MATCH(G$1, columns, 0))</f>
        <v>#N/A</v>
      </c>
      <c r="H203" s="9"/>
      <c r="I203" s="2"/>
      <c r="J203" s="2"/>
      <c r="K203" s="2"/>
      <c r="L203" s="2"/>
      <c r="M203" s="2"/>
      <c r="N203" s="2"/>
      <c r="O203" s="2"/>
      <c r="P203" s="2"/>
    </row>
    <row r="204">
      <c r="A204" s="3" t="s">
        <v>139</v>
      </c>
      <c r="B204" s="3" t="s">
        <v>39</v>
      </c>
      <c r="C204" s="3" t="s">
        <v>140</v>
      </c>
      <c r="D204" s="2" t="str">
        <f t="array" ref="D204">INDEX(covid, MATCH($A204, iso_code, 0), MATCH(D$1, columns, 0))</f>
        <v>#N/A</v>
      </c>
      <c r="E204" s="2" t="str">
        <f t="array" ref="E204">INDEX(covid, MATCH($A204, iso_code, 0), MATCH(E$1, columns, 0))</f>
        <v>#N/A</v>
      </c>
      <c r="F204" s="2" t="str">
        <f t="array" ref="F204">INDEX(covid, MATCH($A204, iso_code, 0), MATCH(F$1, columns, 0))</f>
        <v>#N/A</v>
      </c>
      <c r="G204" s="2" t="str">
        <f t="array" ref="G204">INDEX(covid, MATCH($A204, iso_code, 0), MATCH(G$1, columns, 0))</f>
        <v>#N/A</v>
      </c>
      <c r="H204" s="9"/>
      <c r="I204" s="2"/>
      <c r="J204" s="2"/>
      <c r="K204" s="2"/>
      <c r="L204" s="2"/>
      <c r="M204" s="2"/>
      <c r="N204" s="2"/>
      <c r="O204" s="2"/>
      <c r="P204" s="2"/>
    </row>
    <row r="205">
      <c r="A205" s="3" t="s">
        <v>454</v>
      </c>
      <c r="B205" s="3" t="s">
        <v>155</v>
      </c>
      <c r="C205" s="3" t="s">
        <v>455</v>
      </c>
      <c r="D205" s="2" t="str">
        <f t="array" ref="D205">INDEX(covid, MATCH($A205, iso_code, 0), MATCH(D$1, columns, 0))</f>
        <v>#N/A</v>
      </c>
      <c r="E205" s="2" t="str">
        <f t="array" ref="E205">INDEX(covid, MATCH($A205, iso_code, 0), MATCH(E$1, columns, 0))</f>
        <v>#N/A</v>
      </c>
      <c r="F205" s="2" t="str">
        <f t="array" ref="F205">INDEX(covid, MATCH($A205, iso_code, 0), MATCH(F$1, columns, 0))</f>
        <v>#N/A</v>
      </c>
      <c r="G205" s="2" t="str">
        <f t="array" ref="G205">INDEX(covid, MATCH($A205, iso_code, 0), MATCH(G$1, columns, 0))</f>
        <v>#N/A</v>
      </c>
      <c r="H205" s="9"/>
      <c r="I205" s="2"/>
      <c r="J205" s="2"/>
      <c r="K205" s="2"/>
      <c r="L205" s="2"/>
      <c r="M205" s="2"/>
      <c r="N205" s="2"/>
      <c r="O205" s="2"/>
      <c r="P205" s="2"/>
    </row>
    <row r="206">
      <c r="A206" s="3" t="s">
        <v>456</v>
      </c>
      <c r="B206" s="3" t="s">
        <v>142</v>
      </c>
      <c r="C206" s="3" t="s">
        <v>457</v>
      </c>
      <c r="D206" s="2" t="str">
        <f t="array" ref="D206">INDEX(covid, MATCH($A206, iso_code, 0), MATCH(D$1, columns, 0))</f>
        <v>#N/A</v>
      </c>
      <c r="E206" s="2" t="str">
        <f t="array" ref="E206">INDEX(covid, MATCH($A206, iso_code, 0), MATCH(E$1, columns, 0))</f>
        <v>#N/A</v>
      </c>
      <c r="F206" s="2" t="str">
        <f t="array" ref="F206">INDEX(covid, MATCH($A206, iso_code, 0), MATCH(F$1, columns, 0))</f>
        <v>#N/A</v>
      </c>
      <c r="G206" s="2" t="str">
        <f t="array" ref="G206">INDEX(covid, MATCH($A206, iso_code, 0), MATCH(G$1, columns, 0))</f>
        <v>#N/A</v>
      </c>
      <c r="H206" s="9"/>
      <c r="I206" s="2"/>
      <c r="J206" s="2"/>
      <c r="K206" s="2"/>
      <c r="L206" s="2"/>
      <c r="M206" s="2"/>
      <c r="N206" s="2"/>
      <c r="O206" s="2"/>
      <c r="P206" s="2"/>
    </row>
    <row r="207">
      <c r="A207" s="3" t="s">
        <v>458</v>
      </c>
      <c r="B207" s="3" t="s">
        <v>145</v>
      </c>
      <c r="C207" s="3" t="s">
        <v>459</v>
      </c>
      <c r="D207" s="2" t="str">
        <f t="array" ref="D207">INDEX(covid, MATCH($A207, iso_code, 0), MATCH(D$1, columns, 0))</f>
        <v>#N/A</v>
      </c>
      <c r="E207" s="2" t="str">
        <f t="array" ref="E207">INDEX(covid, MATCH($A207, iso_code, 0), MATCH(E$1, columns, 0))</f>
        <v>#N/A</v>
      </c>
      <c r="F207" s="2" t="str">
        <f t="array" ref="F207">INDEX(covid, MATCH($A207, iso_code, 0), MATCH(F$1, columns, 0))</f>
        <v>#N/A</v>
      </c>
      <c r="G207" s="2" t="str">
        <f t="array" ref="G207">INDEX(covid, MATCH($A207, iso_code, 0), MATCH(G$1, columns, 0))</f>
        <v>#N/A</v>
      </c>
      <c r="H207" s="9"/>
      <c r="I207" s="2"/>
      <c r="J207" s="2"/>
      <c r="K207" s="2"/>
      <c r="L207" s="2"/>
      <c r="M207" s="2"/>
      <c r="N207" s="2"/>
      <c r="O207" s="2"/>
      <c r="P207" s="2"/>
    </row>
    <row r="208">
      <c r="A208" s="3" t="s">
        <v>460</v>
      </c>
      <c r="B208" s="3" t="s">
        <v>142</v>
      </c>
      <c r="C208" s="3" t="s">
        <v>461</v>
      </c>
      <c r="D208" s="2" t="str">
        <f t="array" ref="D208">INDEX(covid, MATCH($A208, iso_code, 0), MATCH(D$1, columns, 0))</f>
        <v>#N/A</v>
      </c>
      <c r="E208" s="2" t="str">
        <f t="array" ref="E208">INDEX(covid, MATCH($A208, iso_code, 0), MATCH(E$1, columns, 0))</f>
        <v>#N/A</v>
      </c>
      <c r="F208" s="2" t="str">
        <f t="array" ref="F208">INDEX(covid, MATCH($A208, iso_code, 0), MATCH(F$1, columns, 0))</f>
        <v>#N/A</v>
      </c>
      <c r="G208" s="2" t="str">
        <f t="array" ref="G208">INDEX(covid, MATCH($A208, iso_code, 0), MATCH(G$1, columns, 0))</f>
        <v>#N/A</v>
      </c>
      <c r="H208" s="9"/>
      <c r="I208" s="2"/>
      <c r="J208" s="2"/>
      <c r="K208" s="2"/>
      <c r="L208" s="2"/>
      <c r="M208" s="2"/>
      <c r="N208" s="2"/>
      <c r="O208" s="2"/>
      <c r="P208" s="2"/>
    </row>
    <row r="209">
      <c r="A209" s="3" t="s">
        <v>462</v>
      </c>
      <c r="B209" s="3" t="s">
        <v>145</v>
      </c>
      <c r="C209" s="3" t="s">
        <v>463</v>
      </c>
      <c r="D209" s="2" t="str">
        <f t="array" ref="D209">INDEX(covid, MATCH($A209, iso_code, 0), MATCH(D$1, columns, 0))</f>
        <v>#N/A</v>
      </c>
      <c r="E209" s="2" t="str">
        <f t="array" ref="E209">INDEX(covid, MATCH($A209, iso_code, 0), MATCH(E$1, columns, 0))</f>
        <v>#N/A</v>
      </c>
      <c r="F209" s="2" t="str">
        <f t="array" ref="F209">INDEX(covid, MATCH($A209, iso_code, 0), MATCH(F$1, columns, 0))</f>
        <v>#N/A</v>
      </c>
      <c r="G209" s="2" t="str">
        <f t="array" ref="G209">INDEX(covid, MATCH($A209, iso_code, 0), MATCH(G$1, columns, 0))</f>
        <v>#N/A</v>
      </c>
      <c r="H209" s="9"/>
      <c r="I209" s="2"/>
      <c r="J209" s="2"/>
      <c r="K209" s="2"/>
      <c r="L209" s="2"/>
      <c r="M209" s="2"/>
      <c r="N209" s="2"/>
      <c r="O209" s="2"/>
      <c r="P209" s="2"/>
    </row>
    <row r="210">
      <c r="A210" s="3" t="s">
        <v>464</v>
      </c>
      <c r="B210" s="3" t="s">
        <v>145</v>
      </c>
      <c r="C210" s="3" t="s">
        <v>465</v>
      </c>
      <c r="D210" s="2" t="str">
        <f t="array" ref="D210">INDEX(covid, MATCH($A210, iso_code, 0), MATCH(D$1, columns, 0))</f>
        <v>#N/A</v>
      </c>
      <c r="E210" s="2" t="str">
        <f t="array" ref="E210">INDEX(covid, MATCH($A210, iso_code, 0), MATCH(E$1, columns, 0))</f>
        <v>#N/A</v>
      </c>
      <c r="F210" s="2" t="str">
        <f t="array" ref="F210">INDEX(covid, MATCH($A210, iso_code, 0), MATCH(F$1, columns, 0))</f>
        <v>#N/A</v>
      </c>
      <c r="G210" s="2" t="str">
        <f t="array" ref="G210">INDEX(covid, MATCH($A210, iso_code, 0), MATCH(G$1, columns, 0))</f>
        <v>#N/A</v>
      </c>
      <c r="H210" s="9"/>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sheetData>
  <dataValidations>
    <dataValidation type="list" allowBlank="1" showErrorMessage="1" sqref="I19">
      <formula1>"5,10,15,20,25,30,35,40,45,50"</formula1>
    </dataValidation>
    <dataValidation type="list" allowBlank="1" showErrorMessage="1" sqref="I25">
      <formula1>"TRUE,FALSE"</formula1>
    </dataValidation>
    <dataValidation type="list" allowBlank="1" showErrorMessage="1" sqref="I22">
      <formula1>"1,2,3,4,5"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18.57"/>
    <col customWidth="1" min="3" max="3" width="29.57"/>
    <col customWidth="1" min="4" max="5" width="24.57"/>
    <col customWidth="1" min="6" max="6" width="15.29"/>
    <col customWidth="1" min="7" max="7" width="4.43"/>
    <col customWidth="1" min="8" max="8" width="21.86"/>
    <col customWidth="1" min="9" max="9" width="11.57"/>
    <col customWidth="1" min="10" max="10" width="12.43"/>
    <col customWidth="1" min="11" max="11" width="19.71"/>
    <col customWidth="1" min="12" max="12" width="17.57"/>
    <col customWidth="1" min="13" max="13" width="19.14"/>
    <col customWidth="1" min="14" max="14" width="4.43"/>
    <col customWidth="1" min="15" max="15" width="22.0"/>
    <col customWidth="1" min="16" max="16" width="4.43"/>
    <col customWidth="1" min="17" max="17" width="22.0"/>
    <col customWidth="1" min="18" max="29" width="19.71"/>
  </cols>
  <sheetData>
    <row r="1" ht="15.75" customHeight="1">
      <c r="A1" s="18" t="s">
        <v>470</v>
      </c>
      <c r="B1" s="18"/>
      <c r="C1" s="18"/>
      <c r="D1" s="18"/>
      <c r="E1" s="19"/>
      <c r="F1" s="20"/>
      <c r="G1" s="21"/>
      <c r="H1" s="2"/>
      <c r="I1" s="2"/>
      <c r="J1" s="2"/>
      <c r="K1" s="22" t="s">
        <v>471</v>
      </c>
      <c r="L1" s="23" t="s">
        <v>472</v>
      </c>
      <c r="M1" s="23" t="s">
        <v>473</v>
      </c>
      <c r="N1" s="24" t="b">
        <v>0</v>
      </c>
      <c r="O1" s="24"/>
      <c r="P1" s="24"/>
      <c r="Q1" s="24"/>
      <c r="R1" s="24"/>
      <c r="S1" s="24"/>
      <c r="T1" s="24"/>
      <c r="U1" s="24"/>
      <c r="V1" s="24"/>
      <c r="W1" s="24"/>
      <c r="X1" s="24"/>
      <c r="Y1" s="24"/>
      <c r="Z1" s="24"/>
      <c r="AA1" s="24"/>
      <c r="AB1" s="24"/>
      <c r="AC1" s="24"/>
    </row>
    <row r="2" ht="15.75" customHeight="1">
      <c r="A2" s="4"/>
      <c r="B2" s="4"/>
      <c r="C2" s="4"/>
      <c r="D2" s="4"/>
      <c r="E2" s="25"/>
      <c r="F2" s="15"/>
      <c r="G2" s="21"/>
      <c r="H2" s="26" t="s">
        <v>3</v>
      </c>
      <c r="I2" s="26" t="s">
        <v>474</v>
      </c>
      <c r="J2" s="26" t="s">
        <v>475</v>
      </c>
      <c r="K2" s="27" t="s">
        <v>476</v>
      </c>
      <c r="L2" s="27" t="s">
        <v>477</v>
      </c>
      <c r="M2" s="27" t="s">
        <v>478</v>
      </c>
      <c r="N2" s="28"/>
      <c r="O2" s="24" t="s">
        <v>479</v>
      </c>
      <c r="P2" s="29"/>
      <c r="Q2" s="24" t="s">
        <v>480</v>
      </c>
      <c r="R2" s="28"/>
      <c r="S2" s="28"/>
      <c r="T2" s="28"/>
      <c r="U2" s="28"/>
      <c r="V2" s="28"/>
      <c r="W2" s="28"/>
      <c r="X2" s="28"/>
      <c r="Y2" s="28"/>
      <c r="Z2" s="28"/>
      <c r="AA2" s="28"/>
      <c r="AB2" s="28"/>
      <c r="AC2" s="28"/>
    </row>
    <row r="3" ht="15.75" customHeight="1">
      <c r="A3" s="30" t="s">
        <v>481</v>
      </c>
      <c r="B3" s="30" t="s">
        <v>482</v>
      </c>
      <c r="C3" s="30" t="s">
        <v>483</v>
      </c>
      <c r="D3" s="30" t="s">
        <v>484</v>
      </c>
      <c r="E3" s="25"/>
      <c r="F3" s="15"/>
      <c r="G3" s="21"/>
      <c r="H3" s="28" t="s">
        <v>40</v>
      </c>
      <c r="I3" s="28">
        <v>125842.0</v>
      </c>
      <c r="J3" s="28">
        <v>2247.0</v>
      </c>
      <c r="K3" s="29">
        <f t="shared" ref="K3:K48" si="1">ROUND(DIVIDE($J3, $I3), 2)</f>
        <v>0.02</v>
      </c>
      <c r="L3" s="28">
        <f t="shared" ref="L3:L48" si="2">RAND()</f>
        <v>0.3265078843</v>
      </c>
      <c r="M3" s="31">
        <f t="shared" ref="M3:M48" si="3">RANDBETWEEN(1, 4)</f>
        <v>3</v>
      </c>
      <c r="N3" s="32"/>
      <c r="O3" s="33" t="str">
        <f t="array" ref="O3">INDEX(SORTN($H$3:$L$48, 1, , 5, FALSE), 1, 1)</f>
        <v>Serbia</v>
      </c>
      <c r="P3" s="32"/>
      <c r="Q3" s="34" t="str">
        <f>IFERROR(__xludf.DUMMYFUNCTION("SORTN(FILTER($H$3:$H$48, $M$3:$M$48 = INT(RIGHT($Q2, 1))), 4, , 2, FALSE)"),"Bulgaria")</f>
        <v>Bulgaria</v>
      </c>
      <c r="R3" s="32"/>
      <c r="S3" s="32"/>
      <c r="T3" s="32"/>
      <c r="U3" s="32"/>
      <c r="V3" s="32"/>
      <c r="W3" s="32"/>
      <c r="X3" s="32"/>
      <c r="Y3" s="32"/>
      <c r="Z3" s="32"/>
      <c r="AA3" s="32"/>
      <c r="AB3" s="32"/>
      <c r="AC3" s="32"/>
    </row>
    <row r="4" ht="15.75" customHeight="1">
      <c r="A4" s="3" t="s">
        <v>485</v>
      </c>
      <c r="B4" s="3" t="s">
        <v>486</v>
      </c>
      <c r="C4" s="35" t="str">
        <f>CONCATENATE(PROPER(A4), " ", UPPER(B4))</f>
        <v>Firstname LASTNAME</v>
      </c>
      <c r="D4" s="25" t="s">
        <v>487</v>
      </c>
      <c r="E4" s="2"/>
      <c r="F4" s="15"/>
      <c r="G4" s="21"/>
      <c r="H4" s="28" t="s">
        <v>42</v>
      </c>
      <c r="I4" s="28">
        <v>12115.0</v>
      </c>
      <c r="J4" s="28">
        <v>116.0</v>
      </c>
      <c r="K4" s="29">
        <f t="shared" si="1"/>
        <v>0.01</v>
      </c>
      <c r="L4" s="28">
        <f t="shared" si="2"/>
        <v>0.3752910441</v>
      </c>
      <c r="M4" s="31">
        <f t="shared" si="3"/>
        <v>4</v>
      </c>
      <c r="N4" s="32"/>
      <c r="O4" s="32"/>
      <c r="P4" s="32"/>
      <c r="Q4" s="36" t="str">
        <f>IFERROR(__xludf.DUMMYFUNCTION("""COMPUTED_VALUE"""),"Denmark")</f>
        <v>Denmark</v>
      </c>
      <c r="R4" s="32"/>
      <c r="S4" s="32"/>
      <c r="T4" s="32"/>
      <c r="U4" s="32"/>
      <c r="V4" s="32"/>
      <c r="W4" s="32"/>
      <c r="X4" s="32"/>
      <c r="Y4" s="32"/>
      <c r="Z4" s="32"/>
      <c r="AA4" s="32"/>
      <c r="AB4" s="32"/>
      <c r="AC4" s="32"/>
    </row>
    <row r="5" ht="15.75" customHeight="1">
      <c r="A5" s="3"/>
      <c r="B5" s="3"/>
      <c r="C5" s="35" t="str">
        <f>PROPER(A4)&amp;" "&amp;UPPER(B4)</f>
        <v>Firstname LASTNAME</v>
      </c>
      <c r="D5" s="2"/>
      <c r="E5" s="2"/>
      <c r="F5" s="15"/>
      <c r="G5" s="21"/>
      <c r="H5" s="28" t="s">
        <v>44</v>
      </c>
      <c r="I5" s="28">
        <v>552729.0</v>
      </c>
      <c r="J5" s="28">
        <v>9397.0</v>
      </c>
      <c r="K5" s="29">
        <f t="shared" si="1"/>
        <v>0.02</v>
      </c>
      <c r="L5" s="28">
        <f t="shared" si="2"/>
        <v>0.9831372515</v>
      </c>
      <c r="M5" s="31">
        <f t="shared" si="3"/>
        <v>2</v>
      </c>
      <c r="N5" s="32"/>
      <c r="O5" s="24" t="s">
        <v>488</v>
      </c>
      <c r="P5" s="32"/>
      <c r="Q5" s="36" t="str">
        <f>IFERROR(__xludf.DUMMYFUNCTION("""COMPUTED_VALUE"""),"Estonia")</f>
        <v>Estonia</v>
      </c>
      <c r="R5" s="32"/>
      <c r="S5" s="32"/>
      <c r="T5" s="32"/>
      <c r="U5" s="32"/>
      <c r="V5" s="32"/>
      <c r="W5" s="32"/>
      <c r="X5" s="32"/>
      <c r="Y5" s="32"/>
      <c r="Z5" s="32"/>
      <c r="AA5" s="32"/>
      <c r="AB5" s="32"/>
      <c r="AC5" s="32"/>
    </row>
    <row r="6" ht="15.75" customHeight="1">
      <c r="A6" s="3"/>
      <c r="B6" s="3"/>
      <c r="C6" s="3"/>
      <c r="D6" s="2"/>
      <c r="E6" s="2"/>
      <c r="F6" s="15"/>
      <c r="G6" s="21"/>
      <c r="H6" s="28" t="s">
        <v>52</v>
      </c>
      <c r="I6" s="28">
        <v>324694.0</v>
      </c>
      <c r="J6" s="28">
        <v>2267.0</v>
      </c>
      <c r="K6" s="29">
        <f t="shared" si="1"/>
        <v>0.01</v>
      </c>
      <c r="L6" s="28">
        <f t="shared" si="2"/>
        <v>0.3594768228</v>
      </c>
      <c r="M6" s="31">
        <f t="shared" si="3"/>
        <v>3</v>
      </c>
      <c r="N6" s="32"/>
      <c r="O6" s="33" t="str">
        <f>IFERROR(__xludf.DUMMYFUNCTION("FILTER($H$3:$H$48, $L$3:$L$48 = MAX($L$3:$L$48))"),"Serbia")</f>
        <v>Serbia</v>
      </c>
      <c r="P6" s="32"/>
      <c r="Q6" s="37" t="str">
        <f>IFERROR(__xludf.DUMMYFUNCTION("""COMPUTED_VALUE"""),"Greece")</f>
        <v>Greece</v>
      </c>
      <c r="R6" s="32"/>
      <c r="S6" s="32"/>
      <c r="T6" s="32"/>
      <c r="U6" s="32"/>
      <c r="V6" s="32"/>
      <c r="W6" s="32"/>
      <c r="X6" s="32"/>
      <c r="Y6" s="32"/>
      <c r="Z6" s="32"/>
      <c r="AA6" s="32"/>
      <c r="AB6" s="32"/>
      <c r="AC6" s="32"/>
    </row>
    <row r="7" ht="15.75" customHeight="1">
      <c r="A7" s="35" t="str">
        <f t="shared" ref="A7:A16" si="4">TRIM(PROPER(LEFT($C7, SEARCH(" ", $C7))))</f>
        <v>Firstname1</v>
      </c>
      <c r="B7" s="35" t="str">
        <f t="shared" ref="B7:B16" si="5">UPPER(RIGHT($C7, LEN($C7)-SEARCH(" ", $C7)))</f>
        <v>LASTNAME1</v>
      </c>
      <c r="C7" s="3" t="s">
        <v>489</v>
      </c>
      <c r="D7" s="38" t="str">
        <f t="shared" ref="D7:D16" si="6">JOIN(" ", $A7:$B7)</f>
        <v>Firstname1 LASTNAME1</v>
      </c>
      <c r="E7" s="12" t="str">
        <f t="shared" ref="E7:E16" si="7">TEXTJOIN(" ", TRUE, $A7:$B7)</f>
        <v>Firstname1 LASTNAME1</v>
      </c>
      <c r="F7" s="15"/>
      <c r="G7" s="21"/>
      <c r="H7" s="28" t="s">
        <v>46</v>
      </c>
      <c r="I7" s="28">
        <v>892585.0</v>
      </c>
      <c r="J7" s="28">
        <v>23083.0</v>
      </c>
      <c r="K7" s="29">
        <f t="shared" si="1"/>
        <v>0.03</v>
      </c>
      <c r="L7" s="28">
        <f t="shared" si="2"/>
        <v>0.4595176035</v>
      </c>
      <c r="M7" s="31">
        <f t="shared" si="3"/>
        <v>2</v>
      </c>
      <c r="N7" s="32"/>
      <c r="P7" s="32"/>
      <c r="Q7" s="28"/>
      <c r="R7" s="32"/>
      <c r="S7" s="32"/>
      <c r="T7" s="32"/>
      <c r="U7" s="32"/>
      <c r="V7" s="32"/>
      <c r="W7" s="32"/>
      <c r="X7" s="32"/>
      <c r="Y7" s="32"/>
      <c r="Z7" s="32"/>
      <c r="AA7" s="32"/>
      <c r="AB7" s="32"/>
      <c r="AC7" s="32"/>
    </row>
    <row r="8" ht="15.75" customHeight="1">
      <c r="A8" s="35" t="str">
        <f t="shared" si="4"/>
        <v>Firstname2</v>
      </c>
      <c r="B8" s="35" t="str">
        <f t="shared" si="5"/>
        <v>LASTNAME2</v>
      </c>
      <c r="C8" s="3" t="s">
        <v>490</v>
      </c>
      <c r="D8" s="38" t="str">
        <f t="shared" si="6"/>
        <v>Firstname2 LASTNAME2</v>
      </c>
      <c r="E8" s="12" t="str">
        <f t="shared" si="7"/>
        <v>Firstname2 LASTNAME2</v>
      </c>
      <c r="F8" s="15"/>
      <c r="G8" s="21"/>
      <c r="H8" s="28" t="s">
        <v>50</v>
      </c>
      <c r="I8" s="28">
        <v>173478.0</v>
      </c>
      <c r="J8" s="28">
        <v>6763.0</v>
      </c>
      <c r="K8" s="29">
        <f t="shared" si="1"/>
        <v>0.04</v>
      </c>
      <c r="L8" s="28">
        <f t="shared" si="2"/>
        <v>0.4702685034</v>
      </c>
      <c r="M8" s="31">
        <f t="shared" si="3"/>
        <v>3</v>
      </c>
      <c r="N8" s="32"/>
      <c r="O8" s="32"/>
      <c r="P8" s="32"/>
      <c r="Q8" s="24" t="s">
        <v>491</v>
      </c>
      <c r="R8" s="32"/>
      <c r="S8" s="32"/>
      <c r="T8" s="32"/>
      <c r="U8" s="32"/>
      <c r="V8" s="32"/>
      <c r="W8" s="32"/>
      <c r="X8" s="32"/>
      <c r="Y8" s="32"/>
      <c r="Z8" s="32"/>
      <c r="AA8" s="32"/>
      <c r="AB8" s="32"/>
      <c r="AC8" s="32"/>
    </row>
    <row r="9" ht="15.75" customHeight="1">
      <c r="A9" s="35" t="str">
        <f t="shared" si="4"/>
        <v>Firstname3</v>
      </c>
      <c r="B9" s="35" t="str">
        <f t="shared" si="5"/>
        <v>LASTNAME3</v>
      </c>
      <c r="C9" s="3" t="s">
        <v>492</v>
      </c>
      <c r="D9" s="38" t="str">
        <f t="shared" si="6"/>
        <v>Firstname3 LASTNAME3</v>
      </c>
      <c r="E9" s="12" t="str">
        <f t="shared" si="7"/>
        <v>Firstname3 LASTNAME3</v>
      </c>
      <c r="F9" s="15"/>
      <c r="G9" s="21"/>
      <c r="H9" s="28" t="s">
        <v>48</v>
      </c>
      <c r="I9" s="28">
        <v>350340.0</v>
      </c>
      <c r="J9" s="28">
        <v>13438.0</v>
      </c>
      <c r="K9" s="29">
        <f t="shared" si="1"/>
        <v>0.04</v>
      </c>
      <c r="L9" s="28">
        <f t="shared" si="2"/>
        <v>0.9054996828</v>
      </c>
      <c r="M9" s="31">
        <f t="shared" si="3"/>
        <v>1</v>
      </c>
      <c r="N9" s="32"/>
      <c r="O9" s="32"/>
      <c r="P9" s="32"/>
      <c r="Q9" s="34" t="str">
        <f>IFERROR(__xludf.DUMMYFUNCTION("SORTN(FILTER($H$3:$H$48, $M$3:$M$48 = INT(RIGHT($Q8, 1))), 4, , 2, FALSE)"),"Austria")</f>
        <v>Austria</v>
      </c>
      <c r="R9" s="32"/>
      <c r="S9" s="32"/>
      <c r="T9" s="32"/>
      <c r="U9" s="32"/>
      <c r="V9" s="32"/>
      <c r="W9" s="32"/>
      <c r="X9" s="32"/>
      <c r="Y9" s="32"/>
      <c r="Z9" s="32"/>
      <c r="AA9" s="32"/>
      <c r="AB9" s="32"/>
      <c r="AC9" s="32"/>
    </row>
    <row r="10" ht="15.75" customHeight="1">
      <c r="A10" s="35" t="str">
        <f t="shared" si="4"/>
        <v>Firstname4</v>
      </c>
      <c r="B10" s="35" t="str">
        <f t="shared" si="5"/>
        <v>LASTNAME4</v>
      </c>
      <c r="C10" s="3" t="s">
        <v>493</v>
      </c>
      <c r="D10" s="38" t="str">
        <f t="shared" si="6"/>
        <v>Firstname4 LASTNAME4</v>
      </c>
      <c r="E10" s="12" t="str">
        <f t="shared" si="7"/>
        <v>Firstname4 LASTNAME4</v>
      </c>
      <c r="F10" s="15"/>
      <c r="G10" s="21"/>
      <c r="H10" s="28" t="s">
        <v>82</v>
      </c>
      <c r="I10" s="28">
        <v>276416.0</v>
      </c>
      <c r="J10" s="28">
        <v>5996.0</v>
      </c>
      <c r="K10" s="29">
        <f t="shared" si="1"/>
        <v>0.02</v>
      </c>
      <c r="L10" s="28">
        <f t="shared" si="2"/>
        <v>0.8526120329</v>
      </c>
      <c r="M10" s="31">
        <f t="shared" si="3"/>
        <v>2</v>
      </c>
      <c r="N10" s="32"/>
      <c r="O10" s="32"/>
      <c r="P10" s="32"/>
      <c r="Q10" s="36" t="str">
        <f>IFERROR(__xludf.DUMMYFUNCTION("""COMPUTED_VALUE"""),"Belgium")</f>
        <v>Belgium</v>
      </c>
      <c r="R10" s="32"/>
      <c r="S10" s="32"/>
      <c r="T10" s="32"/>
      <c r="U10" s="32"/>
      <c r="V10" s="32"/>
      <c r="W10" s="32"/>
      <c r="X10" s="32"/>
      <c r="Y10" s="32"/>
      <c r="Z10" s="32"/>
      <c r="AA10" s="32"/>
      <c r="AB10" s="32"/>
      <c r="AC10" s="32"/>
    </row>
    <row r="11" ht="15.75" customHeight="1">
      <c r="A11" s="35" t="str">
        <f t="shared" si="4"/>
        <v>Firstname5</v>
      </c>
      <c r="B11" s="35" t="str">
        <f t="shared" si="5"/>
        <v>LASTNAME5</v>
      </c>
      <c r="C11" s="3" t="s">
        <v>494</v>
      </c>
      <c r="D11" s="38" t="str">
        <f t="shared" si="6"/>
        <v>Firstname5 LASTNAME5</v>
      </c>
      <c r="E11" s="12" t="str">
        <f t="shared" si="7"/>
        <v>Firstname5 LASTNAME5</v>
      </c>
      <c r="F11" s="15"/>
      <c r="G11" s="21"/>
      <c r="H11" s="28" t="s">
        <v>58</v>
      </c>
      <c r="I11" s="28">
        <v>1545865.0</v>
      </c>
      <c r="J11" s="28">
        <v>26765.0</v>
      </c>
      <c r="K11" s="29">
        <f t="shared" si="1"/>
        <v>0.02</v>
      </c>
      <c r="L11" s="28">
        <f t="shared" si="2"/>
        <v>0.03002469932</v>
      </c>
      <c r="M11" s="31">
        <f t="shared" si="3"/>
        <v>4</v>
      </c>
      <c r="N11" s="32"/>
      <c r="O11" s="32"/>
      <c r="P11" s="32"/>
      <c r="Q11" s="36" t="str">
        <f>IFERROR(__xludf.DUMMYFUNCTION("""COMPUTED_VALUE"""),"Croatia")</f>
        <v>Croatia</v>
      </c>
      <c r="R11" s="32"/>
      <c r="S11" s="32"/>
      <c r="T11" s="32"/>
      <c r="U11" s="32"/>
      <c r="V11" s="32"/>
      <c r="W11" s="32"/>
      <c r="X11" s="32"/>
      <c r="Y11" s="32"/>
      <c r="Z11" s="32"/>
      <c r="AA11" s="32"/>
      <c r="AB11" s="32"/>
      <c r="AC11" s="32"/>
    </row>
    <row r="12" ht="15.75" customHeight="1">
      <c r="A12" s="35" t="str">
        <f t="shared" si="4"/>
        <v>Firstname6</v>
      </c>
      <c r="B12" s="35" t="str">
        <f t="shared" si="5"/>
        <v>LASTNAME6</v>
      </c>
      <c r="C12" s="3" t="s">
        <v>495</v>
      </c>
      <c r="D12" s="38" t="str">
        <f t="shared" si="6"/>
        <v>Firstname6 LASTNAME6</v>
      </c>
      <c r="E12" s="12" t="str">
        <f t="shared" si="7"/>
        <v>Firstname6 LASTNAME6</v>
      </c>
      <c r="F12" s="15"/>
      <c r="G12" s="21"/>
      <c r="H12" s="28" t="s">
        <v>62</v>
      </c>
      <c r="I12" s="28">
        <v>232665.0</v>
      </c>
      <c r="J12" s="28">
        <v>2425.0</v>
      </c>
      <c r="K12" s="29">
        <f t="shared" si="1"/>
        <v>0.01</v>
      </c>
      <c r="L12" s="28">
        <f t="shared" si="2"/>
        <v>0.7025540556</v>
      </c>
      <c r="M12" s="31">
        <f t="shared" si="3"/>
        <v>1</v>
      </c>
      <c r="N12" s="32"/>
      <c r="O12" s="32"/>
      <c r="P12" s="32"/>
      <c r="Q12" s="37" t="str">
        <f>IFERROR(__xludf.DUMMYFUNCTION("""COMPUTED_VALUE"""),"Germany")</f>
        <v>Germany</v>
      </c>
      <c r="R12" s="32"/>
      <c r="S12" s="32"/>
      <c r="T12" s="32"/>
      <c r="U12" s="32"/>
      <c r="V12" s="32"/>
      <c r="W12" s="32"/>
      <c r="X12" s="32"/>
      <c r="Y12" s="32"/>
      <c r="Z12" s="32"/>
      <c r="AA12" s="32"/>
      <c r="AB12" s="32"/>
      <c r="AC12" s="32"/>
    </row>
    <row r="13" ht="15.75" customHeight="1">
      <c r="A13" s="35" t="str">
        <f t="shared" si="4"/>
        <v>Firstname7</v>
      </c>
      <c r="B13" s="35" t="str">
        <f t="shared" si="5"/>
        <v>LASTNAME7</v>
      </c>
      <c r="C13" s="3" t="s">
        <v>496</v>
      </c>
      <c r="D13" s="38" t="str">
        <f t="shared" si="6"/>
        <v>Firstname7 LASTNAME7</v>
      </c>
      <c r="E13" s="12" t="str">
        <f t="shared" si="7"/>
        <v>Firstname7 LASTNAME7</v>
      </c>
      <c r="F13" s="15"/>
      <c r="G13" s="21"/>
      <c r="H13" s="28" t="s">
        <v>66</v>
      </c>
      <c r="I13" s="28">
        <v>108418.0</v>
      </c>
      <c r="J13" s="28">
        <v>922.0</v>
      </c>
      <c r="K13" s="29">
        <f t="shared" si="1"/>
        <v>0.01</v>
      </c>
      <c r="L13" s="28">
        <f t="shared" si="2"/>
        <v>0.7957796511</v>
      </c>
      <c r="M13" s="31">
        <f t="shared" si="3"/>
        <v>1</v>
      </c>
      <c r="N13" s="32"/>
      <c r="O13" s="32"/>
      <c r="P13" s="32"/>
      <c r="Q13" s="28"/>
      <c r="R13" s="32"/>
      <c r="S13" s="32"/>
      <c r="T13" s="32"/>
      <c r="U13" s="32"/>
      <c r="V13" s="32"/>
      <c r="W13" s="32"/>
      <c r="X13" s="32"/>
      <c r="Y13" s="32"/>
      <c r="Z13" s="32"/>
      <c r="AA13" s="32"/>
      <c r="AB13" s="32"/>
      <c r="AC13" s="32"/>
    </row>
    <row r="14" ht="15.75" customHeight="1">
      <c r="A14" s="35" t="str">
        <f t="shared" si="4"/>
        <v>Firstname8</v>
      </c>
      <c r="B14" s="35" t="str">
        <f t="shared" si="5"/>
        <v>LASTNAME8</v>
      </c>
      <c r="C14" s="3" t="s">
        <v>497</v>
      </c>
      <c r="D14" s="38" t="str">
        <f t="shared" si="6"/>
        <v>Firstname8 LASTNAME8</v>
      </c>
      <c r="E14" s="12" t="str">
        <f t="shared" si="7"/>
        <v>Firstname8 LASTNAME8</v>
      </c>
      <c r="F14" s="15"/>
      <c r="G14" s="21"/>
      <c r="H14" s="28" t="s">
        <v>68</v>
      </c>
      <c r="I14" s="28">
        <v>78672.0</v>
      </c>
      <c r="J14" s="28">
        <v>846.0</v>
      </c>
      <c r="K14" s="29">
        <f t="shared" si="1"/>
        <v>0.01</v>
      </c>
      <c r="L14" s="28">
        <f t="shared" si="2"/>
        <v>0.5061082231</v>
      </c>
      <c r="M14" s="31">
        <f t="shared" si="3"/>
        <v>3</v>
      </c>
      <c r="N14" s="32"/>
      <c r="O14" s="32"/>
      <c r="P14" s="32"/>
      <c r="Q14" s="24" t="s">
        <v>498</v>
      </c>
      <c r="R14" s="32"/>
      <c r="S14" s="32"/>
      <c r="T14" s="32"/>
      <c r="U14" s="32"/>
      <c r="V14" s="32"/>
      <c r="W14" s="32"/>
      <c r="X14" s="32"/>
      <c r="Y14" s="32"/>
      <c r="Z14" s="32"/>
      <c r="AA14" s="32"/>
      <c r="AB14" s="32"/>
      <c r="AC14" s="32"/>
    </row>
    <row r="15" ht="15.75" customHeight="1">
      <c r="A15" s="35" t="str">
        <f t="shared" si="4"/>
        <v>Firstname9</v>
      </c>
      <c r="B15" s="35" t="str">
        <f t="shared" si="5"/>
        <v>LASTNAME9</v>
      </c>
      <c r="C15" s="3" t="s">
        <v>499</v>
      </c>
      <c r="D15" s="38" t="str">
        <f t="shared" si="6"/>
        <v>Firstname9 LASTNAME9</v>
      </c>
      <c r="E15" s="12" t="str">
        <f t="shared" si="7"/>
        <v>Firstname9 LASTNAME9</v>
      </c>
      <c r="F15" s="15"/>
      <c r="G15" s="21"/>
      <c r="H15" s="28" t="s">
        <v>70</v>
      </c>
      <c r="I15" s="28">
        <v>4802457.0</v>
      </c>
      <c r="J15" s="28">
        <v>96438.0</v>
      </c>
      <c r="K15" s="29">
        <f t="shared" si="1"/>
        <v>0.02</v>
      </c>
      <c r="L15" s="28">
        <f t="shared" si="2"/>
        <v>0.1518767243</v>
      </c>
      <c r="M15" s="31">
        <f t="shared" si="3"/>
        <v>3</v>
      </c>
      <c r="N15" s="32"/>
      <c r="O15" s="32"/>
      <c r="P15" s="32"/>
      <c r="Q15" s="34" t="str">
        <f>IFERROR(__xludf.DUMMYFUNCTION("SORTN(FILTER($H$3:$H$48, $M$3:$M$48 = INT(RIGHT($Q14, 1))), 4, , 2, FALSE)"),"Albania")</f>
        <v>Albania</v>
      </c>
      <c r="R15" s="32"/>
      <c r="S15" s="32"/>
      <c r="T15" s="32"/>
      <c r="U15" s="32"/>
      <c r="V15" s="32"/>
      <c r="W15" s="32"/>
      <c r="X15" s="32"/>
      <c r="Y15" s="32"/>
      <c r="Z15" s="32"/>
      <c r="AA15" s="32"/>
      <c r="AB15" s="32"/>
      <c r="AC15" s="32"/>
    </row>
    <row r="16" ht="15.75" customHeight="1">
      <c r="A16" s="35" t="str">
        <f t="shared" si="4"/>
        <v>Firstname10</v>
      </c>
      <c r="B16" s="35" t="str">
        <f t="shared" si="5"/>
        <v>LASTNAME10</v>
      </c>
      <c r="C16" s="3" t="s">
        <v>500</v>
      </c>
      <c r="D16" s="38" t="str">
        <f t="shared" si="6"/>
        <v>Firstname10 LASTNAME10</v>
      </c>
      <c r="E16" s="12" t="str">
        <f t="shared" si="7"/>
        <v>Firstname10 LASTNAME10</v>
      </c>
      <c r="F16" s="15"/>
      <c r="G16" s="21"/>
      <c r="H16" s="28" t="s">
        <v>60</v>
      </c>
      <c r="I16" s="28">
        <v>2882356.0</v>
      </c>
      <c r="J16" s="28">
        <v>76940.0</v>
      </c>
      <c r="K16" s="29">
        <f t="shared" si="1"/>
        <v>0.03</v>
      </c>
      <c r="L16" s="28">
        <f t="shared" si="2"/>
        <v>0.8312107586</v>
      </c>
      <c r="M16" s="31">
        <f t="shared" si="3"/>
        <v>2</v>
      </c>
      <c r="N16" s="32"/>
      <c r="O16" s="32"/>
      <c r="P16" s="32"/>
      <c r="Q16" s="36" t="str">
        <f>IFERROR(__xludf.DUMMYFUNCTION("""COMPUTED_VALUE"""),"Belarus")</f>
        <v>Belarus</v>
      </c>
      <c r="R16" s="32"/>
      <c r="S16" s="32"/>
      <c r="T16" s="32"/>
      <c r="U16" s="32"/>
      <c r="V16" s="32"/>
      <c r="W16" s="32"/>
      <c r="X16" s="32"/>
      <c r="Y16" s="32"/>
      <c r="Z16" s="32"/>
      <c r="AA16" s="32"/>
      <c r="AB16" s="32"/>
      <c r="AC16" s="32"/>
    </row>
    <row r="17" ht="15.75" customHeight="1">
      <c r="A17" s="3"/>
      <c r="B17" s="3"/>
      <c r="C17" s="3"/>
      <c r="D17" s="2"/>
      <c r="E17" s="2"/>
      <c r="F17" s="15"/>
      <c r="G17" s="21"/>
      <c r="H17" s="28" t="s">
        <v>80</v>
      </c>
      <c r="I17" s="28">
        <v>270230.0</v>
      </c>
      <c r="J17" s="28">
        <v>8232.0</v>
      </c>
      <c r="K17" s="29">
        <f t="shared" si="1"/>
        <v>0.03</v>
      </c>
      <c r="L17" s="28">
        <f t="shared" si="2"/>
        <v>0.7186798021</v>
      </c>
      <c r="M17" s="31">
        <f t="shared" si="3"/>
        <v>1</v>
      </c>
      <c r="N17" s="32"/>
      <c r="O17" s="32"/>
      <c r="P17" s="32"/>
      <c r="Q17" s="36" t="str">
        <f>IFERROR(__xludf.DUMMYFUNCTION("""COMPUTED_VALUE"""),"Bosnia and Herzegovina")</f>
        <v>Bosnia and Herzegovina</v>
      </c>
      <c r="R17" s="32"/>
      <c r="S17" s="32"/>
      <c r="T17" s="32"/>
      <c r="U17" s="32"/>
      <c r="V17" s="32"/>
      <c r="W17" s="32"/>
      <c r="X17" s="32"/>
      <c r="Y17" s="32"/>
      <c r="Z17" s="32"/>
      <c r="AA17" s="32"/>
      <c r="AB17" s="32"/>
      <c r="AC17" s="32"/>
    </row>
    <row r="18" ht="15.75" customHeight="1">
      <c r="A18" s="3"/>
      <c r="B18" s="3"/>
      <c r="C18" s="3"/>
      <c r="D18" s="2"/>
      <c r="E18" s="2"/>
      <c r="F18" s="15"/>
      <c r="G18" s="21"/>
      <c r="H18" s="28" t="s">
        <v>84</v>
      </c>
      <c r="I18" s="28">
        <v>670776.0</v>
      </c>
      <c r="J18" s="28">
        <v>21262.0</v>
      </c>
      <c r="K18" s="29">
        <f t="shared" si="1"/>
        <v>0.03</v>
      </c>
      <c r="L18" s="28">
        <f t="shared" si="2"/>
        <v>0.310080623</v>
      </c>
      <c r="M18" s="31">
        <f t="shared" si="3"/>
        <v>4</v>
      </c>
      <c r="N18" s="32"/>
      <c r="O18" s="32"/>
      <c r="P18" s="32"/>
      <c r="Q18" s="37" t="str">
        <f>IFERROR(__xludf.DUMMYFUNCTION("""COMPUTED_VALUE"""),"Finland")</f>
        <v>Finland</v>
      </c>
      <c r="R18" s="32"/>
      <c r="S18" s="32"/>
      <c r="T18" s="32"/>
      <c r="U18" s="32"/>
      <c r="V18" s="32"/>
      <c r="W18" s="32"/>
      <c r="X18" s="32"/>
      <c r="Y18" s="32"/>
      <c r="Z18" s="32"/>
      <c r="AA18" s="32"/>
      <c r="AB18" s="32"/>
      <c r="AC18" s="32"/>
    </row>
    <row r="19" ht="15.75" customHeight="1">
      <c r="A19" s="3"/>
      <c r="B19" s="3"/>
      <c r="C19" s="3" t="s">
        <v>501</v>
      </c>
      <c r="D19" s="12" t="str">
        <f>IFERROR(__xludf.DUMMYFUNCTION("TRANSPOSE(SPLIT(C19, "", "", FALSE, TRUE))"),"year")</f>
        <v>year</v>
      </c>
      <c r="E19" s="2"/>
      <c r="F19" s="15"/>
      <c r="G19" s="21"/>
      <c r="H19" s="28" t="s">
        <v>90</v>
      </c>
      <c r="I19" s="28">
        <v>6205.0</v>
      </c>
      <c r="J19" s="28">
        <v>29.0</v>
      </c>
      <c r="K19" s="29">
        <f t="shared" si="1"/>
        <v>0</v>
      </c>
      <c r="L19" s="28">
        <f t="shared" si="2"/>
        <v>0.3693457649</v>
      </c>
      <c r="M19" s="31">
        <f t="shared" si="3"/>
        <v>4</v>
      </c>
      <c r="N19" s="32"/>
      <c r="O19" s="32"/>
      <c r="P19" s="32"/>
      <c r="Q19" s="2"/>
      <c r="R19" s="32"/>
      <c r="S19" s="32"/>
      <c r="T19" s="32"/>
      <c r="U19" s="32"/>
      <c r="V19" s="32"/>
      <c r="W19" s="32"/>
      <c r="X19" s="32"/>
      <c r="Y19" s="32"/>
      <c r="Z19" s="32"/>
      <c r="AA19" s="32"/>
      <c r="AB19" s="32"/>
      <c r="AC19" s="32"/>
    </row>
    <row r="20" ht="15.75" customHeight="1">
      <c r="A20" s="3"/>
      <c r="B20" s="3"/>
      <c r="C20" s="3"/>
      <c r="D20" s="2" t="str">
        <f>IFERROR(__xludf.DUMMYFUNCTION("""COMPUTED_VALUE"""),"week")</f>
        <v>week</v>
      </c>
      <c r="E20" s="2"/>
      <c r="F20" s="2"/>
      <c r="G20" s="9"/>
      <c r="H20" s="28" t="s">
        <v>88</v>
      </c>
      <c r="I20" s="28">
        <v>237187.0</v>
      </c>
      <c r="J20" s="28">
        <v>4713.0</v>
      </c>
      <c r="K20" s="29">
        <f t="shared" si="1"/>
        <v>0.02</v>
      </c>
      <c r="L20" s="28">
        <f t="shared" si="2"/>
        <v>0.5854876855</v>
      </c>
      <c r="M20" s="31">
        <f t="shared" si="3"/>
        <v>2</v>
      </c>
      <c r="N20" s="32"/>
      <c r="O20" s="32"/>
      <c r="P20" s="32"/>
      <c r="Q20" s="24" t="s">
        <v>502</v>
      </c>
      <c r="R20" s="32"/>
      <c r="S20" s="32"/>
      <c r="T20" s="32"/>
      <c r="U20" s="32"/>
      <c r="V20" s="32"/>
      <c r="W20" s="32"/>
      <c r="X20" s="32"/>
      <c r="Y20" s="32"/>
      <c r="Z20" s="32"/>
      <c r="AA20" s="32"/>
      <c r="AB20" s="32"/>
      <c r="AC20" s="32"/>
    </row>
    <row r="21" ht="15.75" customHeight="1">
      <c r="A21" s="3"/>
      <c r="B21" s="3"/>
      <c r="C21" s="3"/>
      <c r="D21" s="2" t="str">
        <f>IFERROR(__xludf.DUMMYFUNCTION("""COMPUTED_VALUE"""),"day")</f>
        <v>day</v>
      </c>
      <c r="E21" s="2"/>
      <c r="F21" s="2"/>
      <c r="G21" s="9"/>
      <c r="H21" s="3" t="s">
        <v>92</v>
      </c>
      <c r="I21" s="3">
        <v>3629000.0</v>
      </c>
      <c r="J21" s="3">
        <v>110328.0</v>
      </c>
      <c r="K21" s="29">
        <f t="shared" si="1"/>
        <v>0.03</v>
      </c>
      <c r="L21" s="28">
        <f t="shared" si="2"/>
        <v>0.5950199067</v>
      </c>
      <c r="M21" s="31">
        <f t="shared" si="3"/>
        <v>3</v>
      </c>
      <c r="N21" s="32"/>
      <c r="O21" s="32"/>
      <c r="P21" s="32"/>
      <c r="Q21" s="34" t="str">
        <f>IFERROR(__xludf.DUMMYFUNCTION("SORTN(FILTER($H$3:$H$48, $M$3:$M$48 = INT(RIGHT($Q20, 1))), 4, , 2, FALSE)"),"Andorra")</f>
        <v>Andorra</v>
      </c>
      <c r="R21" s="32"/>
      <c r="S21" s="32"/>
      <c r="T21" s="32"/>
      <c r="U21" s="32"/>
      <c r="V21" s="32"/>
      <c r="W21" s="32"/>
      <c r="X21" s="32"/>
      <c r="Y21" s="32"/>
      <c r="Z21" s="32"/>
      <c r="AA21" s="32"/>
      <c r="AB21" s="32"/>
      <c r="AC21" s="32"/>
    </row>
    <row r="22" ht="15.75" customHeight="1">
      <c r="A22" s="3"/>
      <c r="B22" s="3"/>
      <c r="C22" s="3"/>
      <c r="D22" s="2" t="str">
        <f>IFERROR(__xludf.DUMMYFUNCTION("""COMPUTED_VALUE"""),"hour")</f>
        <v>hour</v>
      </c>
      <c r="E22" s="2"/>
      <c r="F22" s="2"/>
      <c r="G22" s="9"/>
      <c r="H22" s="3" t="s">
        <v>118</v>
      </c>
      <c r="I22" s="3">
        <v>91079.0</v>
      </c>
      <c r="J22" s="3">
        <v>1892.0</v>
      </c>
      <c r="K22" s="29">
        <f t="shared" si="1"/>
        <v>0.02</v>
      </c>
      <c r="L22" s="28">
        <f t="shared" si="2"/>
        <v>0.4141291767</v>
      </c>
      <c r="M22" s="31">
        <f t="shared" si="3"/>
        <v>3</v>
      </c>
      <c r="N22" s="32"/>
      <c r="O22" s="32"/>
      <c r="P22" s="32"/>
      <c r="Q22" s="36" t="str">
        <f>IFERROR(__xludf.DUMMYFUNCTION("""COMPUTED_VALUE"""),"Czechia")</f>
        <v>Czechia</v>
      </c>
      <c r="R22" s="32"/>
      <c r="S22" s="32"/>
      <c r="T22" s="32"/>
      <c r="U22" s="32"/>
      <c r="V22" s="32"/>
      <c r="W22" s="32"/>
      <c r="X22" s="32"/>
      <c r="Y22" s="32"/>
      <c r="Z22" s="32"/>
      <c r="AA22" s="32"/>
      <c r="AB22" s="32"/>
      <c r="AC22" s="32"/>
    </row>
    <row r="23" ht="15.0" customHeight="1">
      <c r="G23" s="9"/>
      <c r="H23" s="3" t="s">
        <v>102</v>
      </c>
      <c r="I23" s="3">
        <v>103588.0</v>
      </c>
      <c r="J23" s="3">
        <v>1922.0</v>
      </c>
      <c r="K23" s="29">
        <f t="shared" si="1"/>
        <v>0.02</v>
      </c>
      <c r="L23" s="28">
        <f t="shared" si="2"/>
        <v>0.03261791147</v>
      </c>
      <c r="M23" s="31">
        <f t="shared" si="3"/>
        <v>3</v>
      </c>
      <c r="N23" s="32"/>
      <c r="O23" s="32"/>
      <c r="P23" s="32"/>
      <c r="Q23" s="36" t="str">
        <f>IFERROR(__xludf.DUMMYFUNCTION("""COMPUTED_VALUE"""),"Hungary")</f>
        <v>Hungary</v>
      </c>
      <c r="R23" s="32"/>
      <c r="S23" s="32"/>
      <c r="T23" s="32"/>
      <c r="U23" s="32"/>
      <c r="V23" s="32"/>
      <c r="W23" s="32"/>
      <c r="X23" s="32"/>
      <c r="Y23" s="32"/>
      <c r="Z23" s="32"/>
      <c r="AA23" s="32"/>
      <c r="AB23" s="32"/>
      <c r="AC23" s="32"/>
    </row>
    <row r="24" ht="15.0" customHeight="1">
      <c r="A24" s="39"/>
      <c r="B24" s="39"/>
      <c r="C24" s="39"/>
      <c r="D24" s="9"/>
      <c r="E24" s="9"/>
      <c r="F24" s="9"/>
      <c r="G24" s="9"/>
      <c r="H24" s="3" t="s">
        <v>96</v>
      </c>
      <c r="I24" s="3">
        <v>2678.0</v>
      </c>
      <c r="J24" s="3">
        <v>56.0</v>
      </c>
      <c r="K24" s="29">
        <f t="shared" si="1"/>
        <v>0.02</v>
      </c>
      <c r="L24" s="28">
        <f t="shared" si="2"/>
        <v>0.2815280053</v>
      </c>
      <c r="M24" s="31">
        <f t="shared" si="3"/>
        <v>4</v>
      </c>
      <c r="N24" s="32"/>
      <c r="O24" s="32"/>
      <c r="P24" s="32"/>
      <c r="Q24" s="40" t="str">
        <f>IFERROR(__xludf.DUMMYFUNCTION("""COMPUTED_VALUE"""),"Iceland")</f>
        <v>Iceland</v>
      </c>
      <c r="R24" s="32"/>
      <c r="S24" s="32"/>
      <c r="T24" s="32"/>
      <c r="U24" s="32"/>
      <c r="V24" s="32"/>
      <c r="W24" s="32"/>
      <c r="X24" s="32"/>
      <c r="Y24" s="32"/>
      <c r="Z24" s="32"/>
      <c r="AA24" s="32"/>
      <c r="AB24" s="32"/>
      <c r="AC24" s="32"/>
    </row>
    <row r="25" ht="15.0" customHeight="1">
      <c r="A25" s="18" t="s">
        <v>503</v>
      </c>
      <c r="B25" s="41"/>
      <c r="C25" s="41"/>
      <c r="D25" s="42"/>
      <c r="E25" s="2"/>
      <c r="F25" s="2"/>
      <c r="G25" s="9"/>
      <c r="H25" s="3" t="s">
        <v>98</v>
      </c>
      <c r="I25" s="3">
        <v>217865.0</v>
      </c>
      <c r="J25" s="3">
        <v>3594.0</v>
      </c>
      <c r="K25" s="29">
        <f t="shared" si="1"/>
        <v>0.02</v>
      </c>
      <c r="L25" s="28">
        <f t="shared" si="2"/>
        <v>0.1665611349</v>
      </c>
      <c r="M25" s="31">
        <f t="shared" si="3"/>
        <v>3</v>
      </c>
      <c r="N25" s="32"/>
      <c r="O25" s="32"/>
      <c r="P25" s="32"/>
      <c r="Q25" s="32"/>
      <c r="R25" s="32"/>
      <c r="S25" s="32"/>
      <c r="T25" s="32"/>
      <c r="U25" s="32"/>
      <c r="V25" s="32"/>
      <c r="W25" s="32"/>
      <c r="X25" s="32"/>
      <c r="Y25" s="32"/>
      <c r="Z25" s="32"/>
      <c r="AA25" s="32"/>
      <c r="AB25" s="32"/>
      <c r="AC25" s="32"/>
    </row>
    <row r="26" ht="15.0" customHeight="1">
      <c r="A26" s="3"/>
      <c r="B26" s="3"/>
      <c r="C26" s="3"/>
      <c r="D26" s="2"/>
      <c r="E26" s="2"/>
      <c r="F26" s="2"/>
      <c r="G26" s="9"/>
      <c r="H26" s="3" t="s">
        <v>100</v>
      </c>
      <c r="I26" s="3">
        <v>62105.0</v>
      </c>
      <c r="J26" s="3">
        <v>750.0</v>
      </c>
      <c r="K26" s="29">
        <f t="shared" si="1"/>
        <v>0.01</v>
      </c>
      <c r="L26" s="28">
        <f t="shared" si="2"/>
        <v>0.3217276696</v>
      </c>
      <c r="M26" s="31">
        <f t="shared" si="3"/>
        <v>1</v>
      </c>
      <c r="N26" s="32"/>
      <c r="O26" s="32"/>
      <c r="P26" s="32"/>
      <c r="Q26" s="32"/>
      <c r="R26" s="32"/>
      <c r="S26" s="32"/>
      <c r="T26" s="32"/>
      <c r="U26" s="32"/>
      <c r="V26" s="32"/>
      <c r="W26" s="32"/>
      <c r="X26" s="32"/>
      <c r="Y26" s="32"/>
      <c r="Z26" s="32"/>
      <c r="AA26" s="32"/>
      <c r="AB26" s="32"/>
      <c r="AC26" s="32"/>
    </row>
    <row r="27" ht="15.0" customHeight="1">
      <c r="A27" s="30" t="s">
        <v>504</v>
      </c>
      <c r="B27" s="30" t="s">
        <v>505</v>
      </c>
      <c r="C27" s="3"/>
      <c r="D27" s="2"/>
      <c r="E27" s="2"/>
      <c r="F27" s="2"/>
      <c r="G27" s="9"/>
      <c r="H27" s="3" t="s">
        <v>110</v>
      </c>
      <c r="I27" s="3">
        <v>29127.0</v>
      </c>
      <c r="J27" s="3">
        <v>395.0</v>
      </c>
      <c r="K27" s="29">
        <f t="shared" si="1"/>
        <v>0.01</v>
      </c>
      <c r="L27" s="28">
        <f t="shared" si="2"/>
        <v>0.7826546968</v>
      </c>
      <c r="M27" s="31">
        <f t="shared" si="3"/>
        <v>4</v>
      </c>
      <c r="N27" s="32"/>
      <c r="O27" s="32"/>
      <c r="P27" s="32"/>
      <c r="Q27" s="32"/>
      <c r="R27" s="32"/>
      <c r="S27" s="32"/>
      <c r="T27" s="32"/>
      <c r="U27" s="32"/>
      <c r="V27" s="32"/>
      <c r="W27" s="32"/>
      <c r="X27" s="32"/>
      <c r="Y27" s="32"/>
      <c r="Z27" s="32"/>
      <c r="AA27" s="32"/>
      <c r="AB27" s="32"/>
      <c r="AC27" s="32"/>
    </row>
    <row r="28" ht="15.0" customHeight="1">
      <c r="A28" s="43">
        <f>TODAY()</f>
        <v>44395</v>
      </c>
      <c r="B28" s="44">
        <f>NOW()</f>
        <v>44395.42398</v>
      </c>
      <c r="C28" s="3"/>
      <c r="D28" s="2"/>
      <c r="E28" s="2"/>
      <c r="F28" s="2"/>
      <c r="G28" s="9"/>
      <c r="H28" s="3" t="s">
        <v>106</v>
      </c>
      <c r="I28" s="3">
        <v>233136.0</v>
      </c>
      <c r="J28" s="3">
        <v>5048.0</v>
      </c>
      <c r="K28" s="29">
        <f t="shared" si="1"/>
        <v>0.02</v>
      </c>
      <c r="L28" s="28">
        <f t="shared" si="2"/>
        <v>0.9158276434</v>
      </c>
      <c r="M28" s="31">
        <f t="shared" si="3"/>
        <v>3</v>
      </c>
      <c r="N28" s="32"/>
      <c r="O28" s="32"/>
      <c r="P28" s="32"/>
      <c r="Q28" s="32"/>
      <c r="R28" s="32"/>
      <c r="S28" s="32"/>
      <c r="T28" s="32"/>
      <c r="U28" s="32"/>
      <c r="V28" s="32"/>
      <c r="W28" s="32"/>
      <c r="X28" s="32"/>
      <c r="Y28" s="32"/>
      <c r="Z28" s="32"/>
      <c r="AA28" s="32"/>
      <c r="AB28" s="32"/>
      <c r="AC28" s="32"/>
    </row>
    <row r="29" ht="15.0" customHeight="1">
      <c r="A29" s="3"/>
      <c r="B29" s="3"/>
      <c r="C29" s="3"/>
      <c r="D29" s="2"/>
      <c r="E29" s="2"/>
      <c r="F29" s="2"/>
      <c r="G29" s="9"/>
      <c r="H29" s="3" t="s">
        <v>104</v>
      </c>
      <c r="I29" s="3">
        <v>2320.0</v>
      </c>
      <c r="J29" s="3">
        <v>28.0</v>
      </c>
      <c r="K29" s="29">
        <f t="shared" si="1"/>
        <v>0.01</v>
      </c>
      <c r="L29" s="28">
        <f t="shared" si="2"/>
        <v>0.5005767602</v>
      </c>
      <c r="M29" s="31">
        <f t="shared" si="3"/>
        <v>2</v>
      </c>
      <c r="N29" s="32"/>
      <c r="O29" s="32"/>
      <c r="P29" s="32"/>
      <c r="Q29" s="32"/>
      <c r="R29" s="32"/>
      <c r="S29" s="32"/>
      <c r="T29" s="32"/>
      <c r="U29" s="32"/>
      <c r="V29" s="32"/>
      <c r="W29" s="32"/>
      <c r="X29" s="32"/>
      <c r="Y29" s="32"/>
      <c r="Z29" s="32"/>
      <c r="AA29" s="32"/>
      <c r="AB29" s="32"/>
      <c r="AC29" s="32"/>
    </row>
    <row r="30">
      <c r="A30" s="3" t="s">
        <v>506</v>
      </c>
      <c r="B30" s="35">
        <f>WEEKDAY($A$28, 2)</f>
        <v>7</v>
      </c>
      <c r="C30" s="45">
        <f>WEEKDAY($A$28, 1)</f>
        <v>1</v>
      </c>
      <c r="D30" s="46"/>
      <c r="E30" s="2"/>
      <c r="F30" s="2"/>
      <c r="G30" s="9"/>
      <c r="H30" s="3" t="s">
        <v>112</v>
      </c>
      <c r="I30" s="3">
        <v>91906.0</v>
      </c>
      <c r="J30" s="3">
        <v>1296.0</v>
      </c>
      <c r="K30" s="29">
        <f t="shared" si="1"/>
        <v>0.01</v>
      </c>
      <c r="L30" s="28">
        <f t="shared" si="2"/>
        <v>0.5084612321</v>
      </c>
      <c r="M30" s="31">
        <f t="shared" si="3"/>
        <v>4</v>
      </c>
      <c r="N30" s="32"/>
      <c r="O30" s="32"/>
      <c r="P30" s="32"/>
      <c r="Q30" s="32"/>
      <c r="R30" s="32"/>
      <c r="S30" s="32"/>
      <c r="T30" s="32"/>
      <c r="U30" s="32"/>
      <c r="V30" s="32"/>
      <c r="W30" s="32"/>
      <c r="X30" s="32"/>
      <c r="Y30" s="32"/>
      <c r="Z30" s="32"/>
      <c r="AA30" s="32"/>
      <c r="AB30" s="32"/>
      <c r="AC30" s="32"/>
    </row>
    <row r="31">
      <c r="A31" s="3" t="s">
        <v>507</v>
      </c>
      <c r="B31" s="35">
        <f>DAY($A$28)</f>
        <v>18</v>
      </c>
      <c r="C31" s="3"/>
      <c r="D31" s="2"/>
      <c r="E31" s="2"/>
      <c r="F31" s="2"/>
      <c r="G31" s="9"/>
      <c r="H31" s="3" t="s">
        <v>114</v>
      </c>
      <c r="I31" s="3">
        <v>1308774.0</v>
      </c>
      <c r="J31" s="3">
        <v>16733.0</v>
      </c>
      <c r="K31" s="29">
        <f t="shared" si="1"/>
        <v>0.01</v>
      </c>
      <c r="L31" s="28">
        <f t="shared" si="2"/>
        <v>0.5913802481</v>
      </c>
      <c r="M31" s="31">
        <f t="shared" si="3"/>
        <v>4</v>
      </c>
      <c r="N31" s="32"/>
      <c r="O31" s="32"/>
      <c r="P31" s="32"/>
      <c r="Q31" s="32"/>
      <c r="R31" s="32"/>
      <c r="S31" s="32"/>
      <c r="T31" s="32"/>
      <c r="U31" s="32"/>
      <c r="V31" s="32"/>
      <c r="W31" s="32"/>
      <c r="X31" s="32"/>
      <c r="Y31" s="32"/>
      <c r="Z31" s="32"/>
      <c r="AA31" s="32"/>
      <c r="AB31" s="32"/>
      <c r="AC31" s="32"/>
    </row>
    <row r="32">
      <c r="A32" s="3" t="s">
        <v>508</v>
      </c>
      <c r="B32" s="35">
        <f>MONTH($A$28)</f>
        <v>7</v>
      </c>
      <c r="C32" s="3"/>
      <c r="D32" s="2"/>
      <c r="E32" s="2"/>
      <c r="F32" s="2"/>
      <c r="G32" s="9"/>
      <c r="H32" s="3" t="s">
        <v>108</v>
      </c>
      <c r="I32" s="3">
        <v>132740.0</v>
      </c>
      <c r="J32" s="3">
        <v>3860.0</v>
      </c>
      <c r="K32" s="29">
        <f t="shared" si="1"/>
        <v>0.03</v>
      </c>
      <c r="L32" s="28">
        <f t="shared" si="2"/>
        <v>0.2011728916</v>
      </c>
      <c r="M32" s="31">
        <f t="shared" si="3"/>
        <v>4</v>
      </c>
      <c r="N32" s="32"/>
      <c r="O32" s="32"/>
      <c r="P32" s="32"/>
      <c r="Q32" s="32"/>
      <c r="R32" s="32"/>
      <c r="S32" s="32"/>
      <c r="T32" s="32"/>
      <c r="U32" s="32"/>
      <c r="V32" s="32"/>
      <c r="W32" s="32"/>
      <c r="X32" s="32"/>
      <c r="Y32" s="32"/>
      <c r="Z32" s="32"/>
      <c r="AA32" s="32"/>
      <c r="AB32" s="32"/>
      <c r="AC32" s="32"/>
    </row>
    <row r="33">
      <c r="A33" s="3" t="s">
        <v>509</v>
      </c>
      <c r="B33" s="12">
        <f>YEAR($A$28)</f>
        <v>2021</v>
      </c>
      <c r="C33" s="2"/>
      <c r="D33" s="2"/>
      <c r="E33" s="2"/>
      <c r="F33" s="2"/>
      <c r="G33" s="9"/>
      <c r="H33" s="3" t="s">
        <v>116</v>
      </c>
      <c r="I33" s="3">
        <v>97410.0</v>
      </c>
      <c r="J33" s="3">
        <v>673.0</v>
      </c>
      <c r="K33" s="29">
        <f t="shared" si="1"/>
        <v>0.01</v>
      </c>
      <c r="L33" s="28">
        <f t="shared" si="2"/>
        <v>0.201313813</v>
      </c>
      <c r="M33" s="31">
        <f t="shared" si="3"/>
        <v>3</v>
      </c>
      <c r="N33" s="32"/>
      <c r="O33" s="32"/>
      <c r="P33" s="32"/>
      <c r="Q33" s="32"/>
      <c r="R33" s="32"/>
      <c r="S33" s="32"/>
      <c r="T33" s="32"/>
      <c r="U33" s="32"/>
      <c r="V33" s="32"/>
      <c r="W33" s="32"/>
      <c r="X33" s="32"/>
      <c r="Y33" s="32"/>
      <c r="Z33" s="32"/>
      <c r="AA33" s="32"/>
      <c r="AB33" s="32"/>
      <c r="AC33" s="32"/>
    </row>
    <row r="34">
      <c r="A34" s="3" t="s">
        <v>510</v>
      </c>
      <c r="B34" s="47">
        <f>EDATE($A$28, 4)</f>
        <v>44518</v>
      </c>
      <c r="C34" s="47">
        <f>EDATE($A$28, -5)</f>
        <v>44245</v>
      </c>
      <c r="D34" s="2"/>
      <c r="E34" s="2"/>
      <c r="F34" s="2"/>
      <c r="G34" s="9"/>
      <c r="H34" s="3" t="s">
        <v>120</v>
      </c>
      <c r="I34" s="3">
        <v>2387511.0</v>
      </c>
      <c r="J34" s="3">
        <v>54165.0</v>
      </c>
      <c r="K34" s="29">
        <f t="shared" si="1"/>
        <v>0.02</v>
      </c>
      <c r="L34" s="28">
        <f t="shared" si="2"/>
        <v>0.904938323</v>
      </c>
      <c r="M34" s="31">
        <f t="shared" si="3"/>
        <v>4</v>
      </c>
      <c r="N34" s="32"/>
      <c r="O34" s="32"/>
      <c r="P34" s="32"/>
      <c r="Q34" s="32"/>
      <c r="R34" s="32"/>
      <c r="S34" s="32"/>
      <c r="T34" s="32"/>
      <c r="U34" s="32"/>
      <c r="V34" s="32"/>
      <c r="W34" s="32"/>
      <c r="X34" s="32"/>
      <c r="Y34" s="32"/>
      <c r="Z34" s="32"/>
      <c r="AA34" s="32"/>
      <c r="AB34" s="32"/>
      <c r="AC34" s="32"/>
    </row>
    <row r="35">
      <c r="A35" s="3" t="s">
        <v>511</v>
      </c>
      <c r="B35" s="47">
        <f>EOMONTH($A$28, 1)</f>
        <v>44439</v>
      </c>
      <c r="C35" s="47">
        <f>EOMONTH($A$28, -9)</f>
        <v>44135</v>
      </c>
      <c r="D35" s="2"/>
      <c r="E35" s="2"/>
      <c r="F35" s="2"/>
      <c r="G35" s="9"/>
      <c r="H35" s="3" t="s">
        <v>122</v>
      </c>
      <c r="I35" s="3">
        <v>822862.0</v>
      </c>
      <c r="J35" s="3">
        <v>16868.0</v>
      </c>
      <c r="K35" s="29">
        <f t="shared" si="1"/>
        <v>0.02</v>
      </c>
      <c r="L35" s="28">
        <f t="shared" si="2"/>
        <v>0.1595923842</v>
      </c>
      <c r="M35" s="31">
        <f t="shared" si="3"/>
        <v>2</v>
      </c>
      <c r="N35" s="32"/>
      <c r="O35" s="32"/>
      <c r="P35" s="32"/>
      <c r="Q35" s="32"/>
      <c r="R35" s="32"/>
      <c r="S35" s="32"/>
      <c r="T35" s="32"/>
      <c r="U35" s="32"/>
      <c r="V35" s="32"/>
      <c r="W35" s="32"/>
      <c r="X35" s="32"/>
      <c r="Y35" s="32"/>
      <c r="Z35" s="32"/>
      <c r="AA35" s="32"/>
      <c r="AB35" s="32"/>
      <c r="AC35" s="32"/>
    </row>
    <row r="36">
      <c r="A36" s="3"/>
      <c r="B36" s="3"/>
      <c r="C36" s="46"/>
      <c r="D36" s="2"/>
      <c r="E36" s="2"/>
      <c r="F36" s="2"/>
      <c r="G36" s="9"/>
      <c r="H36" s="3" t="s">
        <v>124</v>
      </c>
      <c r="I36" s="3">
        <v>964726.0</v>
      </c>
      <c r="J36" s="3">
        <v>23819.0</v>
      </c>
      <c r="K36" s="29">
        <f t="shared" si="1"/>
        <v>0.02</v>
      </c>
      <c r="L36" s="28">
        <f t="shared" si="2"/>
        <v>0.9375438579</v>
      </c>
      <c r="M36" s="31">
        <f t="shared" si="3"/>
        <v>4</v>
      </c>
      <c r="N36" s="32"/>
      <c r="O36" s="32"/>
      <c r="P36" s="32"/>
      <c r="Q36" s="32"/>
      <c r="R36" s="32"/>
      <c r="S36" s="32"/>
      <c r="T36" s="32"/>
      <c r="U36" s="32"/>
      <c r="V36" s="32"/>
      <c r="W36" s="32"/>
      <c r="X36" s="32"/>
      <c r="Y36" s="32"/>
      <c r="Z36" s="32"/>
      <c r="AA36" s="32"/>
      <c r="AB36" s="32"/>
      <c r="AC36" s="32"/>
    </row>
    <row r="37">
      <c r="A37" s="3"/>
      <c r="B37" s="3"/>
      <c r="C37" s="3"/>
      <c r="D37" s="2"/>
      <c r="E37" s="2"/>
      <c r="F37" s="2"/>
      <c r="G37" s="9"/>
      <c r="H37" s="3" t="s">
        <v>126</v>
      </c>
      <c r="I37" s="3">
        <v>4511973.0</v>
      </c>
      <c r="J37" s="3">
        <v>97986.0</v>
      </c>
      <c r="K37" s="29">
        <f t="shared" si="1"/>
        <v>0.02</v>
      </c>
      <c r="L37" s="28">
        <f t="shared" si="2"/>
        <v>0.3050609714</v>
      </c>
      <c r="M37" s="31">
        <f t="shared" si="3"/>
        <v>3</v>
      </c>
      <c r="N37" s="32"/>
      <c r="O37" s="32"/>
      <c r="P37" s="32"/>
      <c r="Q37" s="32"/>
      <c r="R37" s="32"/>
      <c r="S37" s="32"/>
      <c r="T37" s="32"/>
      <c r="U37" s="32"/>
      <c r="V37" s="32"/>
      <c r="W37" s="32"/>
      <c r="X37" s="32"/>
      <c r="Y37" s="32"/>
      <c r="Z37" s="32"/>
      <c r="AA37" s="32"/>
      <c r="AB37" s="32"/>
      <c r="AC37" s="32"/>
    </row>
    <row r="38">
      <c r="A38" s="3"/>
      <c r="B38" s="3"/>
      <c r="C38" s="3"/>
      <c r="D38" s="2"/>
      <c r="E38" s="2"/>
      <c r="F38" s="2"/>
      <c r="G38" s="9"/>
      <c r="H38" s="3" t="s">
        <v>128</v>
      </c>
      <c r="I38" s="3">
        <v>4775.0</v>
      </c>
      <c r="J38" s="3">
        <v>84.0</v>
      </c>
      <c r="K38" s="29">
        <f t="shared" si="1"/>
        <v>0.02</v>
      </c>
      <c r="L38" s="28">
        <f t="shared" si="2"/>
        <v>0.1900864123</v>
      </c>
      <c r="M38" s="31">
        <f t="shared" si="3"/>
        <v>2</v>
      </c>
      <c r="N38" s="32"/>
      <c r="O38" s="32"/>
      <c r="P38" s="32"/>
      <c r="Q38" s="32"/>
      <c r="R38" s="32"/>
      <c r="S38" s="32"/>
      <c r="T38" s="32"/>
      <c r="U38" s="32"/>
      <c r="V38" s="32"/>
      <c r="W38" s="32"/>
      <c r="X38" s="32"/>
      <c r="Y38" s="32"/>
      <c r="Z38" s="32"/>
      <c r="AA38" s="32"/>
      <c r="AB38" s="32"/>
      <c r="AC38" s="32"/>
    </row>
    <row r="39">
      <c r="A39" s="3"/>
      <c r="B39" s="3"/>
      <c r="C39" s="3"/>
      <c r="D39" s="2"/>
      <c r="E39" s="2"/>
      <c r="F39" s="2"/>
      <c r="G39" s="9"/>
      <c r="H39" s="3" t="s">
        <v>130</v>
      </c>
      <c r="I39" s="3">
        <v>610232.0</v>
      </c>
      <c r="J39" s="3">
        <v>5384.0</v>
      </c>
      <c r="K39" s="29">
        <f t="shared" si="1"/>
        <v>0.01</v>
      </c>
      <c r="L39" s="28">
        <f t="shared" si="2"/>
        <v>0.9876920545</v>
      </c>
      <c r="M39" s="31">
        <f t="shared" si="3"/>
        <v>3</v>
      </c>
      <c r="N39" s="32"/>
      <c r="O39" s="32"/>
      <c r="P39" s="32"/>
      <c r="Q39" s="32"/>
      <c r="R39" s="32"/>
      <c r="S39" s="32"/>
      <c r="T39" s="32"/>
      <c r="U39" s="32"/>
      <c r="V39" s="32"/>
      <c r="W39" s="32"/>
      <c r="X39" s="32"/>
      <c r="Y39" s="32"/>
      <c r="Z39" s="32"/>
      <c r="AA39" s="32"/>
      <c r="AB39" s="32"/>
      <c r="AC39" s="32"/>
    </row>
    <row r="40">
      <c r="A40" s="3"/>
      <c r="B40" s="3"/>
      <c r="C40" s="3"/>
      <c r="D40" s="2"/>
      <c r="E40" s="2"/>
      <c r="F40" s="2"/>
      <c r="G40" s="9"/>
      <c r="H40" s="3" t="s">
        <v>132</v>
      </c>
      <c r="I40" s="3">
        <v>363874.0</v>
      </c>
      <c r="J40" s="3">
        <v>9877.0</v>
      </c>
      <c r="K40" s="29">
        <f t="shared" si="1"/>
        <v>0.03</v>
      </c>
      <c r="L40" s="28">
        <f t="shared" si="2"/>
        <v>0.443477967</v>
      </c>
      <c r="M40" s="31">
        <f t="shared" si="3"/>
        <v>4</v>
      </c>
      <c r="N40" s="32"/>
      <c r="O40" s="32"/>
      <c r="P40" s="32"/>
      <c r="Q40" s="32"/>
      <c r="R40" s="32"/>
      <c r="S40" s="32"/>
      <c r="T40" s="32"/>
      <c r="U40" s="32"/>
      <c r="V40" s="32"/>
      <c r="W40" s="32"/>
      <c r="X40" s="32"/>
      <c r="Y40" s="32"/>
      <c r="Z40" s="32"/>
      <c r="AA40" s="32"/>
      <c r="AB40" s="32"/>
      <c r="AC40" s="32"/>
    </row>
    <row r="41">
      <c r="A41" s="3"/>
      <c r="B41" s="3"/>
      <c r="C41" s="3"/>
      <c r="D41" s="2"/>
      <c r="E41" s="2"/>
      <c r="F41" s="2"/>
      <c r="G41" s="9"/>
      <c r="H41" s="3" t="s">
        <v>134</v>
      </c>
      <c r="I41" s="3">
        <v>218114.0</v>
      </c>
      <c r="J41" s="3">
        <v>4063.0</v>
      </c>
      <c r="K41" s="29">
        <f t="shared" si="1"/>
        <v>0.02</v>
      </c>
      <c r="L41" s="28">
        <f t="shared" si="2"/>
        <v>0.3013578762</v>
      </c>
      <c r="M41" s="31">
        <f t="shared" si="3"/>
        <v>2</v>
      </c>
      <c r="N41" s="32"/>
      <c r="O41" s="32"/>
      <c r="P41" s="32"/>
      <c r="Q41" s="32"/>
      <c r="R41" s="32"/>
      <c r="S41" s="32"/>
      <c r="T41" s="32"/>
      <c r="U41" s="32"/>
      <c r="V41" s="32"/>
      <c r="W41" s="32"/>
      <c r="X41" s="32"/>
      <c r="Y41" s="32"/>
      <c r="Z41" s="32"/>
      <c r="AA41" s="32"/>
      <c r="AB41" s="32"/>
      <c r="AC41" s="32"/>
    </row>
    <row r="42">
      <c r="A42" s="3"/>
      <c r="B42" s="3"/>
      <c r="C42" s="3"/>
      <c r="D42" s="2"/>
      <c r="E42" s="2"/>
      <c r="F42" s="2"/>
      <c r="G42" s="9"/>
      <c r="H42" s="3" t="s">
        <v>64</v>
      </c>
      <c r="I42" s="3">
        <v>3291394.0</v>
      </c>
      <c r="J42" s="3">
        <v>75541.0</v>
      </c>
      <c r="K42" s="29">
        <f t="shared" si="1"/>
        <v>0.02</v>
      </c>
      <c r="L42" s="28">
        <f t="shared" si="2"/>
        <v>0.2516736689</v>
      </c>
      <c r="M42" s="31">
        <f t="shared" si="3"/>
        <v>1</v>
      </c>
      <c r="N42" s="32"/>
      <c r="O42" s="32"/>
      <c r="P42" s="32"/>
      <c r="Q42" s="32"/>
      <c r="R42" s="32"/>
      <c r="S42" s="32"/>
      <c r="T42" s="32"/>
      <c r="U42" s="32"/>
      <c r="V42" s="32"/>
      <c r="W42" s="32"/>
      <c r="X42" s="32"/>
      <c r="Y42" s="32"/>
      <c r="Z42" s="32"/>
      <c r="AA42" s="32"/>
      <c r="AB42" s="32"/>
      <c r="AC42" s="32"/>
    </row>
    <row r="43">
      <c r="A43" s="3"/>
      <c r="B43" s="3"/>
      <c r="C43" s="3"/>
      <c r="D43" s="2"/>
      <c r="E43" s="2"/>
      <c r="F43" s="2"/>
      <c r="G43" s="9"/>
      <c r="H43" s="3" t="s">
        <v>136</v>
      </c>
      <c r="I43" s="3">
        <v>813191.0</v>
      </c>
      <c r="J43" s="3">
        <v>13498.0</v>
      </c>
      <c r="K43" s="29">
        <f t="shared" si="1"/>
        <v>0.02</v>
      </c>
      <c r="L43" s="28">
        <f t="shared" si="2"/>
        <v>0.1032703154</v>
      </c>
      <c r="M43" s="31">
        <f t="shared" si="3"/>
        <v>1</v>
      </c>
      <c r="N43" s="32"/>
      <c r="O43" s="32"/>
      <c r="P43" s="32"/>
      <c r="Q43" s="32"/>
      <c r="R43" s="32"/>
      <c r="S43" s="32"/>
      <c r="T43" s="32"/>
      <c r="U43" s="32"/>
      <c r="V43" s="32"/>
      <c r="W43" s="32"/>
      <c r="X43" s="32"/>
      <c r="Y43" s="32"/>
      <c r="Z43" s="32"/>
      <c r="AA43" s="32"/>
      <c r="AB43" s="32"/>
      <c r="AC43" s="32"/>
    </row>
    <row r="44">
      <c r="A44" s="3"/>
      <c r="B44" s="3"/>
      <c r="C44" s="3"/>
      <c r="D44" s="2"/>
      <c r="E44" s="2"/>
      <c r="F44" s="2"/>
      <c r="G44" s="9"/>
      <c r="H44" s="3" t="s">
        <v>54</v>
      </c>
      <c r="I44" s="3">
        <v>605342.0</v>
      </c>
      <c r="J44" s="3">
        <v>10351.0</v>
      </c>
      <c r="K44" s="29">
        <f t="shared" si="1"/>
        <v>0.02</v>
      </c>
      <c r="L44" s="28">
        <f t="shared" si="2"/>
        <v>0.5126456807</v>
      </c>
      <c r="M44" s="31">
        <f t="shared" si="3"/>
        <v>1</v>
      </c>
      <c r="N44" s="32"/>
      <c r="O44" s="32"/>
      <c r="P44" s="32"/>
      <c r="Q44" s="32"/>
      <c r="R44" s="32"/>
      <c r="S44" s="32"/>
      <c r="T44" s="32"/>
      <c r="U44" s="32"/>
      <c r="V44" s="32"/>
      <c r="W44" s="32"/>
      <c r="X44" s="32"/>
      <c r="Y44" s="32"/>
      <c r="Z44" s="32"/>
      <c r="AA44" s="32"/>
      <c r="AB44" s="32"/>
      <c r="AC44" s="32"/>
    </row>
    <row r="45">
      <c r="A45" s="3"/>
      <c r="B45" s="3"/>
      <c r="C45" s="3"/>
      <c r="D45" s="2"/>
      <c r="E45" s="2"/>
      <c r="F45" s="2"/>
      <c r="G45" s="9"/>
      <c r="H45" s="3" t="s">
        <v>439</v>
      </c>
      <c r="I45" s="3">
        <v>3400296.0</v>
      </c>
      <c r="J45" s="3">
        <v>31892.0</v>
      </c>
      <c r="K45" s="29">
        <f t="shared" si="1"/>
        <v>0.01</v>
      </c>
      <c r="L45" s="28">
        <f t="shared" si="2"/>
        <v>0.8449518299</v>
      </c>
      <c r="M45" s="31">
        <f t="shared" si="3"/>
        <v>4</v>
      </c>
      <c r="N45" s="32"/>
      <c r="O45" s="32"/>
      <c r="P45" s="32"/>
      <c r="Q45" s="32"/>
      <c r="R45" s="32"/>
      <c r="S45" s="32"/>
      <c r="T45" s="32"/>
      <c r="U45" s="32"/>
      <c r="V45" s="32"/>
      <c r="W45" s="32"/>
      <c r="X45" s="32"/>
      <c r="Y45" s="32"/>
      <c r="Z45" s="32"/>
      <c r="AA45" s="32"/>
      <c r="AB45" s="32"/>
      <c r="AC45" s="32"/>
    </row>
    <row r="46">
      <c r="A46" s="3"/>
      <c r="B46" s="3"/>
      <c r="C46" s="3"/>
      <c r="D46" s="2"/>
      <c r="E46" s="2"/>
      <c r="F46" s="2"/>
      <c r="G46" s="9"/>
      <c r="H46" s="3" t="s">
        <v>138</v>
      </c>
      <c r="I46" s="3">
        <v>1762713.0</v>
      </c>
      <c r="J46" s="3">
        <v>35326.0</v>
      </c>
      <c r="K46" s="29">
        <f t="shared" si="1"/>
        <v>0.02</v>
      </c>
      <c r="L46" s="28">
        <f t="shared" si="2"/>
        <v>0.4882812374</v>
      </c>
      <c r="M46" s="31">
        <f t="shared" si="3"/>
        <v>3</v>
      </c>
      <c r="N46" s="32"/>
      <c r="O46" s="32"/>
      <c r="P46" s="32"/>
      <c r="Q46" s="32"/>
      <c r="R46" s="32"/>
      <c r="S46" s="32"/>
      <c r="T46" s="32"/>
      <c r="U46" s="32"/>
      <c r="V46" s="32"/>
      <c r="W46" s="32"/>
      <c r="X46" s="32"/>
      <c r="Y46" s="32"/>
      <c r="Z46" s="32"/>
      <c r="AA46" s="32"/>
      <c r="AB46" s="32"/>
      <c r="AC46" s="32"/>
    </row>
    <row r="47">
      <c r="A47" s="3"/>
      <c r="B47" s="3"/>
      <c r="C47" s="3"/>
      <c r="D47" s="2"/>
      <c r="E47" s="2"/>
      <c r="F47" s="2"/>
      <c r="G47" s="9"/>
      <c r="H47" s="3" t="s">
        <v>74</v>
      </c>
      <c r="I47" s="3">
        <v>4367969.0</v>
      </c>
      <c r="J47" s="3">
        <v>127058.0</v>
      </c>
      <c r="K47" s="29">
        <f t="shared" si="1"/>
        <v>0.03</v>
      </c>
      <c r="L47" s="28">
        <f t="shared" si="2"/>
        <v>0.254787193</v>
      </c>
      <c r="M47" s="31">
        <f t="shared" si="3"/>
        <v>2</v>
      </c>
      <c r="N47" s="32"/>
      <c r="O47" s="32"/>
      <c r="P47" s="32"/>
      <c r="Q47" s="32"/>
      <c r="R47" s="32"/>
      <c r="S47" s="32"/>
      <c r="T47" s="32"/>
      <c r="U47" s="32"/>
      <c r="V47" s="32"/>
      <c r="W47" s="32"/>
      <c r="X47" s="32"/>
      <c r="Y47" s="32"/>
      <c r="Z47" s="32"/>
      <c r="AA47" s="32"/>
      <c r="AB47" s="32"/>
      <c r="AC47" s="32"/>
    </row>
    <row r="48">
      <c r="A48" s="3"/>
      <c r="B48" s="3"/>
      <c r="C48" s="3"/>
      <c r="D48" s="2"/>
      <c r="E48" s="2"/>
      <c r="F48" s="2"/>
      <c r="G48" s="9"/>
      <c r="H48" s="3" t="s">
        <v>140</v>
      </c>
      <c r="I48" s="3">
        <v>27.0</v>
      </c>
      <c r="J48" s="3">
        <v>0.0</v>
      </c>
      <c r="K48" s="29">
        <f t="shared" si="1"/>
        <v>0</v>
      </c>
      <c r="L48" s="28">
        <f t="shared" si="2"/>
        <v>0.5058986967</v>
      </c>
      <c r="M48" s="31">
        <f t="shared" si="3"/>
        <v>4</v>
      </c>
      <c r="N48" s="32"/>
      <c r="O48" s="32"/>
      <c r="P48" s="32"/>
      <c r="Q48" s="32"/>
      <c r="R48" s="32"/>
      <c r="S48" s="32"/>
      <c r="T48" s="32"/>
      <c r="U48" s="32"/>
      <c r="V48" s="32"/>
      <c r="W48" s="32"/>
      <c r="X48" s="32"/>
      <c r="Y48" s="32"/>
      <c r="Z48" s="32"/>
      <c r="AA48" s="32"/>
      <c r="AB48" s="32"/>
      <c r="AC48" s="32"/>
    </row>
    <row r="49">
      <c r="A49" s="3"/>
      <c r="B49" s="3"/>
      <c r="C49" s="3"/>
      <c r="D49" s="2"/>
      <c r="E49" s="2"/>
      <c r="F49" s="2"/>
      <c r="G49" s="9"/>
      <c r="H49" s="25"/>
      <c r="I49" s="2"/>
      <c r="J49" s="2"/>
      <c r="K49" s="32"/>
      <c r="L49" s="28"/>
      <c r="M49" s="32"/>
      <c r="N49" s="32"/>
      <c r="O49" s="32"/>
      <c r="P49" s="32"/>
      <c r="Q49" s="32"/>
      <c r="R49" s="32"/>
      <c r="S49" s="32"/>
      <c r="T49" s="32"/>
      <c r="U49" s="32"/>
      <c r="V49" s="32"/>
      <c r="W49" s="32"/>
      <c r="X49" s="32"/>
      <c r="Y49" s="32"/>
      <c r="Z49" s="32"/>
      <c r="AA49" s="32"/>
      <c r="AB49" s="32"/>
      <c r="AC49" s="32"/>
    </row>
    <row r="50">
      <c r="A50" s="3"/>
      <c r="B50" s="3"/>
      <c r="C50" s="3"/>
      <c r="D50" s="2"/>
      <c r="E50" s="2"/>
      <c r="F50" s="2"/>
      <c r="G50" s="9"/>
      <c r="H50" s="25"/>
      <c r="I50" s="2"/>
      <c r="J50" s="2"/>
      <c r="K50" s="32"/>
      <c r="L50" s="28"/>
      <c r="M50" s="32"/>
      <c r="N50" s="32"/>
      <c r="O50" s="32"/>
      <c r="P50" s="32"/>
      <c r="Q50" s="32"/>
      <c r="R50" s="32"/>
      <c r="S50" s="32"/>
      <c r="T50" s="32"/>
      <c r="U50" s="32"/>
      <c r="V50" s="32"/>
      <c r="W50" s="32"/>
      <c r="X50" s="32"/>
      <c r="Y50" s="32"/>
      <c r="Z50" s="32"/>
      <c r="AA50" s="32"/>
      <c r="AB50" s="32"/>
      <c r="AC50" s="32"/>
    </row>
    <row r="51">
      <c r="A51" s="3"/>
      <c r="B51" s="3"/>
      <c r="C51" s="3"/>
      <c r="D51" s="2"/>
      <c r="E51" s="2"/>
      <c r="F51" s="2"/>
      <c r="G51" s="9"/>
      <c r="H51" s="25"/>
      <c r="I51" s="2"/>
      <c r="J51" s="2"/>
      <c r="K51" s="32"/>
      <c r="L51" s="28"/>
      <c r="M51" s="32"/>
      <c r="N51" s="32"/>
      <c r="O51" s="32"/>
      <c r="P51" s="32"/>
      <c r="Q51" s="32"/>
      <c r="R51" s="32"/>
      <c r="S51" s="32"/>
      <c r="T51" s="32"/>
      <c r="U51" s="32"/>
      <c r="V51" s="32"/>
      <c r="W51" s="32"/>
      <c r="X51" s="32"/>
      <c r="Y51" s="32"/>
      <c r="Z51" s="32"/>
      <c r="AA51" s="32"/>
      <c r="AB51" s="32"/>
      <c r="AC51" s="32"/>
    </row>
    <row r="52">
      <c r="A52" s="3"/>
      <c r="B52" s="3"/>
      <c r="C52" s="3"/>
      <c r="D52" s="2"/>
      <c r="E52" s="2"/>
      <c r="F52" s="2"/>
      <c r="G52" s="9"/>
      <c r="H52" s="25"/>
      <c r="I52" s="2"/>
      <c r="J52" s="2"/>
      <c r="K52" s="32"/>
      <c r="L52" s="28"/>
      <c r="M52" s="32"/>
      <c r="N52" s="48"/>
      <c r="O52" s="48"/>
      <c r="P52" s="48"/>
      <c r="Q52" s="48"/>
      <c r="R52" s="48"/>
      <c r="S52" s="48"/>
      <c r="T52" s="48"/>
      <c r="U52" s="48"/>
      <c r="V52" s="48"/>
      <c r="W52" s="48"/>
      <c r="X52" s="48"/>
      <c r="Y52" s="48"/>
      <c r="Z52" s="48"/>
      <c r="AA52" s="48"/>
      <c r="AB52" s="48"/>
      <c r="AC52" s="48"/>
    </row>
    <row r="53">
      <c r="A53" s="3"/>
      <c r="B53" s="3"/>
      <c r="C53" s="3"/>
      <c r="D53" s="2"/>
      <c r="E53" s="2"/>
      <c r="F53" s="2"/>
      <c r="G53" s="9"/>
      <c r="H53" s="25"/>
      <c r="I53" s="2"/>
      <c r="J53" s="2"/>
      <c r="K53" s="29"/>
      <c r="L53" s="28"/>
      <c r="M53" s="32"/>
      <c r="N53" s="48"/>
      <c r="O53" s="48"/>
      <c r="P53" s="48"/>
      <c r="Q53" s="48"/>
      <c r="R53" s="48"/>
      <c r="S53" s="48"/>
      <c r="T53" s="48"/>
      <c r="U53" s="48"/>
      <c r="V53" s="48"/>
      <c r="W53" s="48"/>
      <c r="X53" s="48"/>
      <c r="Y53" s="48"/>
      <c r="Z53" s="48"/>
      <c r="AA53" s="48"/>
      <c r="AB53" s="48"/>
      <c r="AC53" s="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2.57"/>
    <col customWidth="1" min="3" max="3" width="11.86"/>
    <col customWidth="1" min="4" max="4" width="56.0"/>
    <col customWidth="1" min="5" max="5" width="17.29"/>
    <col customWidth="1" min="6" max="6" width="48.57"/>
    <col customWidth="1" min="7" max="7" width="22.43"/>
    <col customWidth="1" min="8" max="9" width="13.43"/>
    <col customWidth="1" min="10" max="10" width="15.86"/>
    <col customWidth="1" min="11" max="11" width="39.29"/>
    <col customWidth="1" min="12" max="12" width="15.0"/>
    <col customWidth="1" min="13" max="13" width="15.14"/>
  </cols>
  <sheetData>
    <row r="1" ht="15.75" customHeight="1">
      <c r="A1" s="49" t="s">
        <v>512</v>
      </c>
      <c r="B1" s="50" t="s">
        <v>513</v>
      </c>
      <c r="C1" s="51" t="s">
        <v>514</v>
      </c>
      <c r="D1" s="52" t="s">
        <v>515</v>
      </c>
      <c r="E1" s="52" t="s">
        <v>516</v>
      </c>
      <c r="F1" s="52" t="s">
        <v>517</v>
      </c>
      <c r="G1" s="52" t="s">
        <v>518</v>
      </c>
      <c r="H1" s="53" t="s">
        <v>519</v>
      </c>
      <c r="I1" s="53" t="s">
        <v>520</v>
      </c>
      <c r="J1" s="53" t="s">
        <v>521</v>
      </c>
      <c r="K1" s="53" t="s">
        <v>522</v>
      </c>
      <c r="L1" s="53" t="s">
        <v>523</v>
      </c>
      <c r="M1" s="52" t="s">
        <v>524</v>
      </c>
    </row>
    <row r="2" ht="15.75" customHeight="1">
      <c r="A2" s="54">
        <v>1.0</v>
      </c>
      <c r="B2" s="55" t="s">
        <v>525</v>
      </c>
      <c r="C2" s="56">
        <f>IFERROR(__xludf.DUMMYFUNCTION("DATE(""2020"", ""10"", ""17"") - REGEXEXTRACT($B2, ""\d+"")"),44112.0)</f>
        <v>44112</v>
      </c>
      <c r="D2" s="55" t="s">
        <v>526</v>
      </c>
      <c r="E2" s="55" t="s">
        <v>527</v>
      </c>
      <c r="F2" s="55" t="s">
        <v>528</v>
      </c>
      <c r="G2" s="55" t="s">
        <v>529</v>
      </c>
      <c r="H2" s="57">
        <f>IFERROR(__xludf.DUMMYFUNCTION("IFERROR(ROUND(AVERAGE(SPLIT(REGEXREPLACE($G2, ""[a-zA-Z]|-|£"", "" ""), "" ""))), ""No salary data"")"),31850.0)</f>
        <v>31850</v>
      </c>
      <c r="I2" s="55" t="str">
        <f>IFERROR(__xludf.DUMMYFUNCTION("IF($G2 = ""None"", ""No salary data"", REGEXEXTRACT($G2, ""[a-zA-Z]{3,}""))"),"year")</f>
        <v>year</v>
      </c>
      <c r="J2" s="57">
        <f t="shared" ref="J2:J17" si="1">IFERROR(IF($I2 = "year", $H2, IF($I2 = "week", $H2*4*12, IF($I2 = "day", $H2*22*12, $H2*160*12))), "No salary data")</f>
        <v>31850</v>
      </c>
      <c r="K2" s="58" t="str">
        <f>IFERROR(__xludf.DUMMYFUNCTION("TEXTJOIN("", "", TRUE, IFERROR({PROPER(REGEXEXTRACT($M2, "".ython"")), REGEXEXTRACT($M2, ""SQL""), PROPER(REGEXEXTRACT($M2, "".ableau"")), PROPER(REGEXEXTRACT($M2, "".xcel"")), PROPER(REGEXEXTRACT($M2, "".oogle .heets"")), 
PROPER(REGEXEXTRACT($M2, "".ach"&amp;"ine .earning"")), PROPER(REGEXEXTRACT($M2, ""Deep .earning|deep .earning"")), PROPER(REGEXEXTRACT($M2, "".tatistic"")), PROPER(REGEXEXTRACT($M2, ""Git|git"")), PROPER(REGEXEXTRACT($M2, "".crum"")), PROPER(REGEXEXTRACT($M2, "".gile"")), PROPER(REGEXEXTRACT"&amp;"($M2, ""Jira|jira"")), PROPER(REGEXEXTRACT($M2, "".inux""))}))"),"Machine Learning, Statistic")</f>
        <v>Machine Learning, Statistic</v>
      </c>
      <c r="L2" s="59" t="str">
        <f>IFERROR(__xludf.DUMMYFUNCTION("TEXTJOIN("", "", TRUE, IFERROR(PROPER(REGEXEXTRACT($M2, "".ull .ime|.ull-.ime|.ermanent|.ontract|.art .ime|.art-.ime|.emporary|.nternship|.pprenticeship|.ommision|.olunteer"")), ""No job type data""))"),"No job type data")</f>
        <v>No job type data</v>
      </c>
      <c r="M2" s="58" t="s">
        <v>530</v>
      </c>
    </row>
    <row r="3" ht="15.75" customHeight="1">
      <c r="A3" s="54">
        <v>2.0</v>
      </c>
      <c r="B3" s="55" t="s">
        <v>531</v>
      </c>
      <c r="C3" s="56">
        <f>IFERROR(__xludf.DUMMYFUNCTION("DATE(""2020"", ""10"", ""17"") - REGEXEXTRACT($B3, ""\d+"")"),44110.0)</f>
        <v>44110</v>
      </c>
      <c r="D3" s="60" t="s">
        <v>532</v>
      </c>
      <c r="E3" s="55" t="s">
        <v>527</v>
      </c>
      <c r="F3" s="55" t="s">
        <v>533</v>
      </c>
      <c r="G3" s="55" t="s">
        <v>534</v>
      </c>
      <c r="H3" s="57">
        <f>IFERROR(__xludf.DUMMYFUNCTION("IFERROR(ROUND(AVERAGE(SPLIT(REGEXREPLACE($G3, ""[a-zA-Z]|-|£"", "" ""), "" ""))), ""No salary data"")"),31493.0)</f>
        <v>31493</v>
      </c>
      <c r="I3" s="55" t="str">
        <f>IFERROR(__xludf.DUMMYFUNCTION("IF($G3 = ""None"", ""No salary data"", REGEXEXTRACT($G3, ""[a-zA-Z]{3,}""))"),"year")</f>
        <v>year</v>
      </c>
      <c r="J3" s="57">
        <f t="shared" si="1"/>
        <v>31493</v>
      </c>
      <c r="K3" s="58" t="str">
        <f>IFERROR(__xludf.DUMMYFUNCTION("TEXTJOIN("", "", TRUE, IFERROR({PROPER(REGEXEXTRACT($M3, "".ython"")), REGEXEXTRACT($M3, ""SQL""), PROPER(REGEXEXTRACT($M3, "".ableau"")), PROPER(REGEXEXTRACT($M3, "".xcel"")), PROPER(REGEXEXTRACT($M3, "".oogle .heets"")), 
PROPER(REGEXEXTRACT($M3, "".ach"&amp;"ine .earning"")), PROPER(REGEXEXTRACT($M3, ""Deep .earning|deep .earning"")), PROPER(REGEXEXTRACT($M3, "".tatistic"")), PROPER(REGEXEXTRACT($M3, ""Git|git"")), PROPER(REGEXEXTRACT($M3, "".crum"")), PROPER(REGEXEXTRACT($M3, "".gile"")), PROPER(REGEXEXTRACT"&amp;"($M3, ""Jira|jira"")), PROPER(REGEXEXTRACT($M3, "".inux""))}))"),"SQL, Agile")</f>
        <v>SQL, Agile</v>
      </c>
      <c r="L3" s="59" t="str">
        <f>IFERROR(__xludf.DUMMYFUNCTION("TEXTJOIN("", "", TRUE, IFERROR(PROPER(REGEXEXTRACT($M3, "".ull .ime|.ull-.ime|.ermanent|.ontract|.art .ime|.art-.ime|.emporary|.nternship|.pprenticeship|.ommision|.olunteer"")), ""No job type data""))"),"Apprenticeship")</f>
        <v>Apprenticeship</v>
      </c>
      <c r="M3" s="58" t="s">
        <v>535</v>
      </c>
    </row>
    <row r="4" ht="15.75" customHeight="1">
      <c r="A4" s="54">
        <v>3.0</v>
      </c>
      <c r="B4" s="55" t="s">
        <v>536</v>
      </c>
      <c r="C4" s="56">
        <f>IFERROR(__xludf.DUMMYFUNCTION("DATE(""2020"", ""10"", ""17"") - REGEXEXTRACT($B4, ""\d+"")"),44097.0)</f>
        <v>44097</v>
      </c>
      <c r="D4" s="60" t="s">
        <v>537</v>
      </c>
      <c r="E4" s="55" t="s">
        <v>538</v>
      </c>
      <c r="F4" s="55" t="s">
        <v>539</v>
      </c>
      <c r="G4" s="55" t="s">
        <v>540</v>
      </c>
      <c r="H4" s="57">
        <f>IFERROR(__xludf.DUMMYFUNCTION("IFERROR(ROUND(AVERAGE(SPLIT(REGEXREPLACE($G4, ""[a-zA-Z]|-|£"", "" ""), "" ""))), ""No salary data"")"),67811.0)</f>
        <v>67811</v>
      </c>
      <c r="I4" s="55" t="str">
        <f>IFERROR(__xludf.DUMMYFUNCTION("IF($G4 = ""None"", ""No salary data"", REGEXEXTRACT($G4, ""[a-zA-Z]{3,}""))"),"year")</f>
        <v>year</v>
      </c>
      <c r="J4" s="57">
        <f t="shared" si="1"/>
        <v>67811</v>
      </c>
      <c r="K4" s="58" t="str">
        <f>IFERROR(__xludf.DUMMYFUNCTION("TEXTJOIN("", "", TRUE, IFERROR({PROPER(REGEXEXTRACT($M4, "".ython"")), REGEXEXTRACT($M4, ""SQL""), PROPER(REGEXEXTRACT($M4, "".ableau"")), PROPER(REGEXEXTRACT($M4, "".xcel"")), PROPER(REGEXEXTRACT($M4, "".oogle .heets"")), 
PROPER(REGEXEXTRACT($M4, "".ach"&amp;"ine .earning"")), PROPER(REGEXEXTRACT($M4, ""Deep .earning|deep .earning"")), PROPER(REGEXEXTRACT($M4, "".tatistic"")), PROPER(REGEXEXTRACT($M4, ""Git|git"")), PROPER(REGEXEXTRACT($M4, "".crum"")), PROPER(REGEXEXTRACT($M4, "".gile"")), PROPER(REGEXEXTRACT"&amp;"($M4, ""Jira|jira"")), PROPER(REGEXEXTRACT($M4, "".inux""))}))"),"Python, Excel, Machine Learning, Statistic")</f>
        <v>Python, Excel, Machine Learning, Statistic</v>
      </c>
      <c r="L4" s="59" t="str">
        <f>IFERROR(__xludf.DUMMYFUNCTION("TEXTJOIN("", "", TRUE, IFERROR(PROPER(REGEXEXTRACT($M4, "".ull .ime|.ull-.ime|.ermanent|.ontract|.art .ime|.art-.ime|.emporary|.nternship|.pprenticeship|.ommision|.olunteer"")), ""No job type data""))"),"No job type data")</f>
        <v>No job type data</v>
      </c>
      <c r="M4" s="58" t="s">
        <v>541</v>
      </c>
    </row>
    <row r="5" ht="15.75" customHeight="1">
      <c r="A5" s="54">
        <v>4.0</v>
      </c>
      <c r="B5" s="55" t="s">
        <v>542</v>
      </c>
      <c r="C5" s="56">
        <f>IFERROR(__xludf.DUMMYFUNCTION("DATE(""2020"", ""10"", ""17"") - REGEXEXTRACT($B5, ""\d+"")"),44120.0)</f>
        <v>44120</v>
      </c>
      <c r="D5" s="55" t="s">
        <v>543</v>
      </c>
      <c r="E5" s="55" t="s">
        <v>527</v>
      </c>
      <c r="F5" s="55" t="s">
        <v>544</v>
      </c>
      <c r="G5" s="55" t="s">
        <v>545</v>
      </c>
      <c r="H5" s="57" t="str">
        <f>IFERROR(__xludf.DUMMYFUNCTION("IFERROR(ROUND(AVERAGE(SPLIT(REGEXREPLACE($G5, ""[a-zA-Z]|-|£"", "" ""), "" ""))), ""No salary data"")"),"No salary data")</f>
        <v>No salary data</v>
      </c>
      <c r="I5" s="55" t="str">
        <f>IFERROR(__xludf.DUMMYFUNCTION("IF($G5 = ""None"", ""No salary data"", REGEXEXTRACT($G5, ""[a-zA-Z]{3,}""))"),"No salary data")</f>
        <v>No salary data</v>
      </c>
      <c r="J5" s="57" t="str">
        <f t="shared" si="1"/>
        <v>No salary data</v>
      </c>
      <c r="K5" s="58" t="str">
        <f>IFERROR(__xludf.DUMMYFUNCTION("TEXTJOIN("", "", TRUE, IFERROR({PROPER(REGEXEXTRACT($M5, "".ython"")), REGEXEXTRACT($M5, ""SQL""), PROPER(REGEXEXTRACT($M5, "".ableau"")), PROPER(REGEXEXTRACT($M5, "".xcel"")), PROPER(REGEXEXTRACT($M5, "".oogle .heets"")), 
PROPER(REGEXEXTRACT($M5, "".ach"&amp;"ine .earning"")), PROPER(REGEXEXTRACT($M5, ""Deep .earning|deep .earning"")), PROPER(REGEXEXTRACT($M5, "".tatistic"")), PROPER(REGEXEXTRACT($M5, ""Git|git"")), PROPER(REGEXEXTRACT($M5, "".crum"")), PROPER(REGEXEXTRACT($M5, "".gile"")), PROPER(REGEXEXTRACT"&amp;"($M5, ""Jira|jira"")), PROPER(REGEXEXTRACT($M5, "".inux""))}))"),"Python, Statistic")</f>
        <v>Python, Statistic</v>
      </c>
      <c r="L5" s="59" t="str">
        <f>IFERROR(__xludf.DUMMYFUNCTION("TEXTJOIN("", "", TRUE, IFERROR(PROPER(REGEXEXTRACT($M5, "".ull .ime|.ull-.ime|.ermanent|.ontract|.art .ime|.art-.ime|.emporary|.nternship|.pprenticeship|.ommision|.olunteer"")), ""No job type data""))"),"No job type data")</f>
        <v>No job type data</v>
      </c>
      <c r="M5" s="58" t="s">
        <v>546</v>
      </c>
    </row>
    <row r="6" ht="15.75" customHeight="1">
      <c r="A6" s="54">
        <v>5.0</v>
      </c>
      <c r="B6" s="55" t="s">
        <v>536</v>
      </c>
      <c r="C6" s="56">
        <f>IFERROR(__xludf.DUMMYFUNCTION("DATE(""2020"", ""10"", ""17"") - REGEXEXTRACT($B6, ""\d+"")"),44097.0)</f>
        <v>44097</v>
      </c>
      <c r="D6" s="55" t="s">
        <v>547</v>
      </c>
      <c r="E6" s="55" t="s">
        <v>548</v>
      </c>
      <c r="F6" s="55" t="s">
        <v>549</v>
      </c>
      <c r="G6" s="55" t="s">
        <v>550</v>
      </c>
      <c r="H6" s="57">
        <f>IFERROR(__xludf.DUMMYFUNCTION("IFERROR(ROUND(AVERAGE(SPLIT(REGEXREPLACE($G6, ""[a-zA-Z]|-|£"", "" ""), "" ""))), ""No salary data"")"),32500.0)</f>
        <v>32500</v>
      </c>
      <c r="I6" s="55" t="str">
        <f>IFERROR(__xludf.DUMMYFUNCTION("IF($G6 = ""None"", ""No salary data"", REGEXEXTRACT($G6, ""[a-zA-Z]{3,}""))"),"year")</f>
        <v>year</v>
      </c>
      <c r="J6" s="57">
        <f t="shared" si="1"/>
        <v>32500</v>
      </c>
      <c r="K6" s="58" t="str">
        <f>IFERROR(__xludf.DUMMYFUNCTION("TEXTJOIN("", "", TRUE, IFERROR({PROPER(REGEXEXTRACT($M6, "".ython"")), REGEXEXTRACT($M6, ""SQL""), PROPER(REGEXEXTRACT($M6, "".ableau"")), PROPER(REGEXEXTRACT($M6, "".xcel"")), PROPER(REGEXEXTRACT($M6, "".oogle .heets"")), 
PROPER(REGEXEXTRACT($M6, "".ach"&amp;"ine .earning"")), PROPER(REGEXEXTRACT($M6, ""Deep .earning|deep .earning"")), PROPER(REGEXEXTRACT($M6, "".tatistic"")), PROPER(REGEXEXTRACT($M6, ""Git|git"")), PROPER(REGEXEXTRACT($M6, "".crum"")), PROPER(REGEXEXTRACT($M6, "".gile"")), PROPER(REGEXEXTRACT"&amp;"($M6, ""Jira|jira"")), PROPER(REGEXEXTRACT($M6, "".inux""))}))"),"SQL, Agile")</f>
        <v>SQL, Agile</v>
      </c>
      <c r="L6" s="59" t="str">
        <f>IFERROR(__xludf.DUMMYFUNCTION("TEXTJOIN("", "", TRUE, IFERROR(PROPER(REGEXEXTRACT($M6, "".ull .ime|.ull-.ime|.ermanent|.ontract|.art .ime|.art-.ime|.emporary|.nternship|.pprenticeship|.ommision|.olunteer"")), ""No job type data""))"),"Full-Time")</f>
        <v>Full-Time</v>
      </c>
      <c r="M6" s="58" t="s">
        <v>551</v>
      </c>
    </row>
    <row r="7" ht="15.75" customHeight="1">
      <c r="A7" s="54">
        <v>6.0</v>
      </c>
      <c r="B7" s="55" t="s">
        <v>552</v>
      </c>
      <c r="C7" s="56">
        <f>IFERROR(__xludf.DUMMYFUNCTION("DATE(""2020"", ""10"", ""17"") - REGEXEXTRACT($B7, ""\d+"")"),44096.0)</f>
        <v>44096</v>
      </c>
      <c r="D7" s="55" t="s">
        <v>553</v>
      </c>
      <c r="E7" s="55" t="s">
        <v>74</v>
      </c>
      <c r="F7" s="55" t="s">
        <v>554</v>
      </c>
      <c r="G7" s="55" t="s">
        <v>555</v>
      </c>
      <c r="H7" s="57">
        <f>IFERROR(__xludf.DUMMYFUNCTION("IFERROR(ROUND(AVERAGE(SPLIT(REGEXREPLACE($G7, ""[a-zA-Z]|-|£"", "" ""), "" ""))), ""No salary data"")"),30000.0)</f>
        <v>30000</v>
      </c>
      <c r="I7" s="55" t="str">
        <f>IFERROR(__xludf.DUMMYFUNCTION("IF($G7 = ""None"", ""No salary data"", REGEXEXTRACT($G7, ""[a-zA-Z]{3,}""))"),"year")</f>
        <v>year</v>
      </c>
      <c r="J7" s="57">
        <f t="shared" si="1"/>
        <v>30000</v>
      </c>
      <c r="K7" s="58" t="str">
        <f>IFERROR(__xludf.DUMMYFUNCTION("TEXTJOIN("", "", TRUE, IFERROR({PROPER(REGEXEXTRACT($M7, "".ython"")), REGEXEXTRACT($M7, ""SQL""), PROPER(REGEXEXTRACT($M7, "".ableau"")), PROPER(REGEXEXTRACT($M7, "".xcel"")), PROPER(REGEXEXTRACT($M7, "".oogle .heets"")), 
PROPER(REGEXEXTRACT($M7, "".ach"&amp;"ine .earning"")), PROPER(REGEXEXTRACT($M7, ""Deep .earning|deep .earning"")), PROPER(REGEXEXTRACT($M7, "".tatistic"")), PROPER(REGEXEXTRACT($M7, ""Git|git"")), PROPER(REGEXEXTRACT($M7, "".crum"")), PROPER(REGEXEXTRACT($M7, "".gile"")), PROPER(REGEXEXTRACT"&amp;"($M7, ""Jira|jira"")), PROPER(REGEXEXTRACT($M7, "".inux""))}))"),"Python, Tableau, Git, Agile")</f>
        <v>Python, Tableau, Git, Agile</v>
      </c>
      <c r="L7" s="59" t="str">
        <f>IFERROR(__xludf.DUMMYFUNCTION("TEXTJOIN("", "", TRUE, IFERROR(PROPER(REGEXEXTRACT($M7, "".ull .ime|.ull-.ime|.ermanent|.ontract|.art .ime|.art-.ime|.emporary|.nternship|.pprenticeship|.ommision|.olunteer"")), ""No job type data""))"),"No job type data")</f>
        <v>No job type data</v>
      </c>
      <c r="M7" s="58" t="s">
        <v>556</v>
      </c>
    </row>
    <row r="8" ht="15.75" customHeight="1">
      <c r="A8" s="54">
        <v>7.0</v>
      </c>
      <c r="B8" s="55" t="s">
        <v>557</v>
      </c>
      <c r="C8" s="56">
        <f>IFERROR(__xludf.DUMMYFUNCTION("DATE(""2020"", ""10"", ""17"") - REGEXEXTRACT($B8, ""\d+"")"),44119.0)</f>
        <v>44119</v>
      </c>
      <c r="D8" s="55" t="s">
        <v>547</v>
      </c>
      <c r="E8" s="55" t="s">
        <v>527</v>
      </c>
      <c r="F8" s="55" t="s">
        <v>558</v>
      </c>
      <c r="G8" s="55" t="s">
        <v>559</v>
      </c>
      <c r="H8" s="57">
        <f>IFERROR(__xludf.DUMMYFUNCTION("IFERROR(ROUND(AVERAGE(SPLIT(REGEXREPLACE($G8, ""[a-zA-Z]|-|£"", "" ""), "" ""))), ""No salary data"")"),27500.0)</f>
        <v>27500</v>
      </c>
      <c r="I8" s="55" t="str">
        <f>IFERROR(__xludf.DUMMYFUNCTION("IF($G8 = ""None"", ""No salary data"", REGEXEXTRACT($G8, ""[a-zA-Z]{3,}""))"),"year")</f>
        <v>year</v>
      </c>
      <c r="J8" s="57">
        <f t="shared" si="1"/>
        <v>27500</v>
      </c>
      <c r="K8" s="58" t="str">
        <f>IFERROR(__xludf.DUMMYFUNCTION("TEXTJOIN("", "", TRUE, IFERROR({PROPER(REGEXEXTRACT($M8, "".ython"")), REGEXEXTRACT($M8, ""SQL""), PROPER(REGEXEXTRACT($M8, "".ableau"")), PROPER(REGEXEXTRACT($M8, "".xcel"")), PROPER(REGEXEXTRACT($M8, "".oogle .heets"")), 
PROPER(REGEXEXTRACT($M8, "".ach"&amp;"ine .earning"")), PROPER(REGEXEXTRACT($M8, ""Deep .earning|deep .earning"")), PROPER(REGEXEXTRACT($M8, "".tatistic"")), PROPER(REGEXEXTRACT($M8, ""Git|git"")), PROPER(REGEXEXTRACT($M8, "".crum"")), PROPER(REGEXEXTRACT($M8, "".gile"")), PROPER(REGEXEXTRACT"&amp;"($M8, ""Jira|jira"")), PROPER(REGEXEXTRACT($M8, "".inux""))}))"),"Python, Excel, Statistic")</f>
        <v>Python, Excel, Statistic</v>
      </c>
      <c r="L8" s="59" t="str">
        <f>IFERROR(__xludf.DUMMYFUNCTION("TEXTJOIN("", "", TRUE, IFERROR(PROPER(REGEXEXTRACT($M8, "".ull .ime|.ull-.ime|.ermanent|.ontract|.art .ime|.art-.ime|.emporary|.nternship|.pprenticeship|.ommision|.olunteer"")), ""No job type data""))"),"No job type data")</f>
        <v>No job type data</v>
      </c>
      <c r="M8" s="58" t="s">
        <v>560</v>
      </c>
    </row>
    <row r="9" ht="15.75" customHeight="1">
      <c r="A9" s="54">
        <v>8.0</v>
      </c>
      <c r="B9" s="55" t="s">
        <v>542</v>
      </c>
      <c r="C9" s="56">
        <f>IFERROR(__xludf.DUMMYFUNCTION("DATE(""2020"", ""10"", ""17"") - REGEXEXTRACT($B9, ""\d+"")"),44120.0)</f>
        <v>44120</v>
      </c>
      <c r="D9" s="55" t="s">
        <v>561</v>
      </c>
      <c r="E9" s="55" t="s">
        <v>562</v>
      </c>
      <c r="F9" s="55" t="s">
        <v>563</v>
      </c>
      <c r="G9" s="55" t="s">
        <v>545</v>
      </c>
      <c r="H9" s="57" t="str">
        <f>IFERROR(__xludf.DUMMYFUNCTION("IFERROR(ROUND(AVERAGE(SPLIT(REGEXREPLACE($G9, ""[a-zA-Z]|-|£"", "" ""), "" ""))), ""No salary data"")"),"No salary data")</f>
        <v>No salary data</v>
      </c>
      <c r="I9" s="55" t="str">
        <f>IFERROR(__xludf.DUMMYFUNCTION("IF($G9 = ""None"", ""No salary data"", REGEXEXTRACT($G9, ""[a-zA-Z]{3,}""))"),"No salary data")</f>
        <v>No salary data</v>
      </c>
      <c r="J9" s="57" t="str">
        <f t="shared" si="1"/>
        <v>No salary data</v>
      </c>
      <c r="K9" s="58" t="str">
        <f>IFERROR(__xludf.DUMMYFUNCTION("TEXTJOIN("", "", TRUE, IFERROR({PROPER(REGEXEXTRACT($M9, "".ython"")), REGEXEXTRACT($M9, ""SQL""), PROPER(REGEXEXTRACT($M9, "".ableau"")), PROPER(REGEXEXTRACT($M9, "".xcel"")), PROPER(REGEXEXTRACT($M9, "".oogle .heets"")), 
PROPER(REGEXEXTRACT($M9, "".ach"&amp;"ine .earning"")), PROPER(REGEXEXTRACT($M9, ""Deep .earning|deep .earning"")), PROPER(REGEXEXTRACT($M9, "".tatistic"")), PROPER(REGEXEXTRACT($M9, ""Git|git"")), PROPER(REGEXEXTRACT($M9, "".crum"")), PROPER(REGEXEXTRACT($M9, "".gile"")), PROPER(REGEXEXTRACT"&amp;"($M9, ""Jira|jira"")), PROPER(REGEXEXTRACT($M9, "".inux""))}))"),"")</f>
        <v/>
      </c>
      <c r="L9" s="59" t="str">
        <f>IFERROR(__xludf.DUMMYFUNCTION("TEXTJOIN("", "", TRUE, IFERROR(PROPER(REGEXEXTRACT($M9, "".ull .ime|.ull-.ime|.ermanent|.ontract|.art .ime|.art-.ime|.emporary|.nternship|.pprenticeship|.ommision|.olunteer"")), ""No job type data""))"),"No job type data")</f>
        <v>No job type data</v>
      </c>
      <c r="M9" s="58" t="s">
        <v>564</v>
      </c>
    </row>
    <row r="10" ht="15.75" customHeight="1">
      <c r="A10" s="54">
        <v>9.0</v>
      </c>
      <c r="B10" s="55" t="s">
        <v>565</v>
      </c>
      <c r="C10" s="56">
        <f>IFERROR(__xludf.DUMMYFUNCTION("DATE(""2020"", ""10"", ""17"") - REGEXEXTRACT($B10, ""\d+"")"),44115.0)</f>
        <v>44115</v>
      </c>
      <c r="D10" s="55" t="s">
        <v>547</v>
      </c>
      <c r="E10" s="55" t="s">
        <v>566</v>
      </c>
      <c r="F10" s="55" t="s">
        <v>567</v>
      </c>
      <c r="G10" s="55" t="s">
        <v>568</v>
      </c>
      <c r="H10" s="57">
        <f>IFERROR(__xludf.DUMMYFUNCTION("IFERROR(ROUND(AVERAGE(SPLIT(REGEXREPLACE($G10, ""[a-zA-Z]|-|£"", "" ""), "" ""))), ""No salary data"")"),34302.0)</f>
        <v>34302</v>
      </c>
      <c r="I10" s="55" t="str">
        <f>IFERROR(__xludf.DUMMYFUNCTION("IF($G10 = ""None"", ""No salary data"", REGEXEXTRACT($G10, ""[a-zA-Z]{3,}""))"),"year")</f>
        <v>year</v>
      </c>
      <c r="J10" s="57">
        <f t="shared" si="1"/>
        <v>34302</v>
      </c>
      <c r="K10" s="58" t="str">
        <f>IFERROR(__xludf.DUMMYFUNCTION("TEXTJOIN("", "", TRUE, IFERROR({PROPER(REGEXEXTRACT($M10, "".ython"")), REGEXEXTRACT($M10, ""SQL""), PROPER(REGEXEXTRACT($M10, "".ableau"")), PROPER(REGEXEXTRACT($M10, "".xcel"")), PROPER(REGEXEXTRACT($M10, "".oogle .heets"")), 
PROPER(REGEXEXTRACT($M10, "&amp;""".achine .earning"")), PROPER(REGEXEXTRACT($M10, ""Deep .earning|deep .earning"")), PROPER(REGEXEXTRACT($M10, "".tatistic"")), PROPER(REGEXEXTRACT($M10, ""Git|git"")), PROPER(REGEXEXTRACT($M10, "".crum"")), PROPER(REGEXEXTRACT($M10, "".gile"")), PROPER(R"&amp;"EGEXEXTRACT($M10, ""Jira|jira"")), PROPER(REGEXEXTRACT($M10, "".inux""))}))"),"Excel, Statistic")</f>
        <v>Excel, Statistic</v>
      </c>
      <c r="L10" s="59" t="str">
        <f>IFERROR(__xludf.DUMMYFUNCTION("TEXTJOIN("", "", TRUE, IFERROR(PROPER(REGEXEXTRACT($M10, "".ull .ime|.ull-.ime|.ermanent|.ontract|.art .ime|.art-.ime|.emporary|.nternship|.pprenticeship|.ommision|.olunteer"")), ""No job type data""))"),"Full Time")</f>
        <v>Full Time</v>
      </c>
      <c r="M10" s="58" t="s">
        <v>569</v>
      </c>
    </row>
    <row r="11" ht="15.75" customHeight="1">
      <c r="A11" s="54">
        <v>10.0</v>
      </c>
      <c r="B11" s="55" t="s">
        <v>570</v>
      </c>
      <c r="C11" s="56">
        <f>IFERROR(__xludf.DUMMYFUNCTION("DATE(""2020"", ""10"", ""17"") - REGEXEXTRACT($B11, ""\d+"")"),44091.0)</f>
        <v>44091</v>
      </c>
      <c r="D11" s="55" t="s">
        <v>571</v>
      </c>
      <c r="E11" s="55" t="s">
        <v>527</v>
      </c>
      <c r="F11" s="55" t="s">
        <v>572</v>
      </c>
      <c r="G11" s="55" t="s">
        <v>545</v>
      </c>
      <c r="H11" s="57" t="str">
        <f>IFERROR(__xludf.DUMMYFUNCTION("IFERROR(ROUND(AVERAGE(SPLIT(REGEXREPLACE($G11, ""[a-zA-Z]|-|£"", "" ""), "" ""))), ""No salary data"")"),"No salary data")</f>
        <v>No salary data</v>
      </c>
      <c r="I11" s="55" t="str">
        <f>IFERROR(__xludf.DUMMYFUNCTION("IF($G11 = ""None"", ""No salary data"", REGEXEXTRACT($G11, ""[a-zA-Z]{3,}""))"),"No salary data")</f>
        <v>No salary data</v>
      </c>
      <c r="J11" s="57" t="str">
        <f t="shared" si="1"/>
        <v>No salary data</v>
      </c>
      <c r="K11" s="58" t="str">
        <f>IFERROR(__xludf.DUMMYFUNCTION("TEXTJOIN("", "", TRUE, IFERROR({PROPER(REGEXEXTRACT($M11, "".ython"")), REGEXEXTRACT($M11, ""SQL""), PROPER(REGEXEXTRACT($M11, "".ableau"")), PROPER(REGEXEXTRACT($M11, "".xcel"")), PROPER(REGEXEXTRACT($M11, "".oogle .heets"")), 
PROPER(REGEXEXTRACT($M11, "&amp;""".achine .earning"")), PROPER(REGEXEXTRACT($M11, ""Deep .earning|deep .earning"")), PROPER(REGEXEXTRACT($M11, "".tatistic"")), PROPER(REGEXEXTRACT($M11, ""Git|git"")), PROPER(REGEXEXTRACT($M11, "".crum"")), PROPER(REGEXEXTRACT($M11, "".gile"")), PROPER(R"&amp;"EGEXEXTRACT($M11, ""Jira|jira"")), PROPER(REGEXEXTRACT($M11, "".inux""))}))"),"Python, SQL, Machine Learning, Statistic, Git")</f>
        <v>Python, SQL, Machine Learning, Statistic, Git</v>
      </c>
      <c r="L11" s="59" t="str">
        <f>IFERROR(__xludf.DUMMYFUNCTION("TEXTJOIN("", "", TRUE, IFERROR(PROPER(REGEXEXTRACT($M11, "".ull .ime|.ull-.ime|.ermanent|.ontract|.art .ime|.art-.ime|.emporary|.nternship|.pprenticeship|.ommision|.olunteer"")), ""No job type data""))"),"No job type data")</f>
        <v>No job type data</v>
      </c>
      <c r="M11" s="58" t="s">
        <v>573</v>
      </c>
    </row>
    <row r="12" ht="15.75" customHeight="1">
      <c r="A12" s="54">
        <v>11.0</v>
      </c>
      <c r="B12" s="55" t="s">
        <v>574</v>
      </c>
      <c r="C12" s="56">
        <f>IFERROR(__xludf.DUMMYFUNCTION("DATE(""2020"", ""10"", ""17"") - REGEXEXTRACT($B12, ""\d+"")"),44117.0)</f>
        <v>44117</v>
      </c>
      <c r="D12" s="55" t="s">
        <v>575</v>
      </c>
      <c r="E12" s="55" t="s">
        <v>576</v>
      </c>
      <c r="F12" s="55" t="s">
        <v>577</v>
      </c>
      <c r="G12" s="55" t="s">
        <v>559</v>
      </c>
      <c r="H12" s="57">
        <f>IFERROR(__xludf.DUMMYFUNCTION("IFERROR(ROUND(AVERAGE(SPLIT(REGEXREPLACE($G12, ""[a-zA-Z]|-|£"", "" ""), "" ""))), ""No salary data"")"),27500.0)</f>
        <v>27500</v>
      </c>
      <c r="I12" s="55" t="str">
        <f>IFERROR(__xludf.DUMMYFUNCTION("IF($G12 = ""None"", ""No salary data"", REGEXEXTRACT($G12, ""[a-zA-Z]{3,}""))"),"year")</f>
        <v>year</v>
      </c>
      <c r="J12" s="57">
        <f t="shared" si="1"/>
        <v>27500</v>
      </c>
      <c r="K12" s="58" t="str">
        <f>IFERROR(__xludf.DUMMYFUNCTION("TEXTJOIN("", "", TRUE, IFERROR({PROPER(REGEXEXTRACT($M12, "".ython"")), REGEXEXTRACT($M12, ""SQL""), PROPER(REGEXEXTRACT($M12, "".ableau"")), PROPER(REGEXEXTRACT($M12, "".xcel"")), PROPER(REGEXEXTRACT($M12, "".oogle .heets"")), 
PROPER(REGEXEXTRACT($M12, "&amp;""".achine .earning"")), PROPER(REGEXEXTRACT($M12, ""Deep .earning|deep .earning"")), PROPER(REGEXEXTRACT($M12, "".tatistic"")), PROPER(REGEXEXTRACT($M12, ""Git|git"")), PROPER(REGEXEXTRACT($M12, "".crum"")), PROPER(REGEXEXTRACT($M12, "".gile"")), PROPER(R"&amp;"EGEXEXTRACT($M12, ""Jira|jira"")), PROPER(REGEXEXTRACT($M12, "".inux""))}))"),"")</f>
        <v/>
      </c>
      <c r="L12" s="59" t="str">
        <f>IFERROR(__xludf.DUMMYFUNCTION("TEXTJOIN("", "", TRUE, IFERROR(PROPER(REGEXEXTRACT($M12, "".ull .ime|.ull-.ime|.ermanent|.ontract|.art .ime|.art-.ime|.emporary|.nternship|.pprenticeship|.ommision|.olunteer"")), ""No job type data""))"),"No job type data")</f>
        <v>No job type data</v>
      </c>
      <c r="M12" s="58" t="s">
        <v>578</v>
      </c>
    </row>
    <row r="13" ht="15.75" customHeight="1">
      <c r="A13" s="54">
        <v>12.0</v>
      </c>
      <c r="B13" s="55" t="s">
        <v>579</v>
      </c>
      <c r="C13" s="56">
        <f>IFERROR(__xludf.DUMMYFUNCTION("DATE(""2020"", ""10"", ""17"") - REGEXEXTRACT($B13, ""\d+"")"),44116.0)</f>
        <v>44116</v>
      </c>
      <c r="D13" s="55" t="s">
        <v>580</v>
      </c>
      <c r="E13" s="55" t="s">
        <v>581</v>
      </c>
      <c r="F13" s="55" t="s">
        <v>582</v>
      </c>
      <c r="G13" s="55" t="s">
        <v>583</v>
      </c>
      <c r="H13" s="57">
        <f>IFERROR(__xludf.DUMMYFUNCTION("IFERROR(ROUND(AVERAGE(SPLIT(REGEXREPLACE($G13, ""[a-zA-Z]|-|£"", "" ""), "" ""))), ""No salary data"")"),15.0)</f>
        <v>15</v>
      </c>
      <c r="I13" s="55" t="str">
        <f>IFERROR(__xludf.DUMMYFUNCTION("IF($G13 = ""None"", ""No salary data"", REGEXEXTRACT($G13, ""[a-zA-Z]{3,}""))"),"hour")</f>
        <v>hour</v>
      </c>
      <c r="J13" s="57">
        <f t="shared" si="1"/>
        <v>28800</v>
      </c>
      <c r="K13" s="58" t="str">
        <f>IFERROR(__xludf.DUMMYFUNCTION("TEXTJOIN("", "", TRUE, IFERROR({PROPER(REGEXEXTRACT($M13, "".ython"")), REGEXEXTRACT($M13, ""SQL""), PROPER(REGEXEXTRACT($M13, "".ableau"")), PROPER(REGEXEXTRACT($M13, "".xcel"")), PROPER(REGEXEXTRACT($M13, "".oogle .heets"")), 
PROPER(REGEXEXTRACT($M13, "&amp;""".achine .earning"")), PROPER(REGEXEXTRACT($M13, ""Deep .earning|deep .earning"")), PROPER(REGEXEXTRACT($M13, "".tatistic"")), PROPER(REGEXEXTRACT($M13, ""Git|git"")), PROPER(REGEXEXTRACT($M13, "".crum"")), PROPER(REGEXEXTRACT($M13, "".gile"")), PROPER(R"&amp;"EGEXEXTRACT($M13, ""Jira|jira"")), PROPER(REGEXEXTRACT($M13, "".inux""))}))"),"SQL, Excel")</f>
        <v>SQL, Excel</v>
      </c>
      <c r="L13" s="59" t="str">
        <f>IFERROR(__xludf.DUMMYFUNCTION("TEXTJOIN("", "", TRUE, IFERROR(PROPER(REGEXEXTRACT($M13, "".ull .ime|.ull-.ime|.ermanent|.ontract|.art .ime|.art-.ime|.emporary|.nternship|.pprenticeship|.ommision|.olunteer"")), ""No job type data""))"),"Contract")</f>
        <v>Contract</v>
      </c>
      <c r="M13" s="58" t="s">
        <v>584</v>
      </c>
    </row>
    <row r="14" ht="15.75" customHeight="1">
      <c r="A14" s="54">
        <v>13.0</v>
      </c>
      <c r="B14" s="3" t="s">
        <v>585</v>
      </c>
      <c r="C14" s="56">
        <f>IFERROR(__xludf.DUMMYFUNCTION("DATE(""2020"", ""10"", ""17"") - REGEXEXTRACT($B14, ""\d+"")"),44102.0)</f>
        <v>44102</v>
      </c>
      <c r="D14" s="3" t="s">
        <v>586</v>
      </c>
      <c r="E14" s="3" t="s">
        <v>587</v>
      </c>
      <c r="F14" s="3" t="s">
        <v>588</v>
      </c>
      <c r="G14" s="3" t="s">
        <v>589</v>
      </c>
      <c r="H14" s="57">
        <f>IFERROR(__xludf.DUMMYFUNCTION("IFERROR(ROUND(AVERAGE(SPLIT(REGEXREPLACE($G14, ""[a-zA-Z]|-|£"", "" ""), "" ""))), ""No salary data"")"),22.0)</f>
        <v>22</v>
      </c>
      <c r="I14" s="55" t="str">
        <f>IFERROR(__xludf.DUMMYFUNCTION("IF($G14 = ""None"", ""No salary data"", REGEXEXTRACT($G14, ""[a-zA-Z]{3,}""))"),"hour")</f>
        <v>hour</v>
      </c>
      <c r="J14" s="57">
        <f t="shared" si="1"/>
        <v>42240</v>
      </c>
      <c r="K14" s="58" t="str">
        <f>IFERROR(__xludf.DUMMYFUNCTION("TEXTJOIN("", "", TRUE, IFERROR({PROPER(REGEXEXTRACT($M14, "".ython"")), REGEXEXTRACT($M14, ""SQL""), PROPER(REGEXEXTRACT($M14, "".ableau"")), PROPER(REGEXEXTRACT($M14, "".xcel"")), PROPER(REGEXEXTRACT($M14, "".oogle .heets"")), 
PROPER(REGEXEXTRACT($M14, "&amp;""".achine .earning"")), PROPER(REGEXEXTRACT($M14, ""Deep .earning|deep .earning"")), PROPER(REGEXEXTRACT($M14, "".tatistic"")), PROPER(REGEXEXTRACT($M14, ""Git|git"")), PROPER(REGEXEXTRACT($M14, "".crum"")), PROPER(REGEXEXTRACT($M14, "".gile"")), PROPER(R"&amp;"EGEXEXTRACT($M14, ""Jira|jira"")), PROPER(REGEXEXTRACT($M14, "".inux""))}))"),"Python, SQL, Git")</f>
        <v>Python, SQL, Git</v>
      </c>
      <c r="L14" s="59" t="str">
        <f>IFERROR(__xludf.DUMMYFUNCTION("TEXTJOIN("", "", TRUE, IFERROR(PROPER(REGEXEXTRACT($M14, "".ull .ime|.ull-.ime|.ermanent|.ontract|.art .ime|.art-.ime|.emporary|.nternship|.pprenticeship|.ommision|.olunteer"")), ""No job type data""))"),"Permanent")</f>
        <v>Permanent</v>
      </c>
      <c r="M14" s="3" t="s">
        <v>590</v>
      </c>
    </row>
    <row r="15" ht="15.75" customHeight="1">
      <c r="A15" s="54">
        <v>14.0</v>
      </c>
      <c r="B15" s="3" t="s">
        <v>591</v>
      </c>
      <c r="C15" s="56">
        <f>IFERROR(__xludf.DUMMYFUNCTION("DATE(""2020"", ""10"", ""17"") - REGEXEXTRACT($B15, ""\d+"")"),44098.0)</f>
        <v>44098</v>
      </c>
      <c r="D15" s="3" t="s">
        <v>592</v>
      </c>
      <c r="E15" s="61" t="s">
        <v>527</v>
      </c>
      <c r="F15" s="3" t="s">
        <v>593</v>
      </c>
      <c r="G15" s="3" t="s">
        <v>594</v>
      </c>
      <c r="H15" s="57">
        <f>IFERROR(__xludf.DUMMYFUNCTION("IFERROR(ROUND(AVERAGE(SPLIT(REGEXREPLACE($G15, ""[a-zA-Z]|-|£"", "" ""), "" ""))), ""No salary data"")"),550.0)</f>
        <v>550</v>
      </c>
      <c r="I15" s="55" t="str">
        <f>IFERROR(__xludf.DUMMYFUNCTION("IF($G15 = ""None"", ""No salary data"", REGEXEXTRACT($G15, ""[a-zA-Z]{3,}""))"),"day")</f>
        <v>day</v>
      </c>
      <c r="J15" s="57">
        <f t="shared" si="1"/>
        <v>145200</v>
      </c>
      <c r="K15" s="58" t="str">
        <f>IFERROR(__xludf.DUMMYFUNCTION("TEXTJOIN("", "", TRUE, IFERROR({PROPER(REGEXEXTRACT($M15, "".ython"")), REGEXEXTRACT($M15, ""SQL""), PROPER(REGEXEXTRACT($M15, "".ableau"")), PROPER(REGEXEXTRACT($M15, "".xcel"")), PROPER(REGEXEXTRACT($M15, "".oogle .heets"")), 
PROPER(REGEXEXTRACT($M15, "&amp;""".achine .earning"")), PROPER(REGEXEXTRACT($M15, ""Deep .earning|deep .earning"")), PROPER(REGEXEXTRACT($M15, "".tatistic"")), PROPER(REGEXEXTRACT($M15, ""Git|git"")), PROPER(REGEXEXTRACT($M15, "".crum"")), PROPER(REGEXEXTRACT($M15, "".gile"")), PROPER(R"&amp;"EGEXEXTRACT($M15, ""Jira|jira"")), PROPER(REGEXEXTRACT($M15, "".inux""))}))"),"SQL, Tableau, Excel, Statistic, Git")</f>
        <v>SQL, Tableau, Excel, Statistic, Git</v>
      </c>
      <c r="L15" s="59" t="str">
        <f>IFERROR(__xludf.DUMMYFUNCTION("TEXTJOIN("", "", TRUE, IFERROR(PROPER(REGEXEXTRACT($M15, "".ull .ime|.ull-.ime|.ermanent|.ontract|.art .ime|.art-.ime|.emporary|.nternship|.pprenticeship|.ommision|.olunteer"")), ""No job type data""))"),"No job type data")</f>
        <v>No job type data</v>
      </c>
      <c r="M15" s="3" t="s">
        <v>595</v>
      </c>
    </row>
    <row r="16" ht="15.0" customHeight="1">
      <c r="A16" s="54">
        <v>15.0</v>
      </c>
      <c r="B16" s="55" t="s">
        <v>570</v>
      </c>
      <c r="C16" s="56">
        <f>IFERROR(__xludf.DUMMYFUNCTION("DATE(""2020"", ""10"", ""17"") - REGEXEXTRACT($B16, ""\d+"")"),44091.0)</f>
        <v>44091</v>
      </c>
      <c r="D16" s="55" t="s">
        <v>596</v>
      </c>
      <c r="E16" s="55" t="s">
        <v>527</v>
      </c>
      <c r="F16" s="55" t="s">
        <v>597</v>
      </c>
      <c r="G16" s="55" t="s">
        <v>598</v>
      </c>
      <c r="H16" s="57">
        <f>IFERROR(__xludf.DUMMYFUNCTION("IFERROR(ROUND(AVERAGE(SPLIT(REGEXREPLACE($G16, ""[a-zA-Z]|-|£"", "" ""), "" ""))), ""No salary data"")"),313.0)</f>
        <v>313</v>
      </c>
      <c r="I16" s="55" t="str">
        <f>IFERROR(__xludf.DUMMYFUNCTION("IF($G16 = ""None"", ""No salary data"", REGEXEXTRACT($G16, ""[a-zA-Z]{3,}""))"),"day")</f>
        <v>day</v>
      </c>
      <c r="J16" s="57">
        <f t="shared" si="1"/>
        <v>82632</v>
      </c>
      <c r="K16" s="58" t="str">
        <f>IFERROR(__xludf.DUMMYFUNCTION("TEXTJOIN("", "", TRUE, IFERROR({PROPER(REGEXEXTRACT($M16, "".ython"")), REGEXEXTRACT($M16, ""SQL""), PROPER(REGEXEXTRACT($M16, "".ableau"")), PROPER(REGEXEXTRACT($M16, "".xcel"")), PROPER(REGEXEXTRACT($M16, "".oogle .heets"")), 
PROPER(REGEXEXTRACT($M16, "&amp;""".achine .earning"")), PROPER(REGEXEXTRACT($M16, ""Deep .earning|deep .earning"")), PROPER(REGEXEXTRACT($M16, "".tatistic"")), PROPER(REGEXEXTRACT($M16, ""Git|git"")), PROPER(REGEXEXTRACT($M16, "".crum"")), PROPER(REGEXEXTRACT($M16, "".gile"")), PROPER(R"&amp;"EGEXEXTRACT($M16, ""Jira|jira"")), PROPER(REGEXEXTRACT($M16, "".inux""))}))"),"Python, SQL, Tableau, Agile")</f>
        <v>Python, SQL, Tableau, Agile</v>
      </c>
      <c r="L16" s="59" t="str">
        <f>IFERROR(__xludf.DUMMYFUNCTION("TEXTJOIN("", "", TRUE, IFERROR(PROPER(REGEXEXTRACT($M16, "".ull .ime|.ull-.ime|.ermanent|.ontract|.art .ime|.art-.ime|.emporary|.nternship|.pprenticeship|.ommision|.olunteer"")), ""No job type data""))"),"Contract")</f>
        <v>Contract</v>
      </c>
      <c r="M16" s="58" t="s">
        <v>599</v>
      </c>
    </row>
    <row r="17" ht="15.0" customHeight="1">
      <c r="A17" s="54">
        <v>16.0</v>
      </c>
      <c r="B17" s="3" t="s">
        <v>531</v>
      </c>
      <c r="C17" s="56">
        <f>IFERROR(__xludf.DUMMYFUNCTION("DATE(""2020"", ""10"", ""17"") - REGEXEXTRACT($B17, ""\d+"")"),44110.0)</f>
        <v>44110</v>
      </c>
      <c r="D17" s="3" t="s">
        <v>600</v>
      </c>
      <c r="E17" s="3" t="s">
        <v>601</v>
      </c>
      <c r="F17" s="3" t="s">
        <v>602</v>
      </c>
      <c r="G17" s="3" t="s">
        <v>603</v>
      </c>
      <c r="H17" s="57">
        <f>IFERROR(__xludf.DUMMYFUNCTION("IFERROR(ROUND(AVERAGE(SPLIT(REGEXREPLACE($G17, ""[a-zA-Z]|-|£"", "" ""), "" ""))), ""No salary data"")"),350.0)</f>
        <v>350</v>
      </c>
      <c r="I17" s="55" t="str">
        <f>IFERROR(__xludf.DUMMYFUNCTION("IF($G17 = ""None"", ""No salary data"", REGEXEXTRACT($G17, ""[a-zA-Z]{3,}""))"),"week")</f>
        <v>week</v>
      </c>
      <c r="J17" s="57">
        <f t="shared" si="1"/>
        <v>16800</v>
      </c>
      <c r="K17" s="58" t="str">
        <f>IFERROR(__xludf.DUMMYFUNCTION("TEXTJOIN("", "", TRUE, IFERROR({PROPER(REGEXEXTRACT($M17, "".ython"")), REGEXEXTRACT($M17, ""SQL""), PROPER(REGEXEXTRACT($M17, "".ableau"")), PROPER(REGEXEXTRACT($M17, "".xcel"")), PROPER(REGEXEXTRACT($M17, "".oogle .heets"")), 
PROPER(REGEXEXTRACT($M17, "&amp;""".achine .earning"")), PROPER(REGEXEXTRACT($M17, ""Deep .earning|deep .earning"")), PROPER(REGEXEXTRACT($M17, "".tatistic"")), PROPER(REGEXEXTRACT($M17, ""Git|git"")), PROPER(REGEXEXTRACT($M17, "".crum"")), PROPER(REGEXEXTRACT($M17, "".gile"")), PROPER(R"&amp;"EGEXEXTRACT($M17, ""Jira|jira"")), PROPER(REGEXEXTRACT($M17, "".inux""))}))"),"SQL, Excel")</f>
        <v>SQL, Excel</v>
      </c>
      <c r="L17" s="59" t="str">
        <f>IFERROR(__xludf.DUMMYFUNCTION("TEXTJOIN("", "", TRUE, IFERROR(PROPER(REGEXEXTRACT($M17, "".ull .ime|.ull-.ime|.ermanent|.ontract|.art .ime|.art-.ime|.emporary|.nternship|.pprenticeship|.ommision|.olunteer"")), ""No job type data""))"),"Contract")</f>
        <v>Contract</v>
      </c>
      <c r="M17" s="3" t="s">
        <v>604</v>
      </c>
    </row>
    <row r="18" ht="15.0" customHeight="1">
      <c r="A18" s="62"/>
      <c r="B18" s="2"/>
      <c r="C18" s="2"/>
      <c r="D18" s="2"/>
      <c r="E18" s="2"/>
      <c r="F18" s="2"/>
      <c r="G18" s="2"/>
      <c r="H18" s="2"/>
      <c r="I18" s="2"/>
      <c r="J18" s="2"/>
      <c r="K18" s="2"/>
      <c r="L18" s="2"/>
      <c r="M18" s="2"/>
    </row>
    <row r="19" ht="15.0" customHeight="1">
      <c r="A19" s="62"/>
      <c r="B19" s="63"/>
      <c r="D19" s="2"/>
      <c r="E19" s="2"/>
      <c r="F19" s="2"/>
      <c r="G19" s="2"/>
      <c r="H19" s="2"/>
      <c r="I19" s="2"/>
      <c r="J19" s="2"/>
      <c r="K19" s="4" t="s">
        <v>605</v>
      </c>
      <c r="L19" s="2"/>
      <c r="M19" s="2"/>
    </row>
    <row r="20" ht="15.0" customHeight="1">
      <c r="A20" s="62"/>
      <c r="B20" s="2"/>
      <c r="C20" s="2"/>
      <c r="D20" s="2"/>
      <c r="E20" s="2"/>
      <c r="F20" s="2"/>
      <c r="G20" s="2"/>
      <c r="H20" s="2"/>
      <c r="I20" s="2"/>
      <c r="J20" s="2"/>
      <c r="K20" s="12" t="str">
        <f>IFERROR(__xludf.DUMMYFUNCTION("UNIQUE(TRANSPOSE(SPLIT(TEXTJOIN("", "", TRUE, K2:K17), "", "", FALSE, TRUE)))"),"Machine Learning")</f>
        <v>Machine Learning</v>
      </c>
      <c r="L20" s="2"/>
      <c r="M20" s="2" t="str">
        <f>IFERROR(__xludf.DUMMYFUNCTION("UNIQUE(TRANSPOSE(SPLIT(K15, "", "", FALSE, TRUE)))"),"SQL")</f>
        <v>SQL</v>
      </c>
    </row>
    <row r="21" ht="15.0" customHeight="1">
      <c r="A21" s="62"/>
      <c r="B21" s="2"/>
      <c r="C21" s="2"/>
      <c r="D21" s="2"/>
      <c r="E21" s="2"/>
      <c r="F21" s="2"/>
      <c r="G21" s="2"/>
      <c r="H21" s="2"/>
      <c r="I21" s="2"/>
      <c r="J21" s="2"/>
      <c r="K21" s="2" t="str">
        <f>IFERROR(__xludf.DUMMYFUNCTION("""COMPUTED_VALUE"""),"Statistic")</f>
        <v>Statistic</v>
      </c>
      <c r="L21" s="2"/>
      <c r="M21" s="2" t="str">
        <f>IFERROR(__xludf.DUMMYFUNCTION("""COMPUTED_VALUE"""),"Tableau")</f>
        <v>Tableau</v>
      </c>
    </row>
    <row r="22" ht="15.0" customHeight="1">
      <c r="A22" s="62"/>
      <c r="B22" s="2"/>
      <c r="C22" s="2"/>
      <c r="D22" s="2"/>
      <c r="E22" s="2"/>
      <c r="F22" s="2"/>
      <c r="G22" s="2"/>
      <c r="H22" s="2"/>
      <c r="I22" s="2"/>
      <c r="J22" s="2"/>
      <c r="K22" s="2" t="str">
        <f>IFERROR(__xludf.DUMMYFUNCTION("""COMPUTED_VALUE"""),"SQL")</f>
        <v>SQL</v>
      </c>
      <c r="M22" s="2" t="str">
        <f>IFERROR(__xludf.DUMMYFUNCTION("""COMPUTED_VALUE"""),"Excel")</f>
        <v>Excel</v>
      </c>
    </row>
    <row r="23">
      <c r="A23" s="62"/>
      <c r="B23" s="2"/>
      <c r="C23" s="2"/>
      <c r="D23" s="2"/>
      <c r="E23" s="2"/>
      <c r="F23" s="2"/>
      <c r="G23" s="2"/>
      <c r="H23" s="2" t="str">
        <f t="array" ref="H23:I24">{I16:I17, I12:I13}</f>
        <v>day</v>
      </c>
      <c r="I23" s="2" t="s">
        <v>606</v>
      </c>
      <c r="J23" s="2" t="str">
        <f t="array" ref="J23:J26">{I16:I17; I12:I13}</f>
        <v>day</v>
      </c>
      <c r="K23" s="2" t="str">
        <f>IFERROR(__xludf.DUMMYFUNCTION("""COMPUTED_VALUE"""),"Agile")</f>
        <v>Agile</v>
      </c>
      <c r="L23" s="2"/>
      <c r="M23" s="2" t="str">
        <f>IFERROR(__xludf.DUMMYFUNCTION("""COMPUTED_VALUE"""),"Statistic")</f>
        <v>Statistic</v>
      </c>
    </row>
    <row r="24">
      <c r="A24" s="62"/>
      <c r="B24" s="2"/>
      <c r="C24" s="2"/>
      <c r="D24" s="2"/>
      <c r="E24" s="2"/>
      <c r="F24" s="2"/>
      <c r="G24" s="2"/>
      <c r="H24" s="2" t="s">
        <v>607</v>
      </c>
      <c r="I24" s="2" t="s">
        <v>608</v>
      </c>
      <c r="J24" s="2" t="s">
        <v>607</v>
      </c>
      <c r="K24" s="2" t="str">
        <f>IFERROR(__xludf.DUMMYFUNCTION("""COMPUTED_VALUE"""),"Python")</f>
        <v>Python</v>
      </c>
      <c r="L24" s="2"/>
      <c r="M24" s="2" t="str">
        <f>IFERROR(__xludf.DUMMYFUNCTION("""COMPUTED_VALUE"""),"Git")</f>
        <v>Git</v>
      </c>
    </row>
    <row r="25">
      <c r="A25" s="62"/>
      <c r="B25" s="2"/>
      <c r="C25" s="2"/>
      <c r="D25" s="2"/>
      <c r="E25" s="2"/>
      <c r="F25" s="2"/>
      <c r="G25" s="2"/>
      <c r="H25" s="2"/>
      <c r="I25" s="2"/>
      <c r="J25" s="2" t="s">
        <v>606</v>
      </c>
      <c r="K25" s="2" t="str">
        <f>IFERROR(__xludf.DUMMYFUNCTION("""COMPUTED_VALUE"""),"Excel")</f>
        <v>Excel</v>
      </c>
      <c r="L25" s="2"/>
      <c r="M25" s="2"/>
    </row>
    <row r="26">
      <c r="A26" s="62"/>
      <c r="B26" s="2"/>
      <c r="C26" s="2"/>
      <c r="D26" s="2"/>
      <c r="E26" s="2"/>
      <c r="F26" s="2"/>
      <c r="G26" s="2"/>
      <c r="H26" s="2"/>
      <c r="I26" s="2"/>
      <c r="J26" s="2" t="s">
        <v>608</v>
      </c>
      <c r="K26" s="2" t="str">
        <f>IFERROR(__xludf.DUMMYFUNCTION("""COMPUTED_VALUE"""),"Tableau")</f>
        <v>Tableau</v>
      </c>
      <c r="L26" s="2"/>
      <c r="M26" s="2"/>
    </row>
    <row r="27">
      <c r="A27" s="62"/>
      <c r="B27" s="2"/>
      <c r="C27" s="2"/>
      <c r="D27" s="2"/>
      <c r="E27" s="2"/>
      <c r="F27" s="2"/>
      <c r="G27" s="2"/>
      <c r="H27" s="2"/>
      <c r="I27" s="2"/>
      <c r="J27" s="2"/>
      <c r="K27" s="2" t="str">
        <f>IFERROR(__xludf.DUMMYFUNCTION("""COMPUTED_VALUE"""),"Git")</f>
        <v>Git</v>
      </c>
      <c r="L27" s="2"/>
      <c r="M27" s="2"/>
    </row>
    <row r="28">
      <c r="A28" s="62"/>
      <c r="B28" s="2"/>
      <c r="C28" s="2"/>
      <c r="D28" s="2"/>
      <c r="E28" s="2"/>
      <c r="F28" s="2"/>
      <c r="G28" s="2"/>
      <c r="H28" s="2"/>
      <c r="I28" s="2"/>
      <c r="J28" s="2"/>
      <c r="K28" s="2"/>
      <c r="L28" s="2"/>
      <c r="M28" s="2"/>
    </row>
    <row r="29">
      <c r="A29" s="62"/>
      <c r="B29" s="2"/>
      <c r="C29" s="2"/>
      <c r="D29" s="2"/>
      <c r="E29" s="2"/>
      <c r="F29" s="2"/>
      <c r="G29" s="2"/>
      <c r="H29" s="2"/>
      <c r="I29" s="2"/>
      <c r="J29" s="2"/>
      <c r="K29" s="2"/>
      <c r="L29" s="2"/>
      <c r="M29" s="2"/>
    </row>
    <row r="30">
      <c r="A30" s="62"/>
      <c r="B30" s="2"/>
      <c r="C30" s="2"/>
      <c r="D30" s="2"/>
      <c r="E30" s="2"/>
      <c r="F30" s="2"/>
      <c r="G30" s="2"/>
      <c r="H30" s="2"/>
      <c r="I30" s="2"/>
      <c r="J30" s="2"/>
      <c r="K30" s="2"/>
      <c r="L30" s="2"/>
      <c r="M30" s="2"/>
    </row>
  </sheetData>
  <drawing r:id="rId1"/>
</worksheet>
</file>